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Plantillama\excel\generador horizontal\"/>
    </mc:Choice>
  </mc:AlternateContent>
  <xr:revisionPtr revIDLastSave="0" documentId="13_ncr:1_{6F5C3207-4AB8-496F-9413-E410C02EFE5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🏠 Panel de Control" sheetId="1" r:id="rId1"/>
    <sheet name="📊 Registro Mensual" sheetId="2" r:id="rId2"/>
    <sheet name="🎯 Metas de Ahorro" sheetId="3" r:id="rId3"/>
    <sheet name="📈 Gráficos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7" i="3" l="1"/>
  <c r="E21" i="3"/>
  <c r="D21" i="3"/>
  <c r="F21" i="3" s="1"/>
  <c r="C21" i="3"/>
  <c r="F20" i="3"/>
  <c r="G20" i="3" s="1"/>
  <c r="E20" i="3"/>
  <c r="F19" i="3"/>
  <c r="G19" i="3" s="1"/>
  <c r="E19" i="3"/>
  <c r="F18" i="3"/>
  <c r="G18" i="3" s="1"/>
  <c r="E18" i="3"/>
  <c r="G17" i="3"/>
  <c r="F17" i="3"/>
  <c r="E17" i="3"/>
  <c r="F16" i="3"/>
  <c r="G16" i="3" s="1"/>
  <c r="E16" i="3"/>
  <c r="C9" i="3"/>
  <c r="G41" i="2"/>
  <c r="O36" i="2"/>
  <c r="B25" i="4" s="1"/>
  <c r="N36" i="2"/>
  <c r="N8" i="2" s="1"/>
  <c r="M36" i="2"/>
  <c r="M41" i="2" s="1"/>
  <c r="L36" i="2"/>
  <c r="L41" i="2" s="1"/>
  <c r="K36" i="2"/>
  <c r="K41" i="2" s="1"/>
  <c r="J36" i="2"/>
  <c r="D13" i="4" s="1"/>
  <c r="I36" i="2"/>
  <c r="I41" i="2" s="1"/>
  <c r="H36" i="2"/>
  <c r="D11" i="4" s="1"/>
  <c r="G36" i="2"/>
  <c r="D10" i="4" s="1"/>
  <c r="F36" i="2"/>
  <c r="F41" i="2" s="1"/>
  <c r="E36" i="2"/>
  <c r="D8" i="4" s="1"/>
  <c r="E8" i="4" s="1"/>
  <c r="D36" i="2"/>
  <c r="D7" i="4" s="1"/>
  <c r="E7" i="4" s="1"/>
  <c r="C36" i="2"/>
  <c r="C39" i="2" s="1"/>
  <c r="O35" i="2"/>
  <c r="P35" i="2" s="1"/>
  <c r="O34" i="2"/>
  <c r="P34" i="2" s="1"/>
  <c r="O33" i="2"/>
  <c r="P33" i="2" s="1"/>
  <c r="O32" i="2"/>
  <c r="P32" i="2" s="1"/>
  <c r="P36" i="2" s="1"/>
  <c r="N29" i="2"/>
  <c r="N7" i="2" s="1"/>
  <c r="M29" i="2"/>
  <c r="M39" i="2" s="1"/>
  <c r="C16" i="4" s="1"/>
  <c r="L29" i="2"/>
  <c r="K29" i="2"/>
  <c r="J29" i="2"/>
  <c r="I29" i="2"/>
  <c r="H29" i="2"/>
  <c r="G29" i="2"/>
  <c r="F29" i="2"/>
  <c r="E29" i="2"/>
  <c r="D29" i="2"/>
  <c r="C29" i="2"/>
  <c r="O28" i="2"/>
  <c r="P28" i="2" s="1"/>
  <c r="O27" i="2"/>
  <c r="P27" i="2" s="1"/>
  <c r="O26" i="2"/>
  <c r="P26" i="2" s="1"/>
  <c r="P25" i="2"/>
  <c r="O25" i="2"/>
  <c r="O24" i="2"/>
  <c r="P24" i="2" s="1"/>
  <c r="O23" i="2"/>
  <c r="O29" i="2" s="1"/>
  <c r="B24" i="4" s="1"/>
  <c r="N20" i="2"/>
  <c r="N6" i="2" s="1"/>
  <c r="M20" i="2"/>
  <c r="L20" i="2"/>
  <c r="L39" i="2" s="1"/>
  <c r="C15" i="4" s="1"/>
  <c r="K20" i="2"/>
  <c r="K39" i="2" s="1"/>
  <c r="C14" i="4" s="1"/>
  <c r="J20" i="2"/>
  <c r="J39" i="2" s="1"/>
  <c r="C13" i="4" s="1"/>
  <c r="I20" i="2"/>
  <c r="I39" i="2" s="1"/>
  <c r="H20" i="2"/>
  <c r="H39" i="2" s="1"/>
  <c r="C11" i="4" s="1"/>
  <c r="G20" i="2"/>
  <c r="G39" i="2" s="1"/>
  <c r="C10" i="4" s="1"/>
  <c r="F20" i="2"/>
  <c r="F39" i="2" s="1"/>
  <c r="C9" i="4" s="1"/>
  <c r="E20" i="2"/>
  <c r="E39" i="2" s="1"/>
  <c r="C8" i="4" s="1"/>
  <c r="D20" i="2"/>
  <c r="D39" i="2" s="1"/>
  <c r="C7" i="4" s="1"/>
  <c r="C20" i="2"/>
  <c r="P19" i="2"/>
  <c r="O19" i="2"/>
  <c r="O18" i="2"/>
  <c r="P18" i="2" s="1"/>
  <c r="O17" i="2"/>
  <c r="P17" i="2" s="1"/>
  <c r="P16" i="2"/>
  <c r="O16" i="2"/>
  <c r="O20" i="2" s="1"/>
  <c r="P15" i="2"/>
  <c r="O15" i="2"/>
  <c r="O14" i="2"/>
  <c r="P14" i="2" s="1"/>
  <c r="O13" i="2"/>
  <c r="P13" i="2" s="1"/>
  <c r="M10" i="2"/>
  <c r="M40" i="2" s="1"/>
  <c r="L10" i="2"/>
  <c r="L40" i="2" s="1"/>
  <c r="K10" i="2"/>
  <c r="K40" i="2" s="1"/>
  <c r="J10" i="2"/>
  <c r="B13" i="4" s="1"/>
  <c r="I10" i="2"/>
  <c r="B12" i="4" s="1"/>
  <c r="H10" i="2"/>
  <c r="G10" i="2"/>
  <c r="G40" i="2" s="1"/>
  <c r="F10" i="2"/>
  <c r="F40" i="2" s="1"/>
  <c r="E10" i="2"/>
  <c r="B8" i="4" s="1"/>
  <c r="D10" i="2"/>
  <c r="B7" i="4" s="1"/>
  <c r="C10" i="2"/>
  <c r="B6" i="4" s="1"/>
  <c r="P9" i="2"/>
  <c r="O9" i="2"/>
  <c r="G25" i="1"/>
  <c r="C25" i="1"/>
  <c r="G23" i="1"/>
  <c r="C23" i="1"/>
  <c r="C12" i="1"/>
  <c r="O39" i="2" l="1"/>
  <c r="B23" i="4"/>
  <c r="C40" i="2"/>
  <c r="C6" i="4"/>
  <c r="E19" i="1"/>
  <c r="O8" i="2"/>
  <c r="P8" i="2" s="1"/>
  <c r="I40" i="2"/>
  <c r="C12" i="4"/>
  <c r="E11" i="4"/>
  <c r="P20" i="2"/>
  <c r="P39" i="2" s="1"/>
  <c r="O7" i="2"/>
  <c r="P7" i="2" s="1"/>
  <c r="E18" i="1"/>
  <c r="E13" i="4"/>
  <c r="N10" i="2"/>
  <c r="O6" i="2"/>
  <c r="E17" i="1"/>
  <c r="P70" i="2"/>
  <c r="H40" i="2"/>
  <c r="P23" i="2"/>
  <c r="P29" i="2" s="1"/>
  <c r="C70" i="2"/>
  <c r="C10" i="1" s="1"/>
  <c r="D70" i="2"/>
  <c r="B9" i="4"/>
  <c r="B14" i="4"/>
  <c r="C41" i="2"/>
  <c r="D41" i="2"/>
  <c r="D9" i="4"/>
  <c r="E9" i="4" s="1"/>
  <c r="D14" i="4"/>
  <c r="E14" i="4" s="1"/>
  <c r="E41" i="2"/>
  <c r="N39" i="2"/>
  <c r="C17" i="4" s="1"/>
  <c r="B10" i="4"/>
  <c r="E10" i="4" s="1"/>
  <c r="B15" i="4"/>
  <c r="H41" i="2"/>
  <c r="D15" i="4"/>
  <c r="E15" i="4" s="1"/>
  <c r="D40" i="2"/>
  <c r="J41" i="2"/>
  <c r="B11" i="4"/>
  <c r="B16" i="4"/>
  <c r="E40" i="2"/>
  <c r="D6" i="4"/>
  <c r="E6" i="4" s="1"/>
  <c r="D16" i="4"/>
  <c r="E16" i="4" s="1"/>
  <c r="J40" i="2"/>
  <c r="D12" i="4"/>
  <c r="E12" i="4" s="1"/>
  <c r="D17" i="4"/>
  <c r="O10" i="2" l="1"/>
  <c r="P6" i="2"/>
  <c r="P10" i="2" s="1"/>
  <c r="N40" i="2"/>
  <c r="B17" i="4"/>
  <c r="E17" i="4" s="1"/>
  <c r="N5" i="2"/>
  <c r="N41" i="2"/>
  <c r="D12" i="1"/>
  <c r="C6" i="3"/>
  <c r="D10" i="1"/>
  <c r="G26" i="1"/>
  <c r="C26" i="1"/>
  <c r="D69" i="2"/>
  <c r="C69" i="2"/>
  <c r="C9" i="1" s="1"/>
  <c r="D9" i="1" l="1"/>
  <c r="C24" i="1"/>
  <c r="G24" i="1" s="1"/>
  <c r="D11" i="1"/>
  <c r="F10" i="1"/>
  <c r="E10" i="1"/>
  <c r="G10" i="1"/>
  <c r="C10" i="3"/>
  <c r="C8" i="3"/>
  <c r="B11" i="3" s="1"/>
  <c r="C7" i="3"/>
  <c r="F12" i="1"/>
  <c r="G12" i="1" s="1"/>
  <c r="E12" i="1"/>
  <c r="C13" i="1"/>
  <c r="G18" i="1"/>
  <c r="G17" i="1"/>
  <c r="G19" i="1"/>
  <c r="D19" i="1"/>
  <c r="F19" i="1" s="1"/>
  <c r="D17" i="1"/>
  <c r="F17" i="1" s="1"/>
  <c r="D18" i="1"/>
  <c r="F18" i="1" s="1"/>
  <c r="P40" i="2"/>
  <c r="P41" i="2"/>
  <c r="D68" i="2"/>
  <c r="D8" i="1" s="1"/>
  <c r="C68" i="2"/>
  <c r="C8" i="1" s="1"/>
  <c r="C11" i="1" s="1"/>
  <c r="O40" i="2"/>
  <c r="O41" i="2"/>
  <c r="G13" i="1" l="1"/>
  <c r="F13" i="1"/>
  <c r="D13" i="1"/>
  <c r="G11" i="1"/>
  <c r="F11" i="1"/>
  <c r="E11" i="1"/>
  <c r="G8" i="1"/>
  <c r="E8" i="1"/>
  <c r="F8" i="1"/>
  <c r="F9" i="1"/>
  <c r="G9" i="1"/>
  <c r="E9" i="1"/>
</calcChain>
</file>

<file path=xl/sharedStrings.xml><?xml version="1.0" encoding="utf-8"?>
<sst xmlns="http://schemas.openxmlformats.org/spreadsheetml/2006/main" count="132" uniqueCount="128">
  <si>
    <t>💰  MI PLAN DE AHORRO PERSONAL</t>
  </si>
  <si>
    <t>Seguimiento anual · Método 50/30/20 · Objetivos y proyecciones</t>
  </si>
  <si>
    <t>RESUMEN FINANCIERO DEL AÑO</t>
  </si>
  <si>
    <t>MÉTRICA</t>
  </si>
  <si>
    <t>Planificado</t>
  </si>
  <si>
    <t>Real (acum.)</t>
  </si>
  <si>
    <t>Desviación</t>
  </si>
  <si>
    <t>% Cumpl.</t>
  </si>
  <si>
    <t>Estado</t>
  </si>
  <si>
    <t>Ingresos totales del año</t>
  </si>
  <si>
    <t>Total gastos del año</t>
  </si>
  <si>
    <t>Ahorro total del año</t>
  </si>
  <si>
    <t>Tasa de ahorro media</t>
  </si>
  <si>
    <t>Meta de ahorro anual</t>
  </si>
  <si>
    <t>Progreso hacia la meta</t>
  </si>
  <si>
    <t>ANÁLISIS MÉTODO 50/30/20 — MES ACTUAL</t>
  </si>
  <si>
    <t>CATEGORÍA</t>
  </si>
  <si>
    <t>% Ideal</t>
  </si>
  <si>
    <t>% Real</t>
  </si>
  <si>
    <t>Importe Real</t>
  </si>
  <si>
    <t>¿Dentro del límite?</t>
  </si>
  <si>
    <t>Diferencia €</t>
  </si>
  <si>
    <t>Necesidades (vivienda, suministros…)</t>
  </si>
  <si>
    <t>Estilo de vida (ocio, ropa, extras)</t>
  </si>
  <si>
    <t>Ahorro e inversión</t>
  </si>
  <si>
    <t>💡 INDICADORES CLAVE</t>
  </si>
  <si>
    <t>INDICADOR</t>
  </si>
  <si>
    <t>Valor</t>
  </si>
  <si>
    <t>Evaluación</t>
  </si>
  <si>
    <t>Fondo de emergencia cubierto</t>
  </si>
  <si>
    <t>Meses de gastos cubiertos</t>
  </si>
  <si>
    <t>Ratio deuda sobre ingresos</t>
  </si>
  <si>
    <t>Proyección ahorro fin de año</t>
  </si>
  <si>
    <t>ℹ️  Celdas con fondo amarillo son editables · Los datos de ejemplo son ficticios</t>
  </si>
  <si>
    <t>📊  REGISTRO DE INGRESOS, GASTOS Y AHORRO — MENSUAL</t>
  </si>
  <si>
    <t>CONCEPTO / 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</si>
  <si>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</si>
  <si>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</si>
  <si>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</si>
  <si>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</si>
  <si>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</si>
  <si>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</si>
  <si>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</si>
  <si>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</si>
  <si>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</si>
  <si>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</si>
  <si>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</si>
  <si>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</si>
  <si>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AÑO</t>
  </si>
  <si>
    <t>PROY. FIN AÑO</t>
  </si>
  <si>
    <t>▶ INGRESOS</t>
  </si>
  <si>
    <t>Salario neto</t>
  </si>
  <si>
    <t>Ingresos extra / freelance</t>
  </si>
  <si>
    <t>Alquiler / rentas</t>
  </si>
  <si>
    <t>Otros ingresos</t>
  </si>
  <si>
    <t>TOTAL INGRESOS</t>
  </si>
  <si>
    <t>▶ GASTOS — NECESIDADES (50%)</t>
  </si>
  <si>
    <t>Alquiler / hipoteca</t>
  </si>
  <si>
    <t>Electricidad y gas</t>
  </si>
  <si>
    <t>Agua e internet</t>
  </si>
  <si>
    <t>Alimentación (supermercado)</t>
  </si>
  <si>
    <t>Transporte (bono/combustible)</t>
  </si>
  <si>
    <t>Seguros (hogar, coche)</t>
  </si>
  <si>
    <t>Salud (médico, farmacia)</t>
  </si>
  <si>
    <t>TOTAL NECESIDADES</t>
  </si>
  <si>
    <t>▶ GASTOS — ESTILO DE VIDA (30%)</t>
  </si>
  <si>
    <t>Restaurantes y cafeterías</t>
  </si>
  <si>
    <t>Ocio y entretenimiento</t>
  </si>
  <si>
    <t>Ropa y calzado</t>
  </si>
  <si>
    <t>Suscripciones digitales</t>
  </si>
  <si>
    <t>Viajes y escapadas</t>
  </si>
  <si>
    <t>Cuidado personal (peluq.)</t>
  </si>
  <si>
    <t>TOTAL ESTILO DE VIDA</t>
  </si>
  <si>
    <t>▶ AHORRO E INVERSIÓN (20%)</t>
  </si>
  <si>
    <t>Fondo de emergencia</t>
  </si>
  <si>
    <t>Ahorro para objetivos</t>
  </si>
  <si>
    <t>Plan de pensiones / jubilación</t>
  </si>
  <si>
    <t>Inversión (fondos, acciones)</t>
  </si>
  <si>
    <t>TOTAL AHORRO</t>
  </si>
  <si>
    <t>TOTAL GASTOS</t>
  </si>
  <si>
    <t>SALDO MENSUAL (Ingresos − Gastos)</t>
  </si>
  <si>
    <t>TASA DE AHORRO (%)</t>
  </si>
  <si>
    <t>🟨 Celdas editables (ingresos y gastos)   |   Columna O = Total acumulado del año   |   Columna P = Proyección extrapolada a fin de año</t>
  </si>
  <si>
    <t>🎯  METAS DE AHORRO Y SEGUIMIENTO DE OBJETIVOS</t>
  </si>
  <si>
    <t>META GLOBAL DE AHORRO DEL AÑO</t>
  </si>
  <si>
    <t>Ahorro acumulado real</t>
  </si>
  <si>
    <t>Diferencia (objetivo - real)</t>
  </si>
  <si>
    <t>% completado</t>
  </si>
  <si>
    <t>Meses restantes</t>
  </si>
  <si>
    <t>Necesitas ahorrar al mes</t>
  </si>
  <si>
    <t>OBJETIVOS ESPECÍFICOS DE AHORRO</t>
  </si>
  <si>
    <t>OBJETIVO</t>
  </si>
  <si>
    <t>Importe meta</t>
  </si>
  <si>
    <t>Ahorrado</t>
  </si>
  <si>
    <t>Pendiente</t>
  </si>
  <si>
    <t>% Completado</t>
  </si>
  <si>
    <t>Vacaciones en verano</t>
  </si>
  <si>
    <t>Nuevo portátil</t>
  </si>
  <si>
    <t>Entrada para coche</t>
  </si>
  <si>
    <t>Curso de formación</t>
  </si>
  <si>
    <t>TOTALES</t>
  </si>
  <si>
    <t>⏱️  SIMULADOR — ¿CUÁNDO ALCANZARÉ MI OBJETIVO?</t>
  </si>
  <si>
    <t>Objetivo a alcanzar (€)</t>
  </si>
  <si>
    <t>Ahorro mensual disponible (€)</t>
  </si>
  <si>
    <t>Meses necesarios</t>
  </si>
  <si>
    <t>📈  ANÁLISIS VISUAL DE FINANZAS PERSONALES</t>
  </si>
  <si>
    <t>Mes</t>
  </si>
  <si>
    <t>Ingresos</t>
  </si>
  <si>
    <t>Gastos</t>
  </si>
  <si>
    <t>Ahorro</t>
  </si>
  <si>
    <t>Tasa ahorro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</si>
  <si>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</si>
  <si>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</si>
  <si>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</si>
  <si>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</si>
  <si>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</si>
  <si>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</si>
  <si>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</si>
  <si>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</si>
  <si>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</si>
  <si>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</si>
  <si>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</si>
  <si>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</si>
  <si>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Categoría</t>
  </si>
  <si>
    <t>Importe</t>
  </si>
  <si>
    <t>Necesidades</t>
  </si>
  <si>
    <t>Estilo de vida</t>
  </si>
  <si>
    <t>📌  Los gráficos se actualizan automáticamente al introducir datos en la hoja '📊 Registro Mensual'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</si>
</sst>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"/>
    <numFmt numFmtId="165" formatCode="0.0%"/>
    <numFmt numFmtId="166" formatCode="0&quot; meses&quot;"/>
  </numFmts>
  <fonts count="23" x14ac:knownFonts="1">
    <font>
      <sz val="11"/>
      <color theme="1"/>
      <name val="Calibri"/>
      <family val="2"/>
      <charset val="1"/>
    </font>
    <font>
      <b/>
      <sz val="18"/>
      <color rgb="FFFFFFFF"/>
      <name val="Arial"/>
      <charset val="1"/>
    </font>
    <font>
      <i/>
      <sz val="11"/>
      <color rgb="FF1A5276"/>
      <name val="Arial"/>
      <charset val="1"/>
    </font>
    <font>
      <b/>
      <sz val="11"/>
      <color rgb="FFFFFFFF"/>
      <name val="Arial"/>
      <charset val="1"/>
    </font>
    <font>
      <b/>
      <sz val="9"/>
      <color rgb="FFFFFFFF"/>
      <name val="Arial"/>
      <charset val="1"/>
    </font>
    <font>
      <b/>
      <sz val="10"/>
      <color rgb="FF000000"/>
      <name val="Arial"/>
      <charset val="1"/>
    </font>
    <font>
      <sz val="9"/>
      <color rgb="FF000000"/>
      <name val="Arial"/>
      <charset val="1"/>
    </font>
    <font>
      <sz val="9"/>
      <color rgb="FF1A5276"/>
      <name val="Courier New"/>
      <charset val="1"/>
    </font>
    <font>
      <b/>
      <sz val="10"/>
      <color rgb="FF1A5276"/>
      <name val="Arial"/>
      <charset val="1"/>
    </font>
    <font>
      <i/>
      <sz val="9"/>
      <color rgb="FF1F618D"/>
      <name val="Arial"/>
      <charset val="1"/>
    </font>
    <font>
      <b/>
      <sz val="14"/>
      <color rgb="FFFFFFFF"/>
      <name val="Arial"/>
      <charset val="1"/>
    </font>
    <font>
      <b/>
      <sz val="10"/>
      <color rgb="FFFFFFFF"/>
      <name val="Arial"/>
      <charset val="1"/>
    </font>
    <font>
      <sz val="10"/>
      <color rgb="FF000000"/>
      <name val="Arial"/>
      <charset val="1"/>
    </font>
    <font>
      <sz val="9"/>
      <color rgb="FF1A5276"/>
      <name val="Arial"/>
      <charset val="1"/>
    </font>
    <font>
      <b/>
      <sz val="9"/>
      <color rgb="FF1A5276"/>
      <name val="Arial"/>
      <charset val="1"/>
    </font>
    <font>
      <b/>
      <sz val="9"/>
      <color rgb="FF2980B9"/>
      <name val="Arial"/>
      <charset val="1"/>
    </font>
    <font>
      <b/>
      <sz val="9"/>
      <color rgb="FF27AE60"/>
      <name val="Arial"/>
      <charset val="1"/>
    </font>
    <font>
      <b/>
      <sz val="9"/>
      <color rgb="FFE74C3C"/>
      <name val="Arial"/>
      <charset val="1"/>
    </font>
    <font>
      <i/>
      <sz val="8"/>
      <color rgb="FF1F618D"/>
      <name val="Arial"/>
      <charset val="1"/>
    </font>
    <font>
      <b/>
      <sz val="11"/>
      <color rgb="FF1A5276"/>
      <name val="Arial"/>
      <charset val="1"/>
    </font>
    <font>
      <b/>
      <sz val="12"/>
      <color rgb="FF27AE60"/>
      <name val="Courier New"/>
      <charset val="1"/>
    </font>
    <font>
      <b/>
      <sz val="9"/>
      <color rgb="FF000000"/>
      <name val="Arial"/>
      <charset val="1"/>
    </font>
    <font>
      <b/>
      <sz val="11"/>
      <color rgb="FF27AE60"/>
      <name val="Arial"/>
      <charset val="1"/>
    </font>
  </fonts>
  <fills count="17">
    <fill>
      <patternFill patternType="none"/>
    </fill>
    <fill>
      <patternFill patternType="gray125"/>
    </fill>
    <fill>
      <patternFill patternType="solid">
        <fgColor rgb="FF1A5276"/>
        <bgColor rgb="FF154360"/>
      </patternFill>
    </fill>
    <fill>
      <patternFill patternType="solid">
        <fgColor rgb="FFECF0F1"/>
        <bgColor rgb="FFF2F3F4"/>
      </patternFill>
    </fill>
    <fill>
      <patternFill patternType="solid">
        <fgColor rgb="FF1F618D"/>
        <bgColor rgb="FF1D6A96"/>
      </patternFill>
    </fill>
    <fill>
      <patternFill patternType="solid">
        <fgColor rgb="FFD6EAF8"/>
        <bgColor rgb="FFD5F5E3"/>
      </patternFill>
    </fill>
    <fill>
      <patternFill patternType="solid">
        <fgColor rgb="FFEBF5FB"/>
        <bgColor rgb="FFEAF6FF"/>
      </patternFill>
    </fill>
    <fill>
      <patternFill patternType="solid">
        <fgColor rgb="FFFFF9C4"/>
        <bgColor rgb="FFF9F9F9"/>
      </patternFill>
    </fill>
    <fill>
      <patternFill patternType="solid">
        <fgColor rgb="FFF2F3F4"/>
        <bgColor rgb="FFECF0F1"/>
      </patternFill>
    </fill>
    <fill>
      <patternFill patternType="solid">
        <fgColor rgb="FF154360"/>
        <bgColor rgb="FF1A5276"/>
      </patternFill>
    </fill>
    <fill>
      <patternFill patternType="solid">
        <fgColor rgb="FF1D6A96"/>
        <bgColor rgb="FF1F618D"/>
      </patternFill>
    </fill>
    <fill>
      <patternFill patternType="solid">
        <fgColor rgb="FF27AE60"/>
        <bgColor rgb="FF33CCCC"/>
      </patternFill>
    </fill>
    <fill>
      <patternFill patternType="solid">
        <fgColor rgb="FFD5F5E3"/>
        <bgColor rgb="FFD6EAF8"/>
      </patternFill>
    </fill>
    <fill>
      <patternFill patternType="solid">
        <fgColor rgb="FFEAFAF1"/>
        <bgColor rgb="FFEBF5FB"/>
      </patternFill>
    </fill>
    <fill>
      <patternFill patternType="solid">
        <fgColor rgb="FFE74C3C"/>
        <bgColor rgb="FFC0504D"/>
      </patternFill>
    </fill>
    <fill>
      <patternFill patternType="solid">
        <fgColor rgb="FFFADBD8"/>
        <bgColor rgb="FFD9D9D9"/>
      </patternFill>
    </fill>
    <fill>
      <patternFill patternType="solid">
        <fgColor rgb="FFEAF6FF"/>
        <bgColor rgb="FFEBF5FB"/>
      </patternFill>
    </fill>
  </fills>
  <borders count="4">
    <border>
      <left/>
      <right/>
      <top/>
      <bottom/>
      <diagonal/>
    </border>
    <border>
      <left style="thin">
        <color rgb="FFBFC9CA"/>
      </left>
      <right/>
      <top style="thin">
        <color rgb="FFBFC9CA"/>
      </top>
      <bottom style="thin">
        <color rgb="FFBFC9CA"/>
      </bottom>
      <diagonal/>
    </border>
    <border>
      <left style="thin">
        <color rgb="FFBFC9CA"/>
      </left>
      <right style="thin">
        <color rgb="FFBFC9CA"/>
      </right>
      <top style="thin">
        <color rgb="FFBFC9CA"/>
      </top>
      <bottom style="thin">
        <color rgb="FFBFC9CA"/>
      </bottom>
      <diagonal/>
    </border>
    <border>
      <left style="medium">
        <color rgb="FF1A5276"/>
      </left>
      <right/>
      <top style="medium">
        <color rgb="FF1A5276"/>
      </top>
      <bottom style="medium">
        <color rgb="FF1A5276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0" fillId="16" borderId="3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64" fontId="8" fillId="6" borderId="1" xfId="0" applyNumberFormat="1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/>
    </xf>
    <xf numFmtId="164" fontId="6" fillId="5" borderId="2" xfId="0" applyNumberFormat="1" applyFont="1" applyFill="1" applyBorder="1" applyAlignment="1">
      <alignment horizontal="center" vertical="center"/>
    </xf>
    <xf numFmtId="165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left" vertical="center"/>
    </xf>
    <xf numFmtId="164" fontId="6" fillId="6" borderId="2" xfId="0" applyNumberFormat="1" applyFont="1" applyFill="1" applyBorder="1" applyAlignment="1">
      <alignment horizontal="center" vertical="center"/>
    </xf>
    <xf numFmtId="165" fontId="6" fillId="6" borderId="2" xfId="0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165" fontId="0" fillId="0" borderId="0" xfId="0" applyNumberFormat="1"/>
    <xf numFmtId="0" fontId="7" fillId="0" borderId="0" xfId="0" applyFont="1" applyAlignment="1">
      <alignment horizontal="left" vertical="center"/>
    </xf>
    <xf numFmtId="9" fontId="5" fillId="5" borderId="2" xfId="0" applyNumberFormat="1" applyFont="1" applyFill="1" applyBorder="1" applyAlignment="1">
      <alignment horizontal="center" vertical="center"/>
    </xf>
    <xf numFmtId="9" fontId="5" fillId="6" borderId="2" xfId="0" applyNumberFormat="1" applyFont="1" applyFill="1" applyBorder="1" applyAlignment="1">
      <alignment horizontal="center" vertical="center"/>
    </xf>
    <xf numFmtId="0" fontId="0" fillId="4" borderId="2" xfId="0" applyFill="1" applyBorder="1"/>
    <xf numFmtId="0" fontId="11" fillId="2" borderId="2" xfId="0" applyFont="1" applyFill="1" applyBorder="1" applyAlignment="1">
      <alignment horizontal="center" vertical="center" wrapText="1"/>
    </xf>
    <xf numFmtId="0" fontId="0" fillId="2" borderId="2" xfId="0" applyFill="1" applyBorder="1"/>
    <xf numFmtId="164" fontId="0" fillId="2" borderId="2" xfId="0" applyNumberFormat="1" applyFill="1" applyBorder="1"/>
    <xf numFmtId="0" fontId="12" fillId="5" borderId="2" xfId="0" applyFont="1" applyFill="1" applyBorder="1" applyAlignment="1">
      <alignment horizontal="left" vertical="center" indent="1"/>
    </xf>
    <xf numFmtId="164" fontId="13" fillId="7" borderId="2" xfId="0" applyNumberFormat="1" applyFont="1" applyFill="1" applyBorder="1" applyAlignment="1">
      <alignment horizontal="right" vertical="center"/>
    </xf>
    <xf numFmtId="164" fontId="14" fillId="5" borderId="2" xfId="0" applyNumberFormat="1" applyFont="1" applyFill="1" applyBorder="1" applyAlignment="1">
      <alignment horizontal="right" vertical="center"/>
    </xf>
    <xf numFmtId="164" fontId="15" fillId="8" borderId="2" xfId="0" applyNumberFormat="1" applyFont="1" applyFill="1" applyBorder="1" applyAlignment="1">
      <alignment horizontal="right" vertical="center"/>
    </xf>
    <xf numFmtId="0" fontId="12" fillId="6" borderId="2" xfId="0" applyFont="1" applyFill="1" applyBorder="1" applyAlignment="1">
      <alignment horizontal="left" vertical="center" indent="1"/>
    </xf>
    <xf numFmtId="164" fontId="4" fillId="4" borderId="2" xfId="0" applyNumberFormat="1" applyFont="1" applyFill="1" applyBorder="1" applyAlignment="1">
      <alignment horizontal="right" vertical="center"/>
    </xf>
    <xf numFmtId="0" fontId="11" fillId="9" borderId="2" xfId="0" applyFont="1" applyFill="1" applyBorder="1" applyAlignment="1">
      <alignment horizontal="center" vertical="center" wrapText="1"/>
    </xf>
    <xf numFmtId="0" fontId="0" fillId="9" borderId="2" xfId="0" applyFill="1" applyBorder="1"/>
    <xf numFmtId="0" fontId="4" fillId="2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right" vertical="center"/>
    </xf>
    <xf numFmtId="0" fontId="11" fillId="10" borderId="2" xfId="0" applyFont="1" applyFill="1" applyBorder="1" applyAlignment="1">
      <alignment horizontal="center" vertical="center" wrapText="1"/>
    </xf>
    <xf numFmtId="0" fontId="0" fillId="10" borderId="2" xfId="0" applyFill="1" applyBorder="1"/>
    <xf numFmtId="0" fontId="4" fillId="10" borderId="2" xfId="0" applyFont="1" applyFill="1" applyBorder="1" applyAlignment="1">
      <alignment horizontal="center" vertical="center" wrapText="1"/>
    </xf>
    <xf numFmtId="164" fontId="4" fillId="10" borderId="2" xfId="0" applyNumberFormat="1" applyFont="1" applyFill="1" applyBorder="1" applyAlignment="1">
      <alignment horizontal="right" vertical="center"/>
    </xf>
    <xf numFmtId="0" fontId="11" fillId="11" borderId="2" xfId="0" applyFont="1" applyFill="1" applyBorder="1" applyAlignment="1">
      <alignment horizontal="center" vertical="center" wrapText="1"/>
    </xf>
    <xf numFmtId="0" fontId="0" fillId="11" borderId="2" xfId="0" applyFill="1" applyBorder="1"/>
    <xf numFmtId="0" fontId="12" fillId="12" borderId="2" xfId="0" applyFont="1" applyFill="1" applyBorder="1" applyAlignment="1">
      <alignment horizontal="left" vertical="center" indent="1"/>
    </xf>
    <xf numFmtId="164" fontId="16" fillId="12" borderId="2" xfId="0" applyNumberFormat="1" applyFont="1" applyFill="1" applyBorder="1" applyAlignment="1">
      <alignment horizontal="right" vertical="center"/>
    </xf>
    <xf numFmtId="0" fontId="12" fillId="13" borderId="2" xfId="0" applyFont="1" applyFill="1" applyBorder="1" applyAlignment="1">
      <alignment horizontal="left" vertical="center" indent="1"/>
    </xf>
    <xf numFmtId="0" fontId="4" fillId="11" borderId="2" xfId="0" applyFont="1" applyFill="1" applyBorder="1" applyAlignment="1">
      <alignment horizontal="center" vertical="center" wrapText="1"/>
    </xf>
    <xf numFmtId="164" fontId="4" fillId="11" borderId="2" xfId="0" applyNumberFormat="1" applyFont="1" applyFill="1" applyBorder="1" applyAlignment="1">
      <alignment horizontal="right" vertical="center"/>
    </xf>
    <xf numFmtId="0" fontId="11" fillId="14" borderId="2" xfId="0" applyFont="1" applyFill="1" applyBorder="1" applyAlignment="1">
      <alignment horizontal="left" vertical="center"/>
    </xf>
    <xf numFmtId="164" fontId="17" fillId="15" borderId="2" xfId="0" applyNumberFormat="1" applyFont="1" applyFill="1" applyBorder="1" applyAlignment="1">
      <alignment horizontal="right" vertical="center"/>
    </xf>
    <xf numFmtId="164" fontId="4" fillId="14" borderId="2" xfId="0" applyNumberFormat="1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left" vertical="center"/>
    </xf>
    <xf numFmtId="0" fontId="11" fillId="11" borderId="2" xfId="0" applyFont="1" applyFill="1" applyBorder="1" applyAlignment="1">
      <alignment horizontal="left" vertical="center"/>
    </xf>
    <xf numFmtId="165" fontId="16" fillId="12" borderId="2" xfId="0" applyNumberFormat="1" applyFont="1" applyFill="1" applyBorder="1" applyAlignment="1">
      <alignment horizontal="right" vertical="center"/>
    </xf>
    <xf numFmtId="165" fontId="4" fillId="11" borderId="2" xfId="0" applyNumberFormat="1" applyFont="1" applyFill="1" applyBorder="1" applyAlignment="1">
      <alignment horizontal="right" vertical="center"/>
    </xf>
    <xf numFmtId="164" fontId="0" fillId="0" borderId="0" xfId="0" applyNumberFormat="1"/>
    <xf numFmtId="164" fontId="19" fillId="7" borderId="2" xfId="0" applyNumberFormat="1" applyFont="1" applyFill="1" applyBorder="1" applyAlignment="1">
      <alignment horizontal="center" vertical="center"/>
    </xf>
    <xf numFmtId="164" fontId="19" fillId="5" borderId="2" xfId="0" applyNumberFormat="1" applyFont="1" applyFill="1" applyBorder="1" applyAlignment="1">
      <alignment horizontal="center" vertical="center"/>
    </xf>
    <xf numFmtId="165" fontId="19" fillId="5" borderId="2" xfId="0" applyNumberFormat="1" applyFont="1" applyFill="1" applyBorder="1" applyAlignment="1">
      <alignment horizontal="center" vertical="center"/>
    </xf>
    <xf numFmtId="1" fontId="19" fillId="5" borderId="2" xfId="0" applyNumberFormat="1" applyFont="1" applyFill="1" applyBorder="1" applyAlignment="1">
      <alignment horizontal="center" vertical="center"/>
    </xf>
    <xf numFmtId="164" fontId="14" fillId="7" borderId="2" xfId="0" applyNumberFormat="1" applyFont="1" applyFill="1" applyBorder="1" applyAlignment="1">
      <alignment horizontal="right" vertical="center"/>
    </xf>
    <xf numFmtId="164" fontId="21" fillId="5" borderId="2" xfId="0" applyNumberFormat="1" applyFont="1" applyFill="1" applyBorder="1" applyAlignment="1">
      <alignment horizontal="right" vertical="center"/>
    </xf>
    <xf numFmtId="165" fontId="21" fillId="5" borderId="2" xfId="0" applyNumberFormat="1" applyFont="1" applyFill="1" applyBorder="1" applyAlignment="1">
      <alignment horizontal="center" vertical="center"/>
    </xf>
    <xf numFmtId="164" fontId="21" fillId="6" borderId="2" xfId="0" applyNumberFormat="1" applyFont="1" applyFill="1" applyBorder="1" applyAlignment="1">
      <alignment horizontal="right" vertical="center"/>
    </xf>
    <xf numFmtId="165" fontId="21" fillId="6" borderId="2" xfId="0" applyNumberFormat="1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right" vertical="center"/>
    </xf>
    <xf numFmtId="166" fontId="22" fillId="5" borderId="2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980B9"/>
      <rgbColor rgb="FFBFC9CA"/>
      <rgbColor rgb="FF878787"/>
      <rgbColor rgb="FFEAF6FF"/>
      <rgbColor rgb="FFC0504D"/>
      <rgbColor rgb="FFFFF9C4"/>
      <rgbColor rgb="FFD6EAF8"/>
      <rgbColor rgb="FF660066"/>
      <rgbColor rgb="FFFF8080"/>
      <rgbColor rgb="FF1D6A96"/>
      <rgbColor rgb="FFD9D9D9"/>
      <rgbColor rgb="FF000080"/>
      <rgbColor rgb="FFFF00FF"/>
      <rgbColor rgb="FFFFFF00"/>
      <rgbColor rgb="FF00FFFF"/>
      <rgbColor rgb="FF800080"/>
      <rgbColor rgb="FF800000"/>
      <rgbColor rgb="FF1F618D"/>
      <rgbColor rgb="FF0000FF"/>
      <rgbColor rgb="FF00CCFF"/>
      <rgbColor rgb="FFEAFAF1"/>
      <rgbColor rgb="FFD5F5E3"/>
      <rgbColor rgb="FFF9F9F9"/>
      <rgbColor rgb="FFECF0F1"/>
      <rgbColor rgb="FFF2F3F4"/>
      <rgbColor rgb="FFEBF5FB"/>
      <rgbColor rgb="FFFADBD8"/>
      <rgbColor rgb="FF4F81BD"/>
      <rgbColor rgb="FF33CCCC"/>
      <rgbColor rgb="FF9BBB59"/>
      <rgbColor rgb="FFFFCC00"/>
      <rgbColor rgb="FFFF9900"/>
      <rgbColor rgb="FFE74C3C"/>
      <rgbColor rgb="FF4A7EBB"/>
      <rgbColor rgb="FF969696"/>
      <rgbColor rgb="FF154360"/>
      <rgbColor rgb="FF27AE60"/>
      <rgbColor rgb="FF003300"/>
      <rgbColor rgb="FF333300"/>
      <rgbColor rgb="FF993300"/>
      <rgbColor rgb="FF993366"/>
      <rgbColor rgb="FF1A527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Ingresos vs Gastos vs Ahorro por 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'📈 Gráficos'!$B$5</c:f>
              <c:strCache>
                <c:ptCount val="1"/>
                <c:pt idx="0">
                  <c:v>Ingresos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'📈 Gráficos'!$A$6:$A$17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'📈 Gráficos'!$B$6:$B$17</c:f>
              <c:numCache>
                <c:formatCode>#,##0.00" €"</c:formatCode>
                <c:ptCount val="12"/>
                <c:pt idx="0">
                  <c:v>2600</c:v>
                </c:pt>
                <c:pt idx="1">
                  <c:v>2430</c:v>
                </c:pt>
                <c:pt idx="2">
                  <c:v>2720</c:v>
                </c:pt>
                <c:pt idx="3">
                  <c:v>2450</c:v>
                </c:pt>
                <c:pt idx="4">
                  <c:v>2630</c:v>
                </c:pt>
                <c:pt idx="5">
                  <c:v>2420</c:v>
                </c:pt>
                <c:pt idx="6">
                  <c:v>2600</c:v>
                </c:pt>
                <c:pt idx="7">
                  <c:v>2430</c:v>
                </c:pt>
                <c:pt idx="8">
                  <c:v>2420</c:v>
                </c:pt>
                <c:pt idx="9">
                  <c:v>2750</c:v>
                </c:pt>
                <c:pt idx="10">
                  <c:v>2430</c:v>
                </c:pt>
                <c:pt idx="11">
                  <c:v>2400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48-4372-804D-6958C8BB229D}"/>
            </c:ext>
          </c:extLst>
        </c:ser>
        <c:ser>
          <c:idx val="1"/>
          <c:order val="1"/>
          <c:tx>
            <c:strRef>
              <c:f>'📈 Gráficos'!$C$5</c:f>
              <c:strCache>
                <c:ptCount val="1"/>
                <c:pt idx="0">
                  <c:v>Gastos</c:v>
                </c:pt>
              </c:strCache>
            </c:strRef>
          </c:tx>
          <c:spPr>
            <a:solidFill>
              <a:srgbClr val="C0504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'📈 Gráficos'!$A$6:$A$17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'📈 Gráficos'!$C$6:$C$17</c:f>
              <c:numCache>
                <c:formatCode>#,##0.00" €"</c:formatCode>
                <c:ptCount val="12"/>
                <c:pt idx="0">
                  <c:v>2145</c:v>
                </c:pt>
                <c:pt idx="1">
                  <c:v>2020</c:v>
                </c:pt>
                <c:pt idx="2">
                  <c:v>2075</c:v>
                </c:pt>
                <c:pt idx="3">
                  <c:v>2300</c:v>
                </c:pt>
                <c:pt idx="4">
                  <c:v>2050</c:v>
                </c:pt>
                <c:pt idx="5">
                  <c:v>2040</c:v>
                </c:pt>
                <c:pt idx="6">
                  <c:v>2455</c:v>
                </c:pt>
                <c:pt idx="7">
                  <c:v>2140</c:v>
                </c:pt>
                <c:pt idx="8">
                  <c:v>2045</c:v>
                </c:pt>
                <c:pt idx="9">
                  <c:v>2060</c:v>
                </c:pt>
                <c:pt idx="10">
                  <c:v>2085</c:v>
                </c:pt>
                <c:pt idx="11">
                  <c:v>2380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48-4372-804D-6958C8BB229D}"/>
            </c:ext>
          </c:extLst>
        </c:ser>
        <c:ser>
          <c:idx val="2"/>
          <c:order val="2"/>
          <c:tx>
            <c:strRef>
              <c:f>'📈 Gráficos'!$D$5</c:f>
              <c:strCache>
                <c:ptCount val="1"/>
                <c:pt idx="0">
                  <c:v>Ahorro</c:v>
                </c:pt>
              </c:strCache>
            </c:strRef>
          </c:tx>
          <c:spPr>
            <a:solidFill>
              <a:srgbClr val="9BBB59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'📈 Gráficos'!$A$6:$A$17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'📈 Gráficos'!$D$6:$D$17</c:f>
              <c:numCache>
                <c:formatCode>#,##0.00" €"</c:formatCode>
                <c:ptCount val="12"/>
                <c:pt idx="0">
                  <c:v>400</c:v>
                </c:pt>
                <c:pt idx="1">
                  <c:v>400</c:v>
                </c:pt>
                <c:pt idx="2">
                  <c:v>400</c:v>
                </c:pt>
                <c:pt idx="3">
                  <c:v>400</c:v>
                </c:pt>
                <c:pt idx="4">
                  <c:v>400</c:v>
                </c:pt>
                <c:pt idx="5">
                  <c:v>400</c:v>
                </c:pt>
                <c:pt idx="6">
                  <c:v>400</c:v>
                </c:pt>
                <c:pt idx="7">
                  <c:v>400</c:v>
                </c:pt>
                <c:pt idx="8">
                  <c:v>400</c:v>
                </c:pt>
                <c:pt idx="9">
                  <c:v>400</c:v>
                </c:pt>
                <c:pt idx="10">
                  <c:v>400</c:v>
                </c:pt>
                <c:pt idx="11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48-4372-804D-6958C8BB2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030468"/>
        <c:axId val="16473441"/>
      </c:barChart>
      <c:catAx>
        <c:axId val="6303046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Mes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16473441"/>
        <c:crosses val="autoZero"/>
        <c:auto val="1"/>
        <c:lblAlgn val="ctr"/>
        <c:lblOffset val="100"/>
        <c:noMultiLvlLbl val="0"/>
      </c:catAx>
      <c:valAx>
        <c:axId val="1647344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Euros (€)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0&quot; €&quot;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63030468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Evolución Tasa de Ahorro (%)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'📈 Gráficos'!$E$5</c:f>
              <c:strCache>
                <c:ptCount val="1"/>
                <c:pt idx="0">
                  <c:v>Tasa ahorro</c:v>
                </c:pt>
              </c:strCache>
            </c:strRef>
          </c:tx>
          <c:spPr>
            <a:ln w="4752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'📈 Gráficos'!$A$6:$A$17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'📈 Gráficos'!$E$6:$E$17</c:f>
              <c:numCache>
                <c:formatCode>0.0%</c:formatCode>
                <c:ptCount val="12"/>
                <c:pt idx="0">
                  <c:v>0.15384615384615385</c:v>
                </c:pt>
                <c:pt idx="1">
                  <c:v>0.16460905349794239</c:v>
                </c:pt>
                <c:pt idx="2">
                  <c:v>0.14705882352941177</c:v>
                </c:pt>
                <c:pt idx="3">
                  <c:v>0.16326530612244897</c:v>
                </c:pt>
                <c:pt idx="4">
                  <c:v>0.15209125475285171</c:v>
                </c:pt>
                <c:pt idx="5">
                  <c:v>0.16528925619834711</c:v>
                </c:pt>
                <c:pt idx="6">
                  <c:v>0.15384615384615385</c:v>
                </c:pt>
                <c:pt idx="7">
                  <c:v>0.16460905349794239</c:v>
                </c:pt>
                <c:pt idx="8">
                  <c:v>0.16528925619834711</c:v>
                </c:pt>
                <c:pt idx="9">
                  <c:v>0.14545454545454545</c:v>
                </c:pt>
                <c:pt idx="10">
                  <c:v>0.16460905349794239</c:v>
                </c:pt>
                <c:pt idx="11">
                  <c:v>0.16666666666666666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789-4147-9B21-703858E4B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40229515"/>
        <c:axId val="22289040"/>
      </c:lineChart>
      <c:catAx>
        <c:axId val="4022951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Mes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22289040"/>
        <c:crosses val="autoZero"/>
        <c:auto val="1"/>
        <c:lblAlgn val="ctr"/>
        <c:lblOffset val="100"/>
        <c:noMultiLvlLbl val="0"/>
      </c:catAx>
      <c:valAx>
        <c:axId val="2228904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40229515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Distribución Anual del Dinero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'📈 Gráficos'!$B$22</c:f>
              <c:strCache>
                <c:ptCount val="1"/>
                <c:pt idx="0">
                  <c:v>Importe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EB4D-4748-9360-2FFDD9B8BE1E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EB4D-4748-9360-2FFDD9B8BE1E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EB4D-4748-9360-2FFDD9B8BE1E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1-EB4D-4748-9360-2FFDD9B8BE1E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3-EB4D-4748-9360-2FFDD9B8BE1E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5-EB4D-4748-9360-2FFDD9B8BE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de-DE"/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'📈 Gráficos'!$A$23:$A$25</c:f>
              <c:strCache>
                <c:ptCount val="3"/>
                <c:pt idx="0">
                  <c:v>Necesidades</c:v>
                </c:pt>
                <c:pt idx="1">
                  <c:v>Estilo de vida</c:v>
                </c:pt>
                <c:pt idx="2">
                  <c:v>Ahorro</c:v>
                </c:pt>
              </c:strCache>
            </c:strRef>
          </c:cat>
          <c:val>
            <c:numRef>
              <c:f>'📈 Gráficos'!$B$23:$B$25</c:f>
              <c:numCache>
                <c:formatCode>#,##0.00" €"</c:formatCode>
                <c:ptCount val="3"/>
                <c:pt idx="0">
                  <c:v>17730</c:v>
                </c:pt>
                <c:pt idx="1">
                  <c:v>3265</c:v>
                </c:pt>
                <c:pt idx="2">
                  <c:v>4800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B4D-4748-9360-2FFDD9B8B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11</xdr:col>
      <xdr:colOff>364320</xdr:colOff>
      <xdr:row>25</xdr:row>
      <xdr:rowOff>128520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0</xdr:colOff>
      <xdr:row>3</xdr:row>
      <xdr:rowOff>0</xdr:rowOff>
    </xdr:from>
    <xdr:to>
      <xdr:col>19</xdr:col>
      <xdr:colOff>147240</xdr:colOff>
      <xdr:row>21</xdr:row>
      <xdr:rowOff>170280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19</xdr:row>
      <xdr:rowOff>0</xdr:rowOff>
    </xdr:from>
    <xdr:to>
      <xdr:col>9</xdr:col>
      <xdr:colOff>147240</xdr:colOff>
      <xdr:row>37</xdr:row>
      <xdr:rowOff>170280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9"/>
  <sheetViews>
    <sheetView showGridLines="0" tabSelected="1" zoomScaleNormal="100" workbookViewId="0">
      <pane ySplit="7" topLeftCell="A8" activePane="bottomLeft" state="frozen"/>
      <selection pane="bottomLeft" activeCell="P11" sqref="P11"/>
    </sheetView>
  </sheetViews>
  <sheetFormatPr baseColWidth="10" defaultColWidth="8.7109375" defaultRowHeight="15" x14ac:dyDescent="0.25"/>
  <cols>
    <col min="1" max="1" width="0.85546875" customWidth="1"/>
    <col min="2" max="2" width="22" customWidth="1"/>
    <col min="3" max="6" width="14" customWidth="1"/>
    <col min="7" max="7" width="16.85546875" bestFit="1" customWidth="1"/>
    <col min="8" max="8" width="1.85546875" customWidth="1"/>
    <col min="9" max="9" width="3" customWidth="1"/>
  </cols>
  <sheetData>
    <row r="1" spans="2:8" ht="7.5" customHeight="1" x14ac:dyDescent="0.25"/>
    <row r="2" spans="2:8" ht="36" customHeight="1" x14ac:dyDescent="0.25">
      <c r="B2" s="9" t="s">
        <v>0</v>
      </c>
      <c r="C2" s="9"/>
      <c r="D2" s="9"/>
      <c r="E2" s="9"/>
      <c r="F2" s="9"/>
      <c r="G2" s="9"/>
      <c r="H2" s="9"/>
    </row>
    <row r="3" spans="2:8" ht="7.5" customHeight="1" x14ac:dyDescent="0.25"/>
    <row r="4" spans="2:8" ht="21.75" customHeight="1" x14ac:dyDescent="0.25">
      <c r="B4" s="8" t="s">
        <v>1</v>
      </c>
      <c r="C4" s="8"/>
      <c r="D4" s="8"/>
      <c r="E4" s="8"/>
      <c r="F4" s="8"/>
      <c r="G4" s="8"/>
      <c r="H4" s="8"/>
    </row>
    <row r="5" spans="2:8" ht="18" customHeight="1" x14ac:dyDescent="0.25"/>
    <row r="6" spans="2:8" ht="18" customHeight="1" x14ac:dyDescent="0.25">
      <c r="B6" s="7" t="s">
        <v>2</v>
      </c>
      <c r="C6" s="7"/>
      <c r="D6" s="7"/>
      <c r="E6" s="7"/>
      <c r="F6" s="7"/>
      <c r="G6" s="7"/>
      <c r="H6" s="7"/>
    </row>
    <row r="7" spans="2:8" ht="21.75" customHeight="1" x14ac:dyDescent="0.2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</row>
    <row r="8" spans="2:8" ht="18" customHeight="1" x14ac:dyDescent="0.25">
      <c r="B8" s="11" t="s">
        <v>9</v>
      </c>
      <c r="C8" s="12">
        <f>'📊 Registro Mensual'!C68</f>
        <v>30280</v>
      </c>
      <c r="D8" s="12">
        <f>'📊 Registro Mensual'!D68</f>
        <v>30280</v>
      </c>
      <c r="E8" s="12">
        <f>D8-C8</f>
        <v>0</v>
      </c>
      <c r="F8" s="13">
        <f>IFERROR(D8/C8,"")</f>
        <v>1</v>
      </c>
      <c r="G8" s="14" t="str">
        <f>IF(D8&gt;=C8,"✅ En objetivo","⚠️ Por debajo")</f>
        <v>✅ En objetivo</v>
      </c>
    </row>
    <row r="9" spans="2:8" ht="18" customHeight="1" x14ac:dyDescent="0.25">
      <c r="B9" s="15" t="s">
        <v>10</v>
      </c>
      <c r="C9" s="16">
        <f>'📊 Registro Mensual'!C69</f>
        <v>25795</v>
      </c>
      <c r="D9" s="16">
        <f>'📊 Registro Mensual'!D69</f>
        <v>25795</v>
      </c>
      <c r="E9" s="16">
        <f>D9-C9</f>
        <v>0</v>
      </c>
      <c r="F9" s="17">
        <f>IFERROR(D9/C9,"")</f>
        <v>1</v>
      </c>
      <c r="G9" s="18" t="str">
        <f>IF(D9&lt;=C9,"✅ Controlado","🔴 Excedido")</f>
        <v>✅ Controlado</v>
      </c>
    </row>
    <row r="10" spans="2:8" ht="18" customHeight="1" x14ac:dyDescent="0.25">
      <c r="B10" s="11" t="s">
        <v>11</v>
      </c>
      <c r="C10" s="12">
        <f>'📊 Registro Mensual'!C70</f>
        <v>4800</v>
      </c>
      <c r="D10" s="12">
        <f>'📊 Registro Mensual'!D70</f>
        <v>4800</v>
      </c>
      <c r="E10" s="12">
        <f>D10-C10</f>
        <v>0</v>
      </c>
      <c r="F10" s="13">
        <f>IFERROR(D10/C10,"")</f>
        <v>1</v>
      </c>
      <c r="G10" s="14" t="str">
        <f>IF(D10&gt;=C10,"✅ Logrado","⚠️ Mejorable")</f>
        <v>✅ Logrado</v>
      </c>
    </row>
    <row r="11" spans="2:8" ht="18" customHeight="1" x14ac:dyDescent="0.25">
      <c r="B11" s="15" t="s">
        <v>12</v>
      </c>
      <c r="C11" s="16">
        <f>IFERROR(C10/C8,"")</f>
        <v>0.15852047556142668</v>
      </c>
      <c r="D11" s="16">
        <f>IFERROR(D10/D8,"")</f>
        <v>0.15852047556142668</v>
      </c>
      <c r="E11" s="16">
        <f>D11-C11</f>
        <v>0</v>
      </c>
      <c r="F11" s="17">
        <f>IFERROR(D11/C11,"")</f>
        <v>1</v>
      </c>
      <c r="G11" s="18" t="str">
        <f>IF(D11&gt;=0.2,"✅ 20%+ logrado",IF(D11&gt;=0.1,"⚠️ Mejorar","🔴 Crítico"))</f>
        <v>⚠️ Mejorar</v>
      </c>
    </row>
    <row r="12" spans="2:8" ht="18" customHeight="1" x14ac:dyDescent="0.25">
      <c r="B12" s="11" t="s">
        <v>13</v>
      </c>
      <c r="C12" s="12">
        <f>'🎯 Metas de Ahorro'!C5</f>
        <v>4800</v>
      </c>
      <c r="D12" s="12">
        <f>'📊 Registro Mensual'!D70</f>
        <v>4800</v>
      </c>
      <c r="E12" s="12">
        <f>D12-C12</f>
        <v>0</v>
      </c>
      <c r="F12" s="13">
        <f>IFERROR(D12/C12,"")</f>
        <v>1</v>
      </c>
      <c r="G12" s="14" t="str">
        <f>IF(F12&gt;=1,"✅ Meta alcanzada",IF(F12&gt;=0.75,"🔷 Buen ritmo","⚠️ Acelerar"))</f>
        <v>✅ Meta alcanzada</v>
      </c>
    </row>
    <row r="13" spans="2:8" ht="18" customHeight="1" x14ac:dyDescent="0.25">
      <c r="B13" s="15" t="s">
        <v>14</v>
      </c>
      <c r="C13" s="19">
        <f>IFERROR(D12/C12,0)</f>
        <v>1</v>
      </c>
      <c r="D13" s="20" t="str">
        <f>REPT("█",ROUND(C13*20,0))&amp;REPT("░",20-ROUND(C13*20,0))</f>
        <v>████████████████████</v>
      </c>
      <c r="F13" s="19">
        <f>C13</f>
        <v>1</v>
      </c>
      <c r="G13" t="str">
        <f>TEXT(C13,"0.0%")&amp;" completado"</f>
        <v>100% completado</v>
      </c>
    </row>
    <row r="14" spans="2:8" ht="18" customHeight="1" x14ac:dyDescent="0.25"/>
    <row r="15" spans="2:8" ht="18" customHeight="1" x14ac:dyDescent="0.25">
      <c r="B15" s="7" t="s">
        <v>15</v>
      </c>
      <c r="C15" s="7"/>
      <c r="D15" s="7"/>
      <c r="E15" s="7"/>
      <c r="F15" s="7"/>
      <c r="G15" s="7"/>
      <c r="H15" s="7"/>
    </row>
    <row r="16" spans="2:8" ht="18" customHeight="1" x14ac:dyDescent="0.25">
      <c r="B16" s="10" t="s">
        <v>16</v>
      </c>
      <c r="C16" s="10" t="s">
        <v>17</v>
      </c>
      <c r="D16" s="10" t="s">
        <v>18</v>
      </c>
      <c r="E16" s="10" t="s">
        <v>19</v>
      </c>
      <c r="F16" s="10" t="s">
        <v>20</v>
      </c>
      <c r="G16" s="10" t="s">
        <v>21</v>
      </c>
    </row>
    <row r="17" spans="2:8" ht="18" customHeight="1" x14ac:dyDescent="0.25">
      <c r="B17" s="11" t="s">
        <v>22</v>
      </c>
      <c r="C17" s="21">
        <v>0.5</v>
      </c>
      <c r="D17" s="13">
        <f>IFERROR('📊 Registro Mensual'!N6/'📊 Registro Mensual'!N5,"")</f>
        <v>0.62916666666666665</v>
      </c>
      <c r="E17" s="12">
        <f>'📊 Registro Mensual'!N6</f>
        <v>1510</v>
      </c>
      <c r="F17" s="14" t="str">
        <f>IF(D17&lt;=0.5,"✅ OK","🔴 Excedido")</f>
        <v>🔴 Excedido</v>
      </c>
      <c r="G17" s="12">
        <f>(0.5*'📊 Registro Mensual'!N5)-'📊 Registro Mensual'!N6</f>
        <v>-310</v>
      </c>
    </row>
    <row r="18" spans="2:8" ht="18" customHeight="1" x14ac:dyDescent="0.25">
      <c r="B18" s="15" t="s">
        <v>23</v>
      </c>
      <c r="C18" s="22">
        <v>0.3</v>
      </c>
      <c r="D18" s="17">
        <f>IFERROR('📊 Registro Mensual'!N7/'📊 Registro Mensual'!N5,"")</f>
        <v>0.19583333333333333</v>
      </c>
      <c r="E18" s="16">
        <f>'📊 Registro Mensual'!N7</f>
        <v>470</v>
      </c>
      <c r="F18" s="18" t="str">
        <f>IF(D18&lt;=0.3,"✅ OK","🔴 Excedido")</f>
        <v>✅ OK</v>
      </c>
      <c r="G18" s="16">
        <f>(0.3*'📊 Registro Mensual'!N5)-'📊 Registro Mensual'!N7</f>
        <v>250</v>
      </c>
    </row>
    <row r="19" spans="2:8" ht="18" customHeight="1" x14ac:dyDescent="0.25">
      <c r="B19" s="11" t="s">
        <v>24</v>
      </c>
      <c r="C19" s="21">
        <v>0.2</v>
      </c>
      <c r="D19" s="13">
        <f>IFERROR('📊 Registro Mensual'!N8/'📊 Registro Mensual'!N5,"")</f>
        <v>0.16666666666666666</v>
      </c>
      <c r="E19" s="12">
        <f>'📊 Registro Mensual'!N8</f>
        <v>400</v>
      </c>
      <c r="F19" s="14" t="str">
        <f>IF(D19&gt;=0.2,"✅ OK","⚠️ Mejorar")</f>
        <v>⚠️ Mejorar</v>
      </c>
      <c r="G19" s="12">
        <f>(0.2*'📊 Registro Mensual'!N5)-'📊 Registro Mensual'!N8</f>
        <v>80</v>
      </c>
    </row>
    <row r="20" spans="2:8" ht="18" customHeight="1" x14ac:dyDescent="0.25"/>
    <row r="21" spans="2:8" ht="18" customHeight="1" x14ac:dyDescent="0.25">
      <c r="B21" s="7" t="s">
        <v>25</v>
      </c>
      <c r="C21" s="7"/>
      <c r="D21" s="7"/>
      <c r="E21" s="7"/>
      <c r="F21" s="7"/>
      <c r="G21" s="7"/>
      <c r="H21" s="7"/>
    </row>
    <row r="22" spans="2:8" ht="18" customHeight="1" x14ac:dyDescent="0.25">
      <c r="B22" s="10" t="s">
        <v>26</v>
      </c>
      <c r="C22" s="10" t="s">
        <v>27</v>
      </c>
      <c r="D22" s="23"/>
      <c r="E22" s="23"/>
      <c r="F22" s="23"/>
      <c r="G22" s="10" t="s">
        <v>28</v>
      </c>
    </row>
    <row r="23" spans="2:8" ht="18" customHeight="1" x14ac:dyDescent="0.25">
      <c r="B23" s="11" t="s">
        <v>29</v>
      </c>
      <c r="C23" s="6">
        <f>'🎯 Metas de Ahorro'!C20</f>
        <v>2300</v>
      </c>
      <c r="D23" s="6"/>
      <c r="E23" s="6"/>
      <c r="F23" s="6"/>
      <c r="G23" s="14" t="str">
        <f>IF('🎯 Metas de Ahorro'!C20&gt;='🎯 Metas de Ahorro'!C19,"✅ Cubierto ("+TEXT('🎯 Metas de Ahorro'!C20/'🎯 Metas de Ahorro'!C19*100,"0")+"%)","🔴 Insuficiente")</f>
        <v>🔴 Insuficiente</v>
      </c>
    </row>
    <row r="24" spans="2:8" ht="18" customHeight="1" x14ac:dyDescent="0.25">
      <c r="B24" s="15" t="s">
        <v>30</v>
      </c>
      <c r="C24" s="5">
        <f>IFERROR('🎯 Metas de Ahorro'!C20/('📊 Registro Mensual'!D69/12),0)</f>
        <v>1.0699748013180848</v>
      </c>
      <c r="D24" s="5"/>
      <c r="E24" s="5"/>
      <c r="F24" s="5"/>
      <c r="G24" s="18" t="str">
        <f>IF(C24&gt;=6,"✅ +6 meses (excelente)",IF(C24&gt;=3,"⚠️ "+TEXT(ROUND(C24,1),"0.0")+" meses","🔴 Urgente: ampliar"))</f>
        <v>🔴 Urgente: ampliar</v>
      </c>
    </row>
    <row r="25" spans="2:8" ht="18" customHeight="1" x14ac:dyDescent="0.25">
      <c r="B25" s="11" t="s">
        <v>31</v>
      </c>
      <c r="C25" s="6">
        <f>'🎯 Metas de Ahorro'!C30</f>
        <v>0.18</v>
      </c>
      <c r="D25" s="6"/>
      <c r="E25" s="6"/>
      <c r="F25" s="6"/>
      <c r="G25" s="14" t="str">
        <f>IF('🎯 Metas de Ahorro'!C30&lt;=0.3,"✅ Saludable","⚠️ Revisar deudas")</f>
        <v>✅ Saludable</v>
      </c>
    </row>
    <row r="26" spans="2:8" ht="18" customHeight="1" x14ac:dyDescent="0.25">
      <c r="B26" s="15" t="s">
        <v>32</v>
      </c>
      <c r="C26" s="5">
        <f>'📊 Registro Mensual'!P70</f>
        <v>4800</v>
      </c>
      <c r="D26" s="5"/>
      <c r="E26" s="5"/>
      <c r="F26" s="5"/>
      <c r="G26" s="18" t="str">
        <f>IF('📊 Registro Mensual'!P70&gt;='🎯 Metas de Ahorro'!C5,"✅ Meta alcanzable","⚠️ Ajustar ritmo")</f>
        <v>✅ Meta alcanzable</v>
      </c>
    </row>
    <row r="27" spans="2:8" ht="18" customHeight="1" x14ac:dyDescent="0.25"/>
    <row r="28" spans="2:8" ht="18" customHeight="1" x14ac:dyDescent="0.25">
      <c r="B28" s="4" t="s">
        <v>33</v>
      </c>
      <c r="C28" s="4"/>
      <c r="D28" s="4"/>
      <c r="E28" s="4"/>
      <c r="F28" s="4"/>
      <c r="G28" s="4"/>
      <c r="H28" s="4"/>
    </row>
    <row r="29" spans="2:8" ht="18" customHeight="1" x14ac:dyDescent="0.25"/>
    <row r="30" spans="2:8" ht="18" customHeight="1" x14ac:dyDescent="0.25"/>
    <row r="31" spans="2:8" ht="18" customHeight="1" x14ac:dyDescent="0.25"/>
    <row r="32" spans="2:8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</sheetData>
  <mergeCells count="10">
    <mergeCell ref="C23:F23"/>
    <mergeCell ref="C24:F24"/>
    <mergeCell ref="C25:F25"/>
    <mergeCell ref="C26:F26"/>
    <mergeCell ref="B28:H28"/>
    <mergeCell ref="B2:H2"/>
    <mergeCell ref="B4:H4"/>
    <mergeCell ref="B6:H6"/>
    <mergeCell ref="B15:H15"/>
    <mergeCell ref="B21:H21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70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baseColWidth="10" defaultColWidth="8.7109375" defaultRowHeight="15" x14ac:dyDescent="0.25"/>
  <cols>
    <col min="1" max="1" width="2" customWidth="1"/>
    <col min="2" max="2" width="28" customWidth="1"/>
    <col min="3" max="17" width="11" customWidth="1"/>
    <col min="18" max="18" width="2" customWidth="1"/>
  </cols>
  <sheetData>
    <row r="2" spans="2:17" ht="30" customHeight="1" x14ac:dyDescent="0.25">
      <c r="B2" s="3" t="s">
        <v>34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4" spans="2:17" ht="21.75" customHeight="1" x14ac:dyDescent="0.25">
      <c r="B4" s="10" t="s">
        <v>35</v>
      </c>
      <c r="C4" s="10" t="s">
        <v>36</v>
      </c>
      <c r="D4" s="10" t="s">
        <v>37</v>
      </c>
      <c r="E4" s="10" t="s">
        <v>38</v>
      </c>
      <c r="F4" s="10" t="s">
        <v>39</v>
      </c>
      <c r="G4" s="10" t="s">
        <v>40</v>
      </c>
      <c r="H4" s="10" t="s">
        <v>41</v>
      </c>
      <c r="I4" s="10" t="s">
        <v>42</v>
      </c>
      <c r="J4" s="10" t="s">
        <v>43</v>
      </c>
      <c r="K4" s="10" t="s">
        <v>44</v>
      </c>
      <c r="L4" s="10" t="s">
        <v>45</v>
      </c>
      <c r="M4" s="10" t="s">
        <v>46</v>
      </c>
      <c r="N4" s="10" t="s">
        <v>47</v>
      </c>
      <c r="O4" s="10" t="s">
        <v>48</v>
      </c>
      <c r="P4" s="10" t="s">
        <v>49</v>
      </c>
    </row>
    <row r="5" spans="2:17" ht="15" customHeight="1" x14ac:dyDescent="0.25">
      <c r="B5" s="24" t="s">
        <v>50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6">
        <f>N10</f>
        <v>2400</v>
      </c>
      <c r="O5" s="25"/>
      <c r="P5" s="25"/>
      <c r="Q5" s="25"/>
    </row>
    <row r="6" spans="2:17" ht="18" customHeight="1" x14ac:dyDescent="0.25">
      <c r="B6" s="27" t="s">
        <v>51</v>
      </c>
      <c r="C6" s="28">
        <v>2400</v>
      </c>
      <c r="D6" s="28">
        <v>2400</v>
      </c>
      <c r="E6" s="28">
        <v>2400</v>
      </c>
      <c r="F6" s="28">
        <v>2400</v>
      </c>
      <c r="G6" s="28">
        <v>2400</v>
      </c>
      <c r="H6" s="28">
        <v>2400</v>
      </c>
      <c r="I6" s="28">
        <v>2400</v>
      </c>
      <c r="J6" s="28">
        <v>2400</v>
      </c>
      <c r="K6" s="28">
        <v>2400</v>
      </c>
      <c r="L6" s="28">
        <v>2400</v>
      </c>
      <c r="M6" s="28">
        <v>2400</v>
      </c>
      <c r="N6" s="28">
        <f>N20</f>
        <v>1510</v>
      </c>
      <c r="O6" s="29">
        <f>SUM(C6:N6)</f>
        <v>27910</v>
      </c>
      <c r="P6" s="30">
        <f>O6/COUNTA(C6:N6)*12</f>
        <v>27910</v>
      </c>
    </row>
    <row r="7" spans="2:17" ht="18" customHeight="1" x14ac:dyDescent="0.25">
      <c r="B7" s="31" t="s">
        <v>52</v>
      </c>
      <c r="C7" s="28">
        <v>150</v>
      </c>
      <c r="D7" s="28">
        <v>0</v>
      </c>
      <c r="E7" s="28">
        <v>300</v>
      </c>
      <c r="F7" s="28">
        <v>0</v>
      </c>
      <c r="G7" s="28">
        <v>200</v>
      </c>
      <c r="H7" s="28">
        <v>0</v>
      </c>
      <c r="I7" s="28">
        <v>150</v>
      </c>
      <c r="J7" s="28">
        <v>0</v>
      </c>
      <c r="K7" s="28">
        <v>0</v>
      </c>
      <c r="L7" s="28">
        <v>300</v>
      </c>
      <c r="M7" s="28">
        <v>0</v>
      </c>
      <c r="N7" s="28">
        <f>N29</f>
        <v>470</v>
      </c>
      <c r="O7" s="29">
        <f>SUM(C7:N7)</f>
        <v>1570</v>
      </c>
      <c r="P7" s="30">
        <f>O7/COUNTA(C7:N7)*12</f>
        <v>1570</v>
      </c>
    </row>
    <row r="8" spans="2:17" ht="18" customHeight="1" x14ac:dyDescent="0.25">
      <c r="B8" s="27" t="s">
        <v>53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f>N36</f>
        <v>400</v>
      </c>
      <c r="O8" s="29">
        <f>SUM(C8:N8)</f>
        <v>400</v>
      </c>
      <c r="P8" s="30">
        <f>O8/COUNTA(C8:N8)*12</f>
        <v>400</v>
      </c>
    </row>
    <row r="9" spans="2:17" ht="18" customHeight="1" x14ac:dyDescent="0.25">
      <c r="B9" s="31" t="s">
        <v>54</v>
      </c>
      <c r="C9" s="28">
        <v>50</v>
      </c>
      <c r="D9" s="28">
        <v>30</v>
      </c>
      <c r="E9" s="28">
        <v>20</v>
      </c>
      <c r="F9" s="28">
        <v>50</v>
      </c>
      <c r="G9" s="28">
        <v>30</v>
      </c>
      <c r="H9" s="28">
        <v>20</v>
      </c>
      <c r="I9" s="28">
        <v>50</v>
      </c>
      <c r="J9" s="28">
        <v>30</v>
      </c>
      <c r="K9" s="28">
        <v>20</v>
      </c>
      <c r="L9" s="28">
        <v>50</v>
      </c>
      <c r="M9" s="28">
        <v>30</v>
      </c>
      <c r="N9" s="28">
        <v>20</v>
      </c>
      <c r="O9" s="29">
        <f>SUM(C9:N9)</f>
        <v>400</v>
      </c>
      <c r="P9" s="30">
        <f>O9/COUNTA(C9:N9)*12</f>
        <v>400</v>
      </c>
    </row>
    <row r="10" spans="2:17" ht="19.5" customHeight="1" x14ac:dyDescent="0.25">
      <c r="B10" s="10" t="s">
        <v>55</v>
      </c>
      <c r="C10" s="32">
        <f t="shared" ref="C10:O10" si="0">SUM(C6:C9)</f>
        <v>2600</v>
      </c>
      <c r="D10" s="32">
        <f t="shared" si="0"/>
        <v>2430</v>
      </c>
      <c r="E10" s="32">
        <f t="shared" si="0"/>
        <v>2720</v>
      </c>
      <c r="F10" s="32">
        <f t="shared" si="0"/>
        <v>2450</v>
      </c>
      <c r="G10" s="32">
        <f t="shared" si="0"/>
        <v>2630</v>
      </c>
      <c r="H10" s="32">
        <f t="shared" si="0"/>
        <v>2420</v>
      </c>
      <c r="I10" s="32">
        <f t="shared" si="0"/>
        <v>2600</v>
      </c>
      <c r="J10" s="32">
        <f t="shared" si="0"/>
        <v>2430</v>
      </c>
      <c r="K10" s="32">
        <f t="shared" si="0"/>
        <v>2420</v>
      </c>
      <c r="L10" s="32">
        <f t="shared" si="0"/>
        <v>2750</v>
      </c>
      <c r="M10" s="32">
        <f t="shared" si="0"/>
        <v>2430</v>
      </c>
      <c r="N10" s="32">
        <f t="shared" si="0"/>
        <v>2400</v>
      </c>
      <c r="O10" s="32">
        <f t="shared" si="0"/>
        <v>30280</v>
      </c>
      <c r="P10" s="32">
        <f>P6+P7+P8+P9</f>
        <v>30280</v>
      </c>
    </row>
    <row r="12" spans="2:17" ht="23.25" customHeight="1" x14ac:dyDescent="0.25">
      <c r="B12" s="33" t="s">
        <v>56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</row>
    <row r="13" spans="2:17" ht="18" customHeight="1" x14ac:dyDescent="0.25">
      <c r="B13" s="27" t="s">
        <v>57</v>
      </c>
      <c r="C13" s="28">
        <v>850</v>
      </c>
      <c r="D13" s="28">
        <v>850</v>
      </c>
      <c r="E13" s="28">
        <v>850</v>
      </c>
      <c r="F13" s="28">
        <v>850</v>
      </c>
      <c r="G13" s="28">
        <v>850</v>
      </c>
      <c r="H13" s="28">
        <v>850</v>
      </c>
      <c r="I13" s="28">
        <v>850</v>
      </c>
      <c r="J13" s="28">
        <v>850</v>
      </c>
      <c r="K13" s="28">
        <v>850</v>
      </c>
      <c r="L13" s="28">
        <v>850</v>
      </c>
      <c r="M13" s="28">
        <v>850</v>
      </c>
      <c r="N13" s="28">
        <v>850</v>
      </c>
      <c r="O13" s="29">
        <f t="shared" ref="O13:O19" si="1">SUM(C13:N13)</f>
        <v>10200</v>
      </c>
      <c r="P13" s="30">
        <f t="shared" ref="P13:P19" si="2">O13/COUNTA(C13:N13)*12</f>
        <v>10200</v>
      </c>
    </row>
    <row r="14" spans="2:17" ht="18" customHeight="1" x14ac:dyDescent="0.25">
      <c r="B14" s="31" t="s">
        <v>58</v>
      </c>
      <c r="C14" s="28">
        <v>95</v>
      </c>
      <c r="D14" s="28">
        <v>90</v>
      </c>
      <c r="E14" s="28">
        <v>80</v>
      </c>
      <c r="F14" s="28">
        <v>75</v>
      </c>
      <c r="G14" s="28">
        <v>65</v>
      </c>
      <c r="H14" s="28">
        <v>60</v>
      </c>
      <c r="I14" s="28">
        <v>60</v>
      </c>
      <c r="J14" s="28">
        <v>65</v>
      </c>
      <c r="K14" s="28">
        <v>70</v>
      </c>
      <c r="L14" s="28">
        <v>80</v>
      </c>
      <c r="M14" s="28">
        <v>90</v>
      </c>
      <c r="N14" s="28">
        <v>100</v>
      </c>
      <c r="O14" s="29">
        <f t="shared" si="1"/>
        <v>930</v>
      </c>
      <c r="P14" s="30">
        <f t="shared" si="2"/>
        <v>930</v>
      </c>
    </row>
    <row r="15" spans="2:17" ht="18" customHeight="1" x14ac:dyDescent="0.25">
      <c r="B15" s="27" t="s">
        <v>59</v>
      </c>
      <c r="C15" s="28">
        <v>55</v>
      </c>
      <c r="D15" s="28">
        <v>55</v>
      </c>
      <c r="E15" s="28">
        <v>55</v>
      </c>
      <c r="F15" s="28">
        <v>55</v>
      </c>
      <c r="G15" s="28">
        <v>55</v>
      </c>
      <c r="H15" s="28">
        <v>55</v>
      </c>
      <c r="I15" s="28">
        <v>55</v>
      </c>
      <c r="J15" s="28">
        <v>55</v>
      </c>
      <c r="K15" s="28">
        <v>55</v>
      </c>
      <c r="L15" s="28">
        <v>55</v>
      </c>
      <c r="M15" s="28">
        <v>55</v>
      </c>
      <c r="N15" s="28">
        <v>55</v>
      </c>
      <c r="O15" s="29">
        <f t="shared" si="1"/>
        <v>660</v>
      </c>
      <c r="P15" s="30">
        <f t="shared" si="2"/>
        <v>660</v>
      </c>
    </row>
    <row r="16" spans="2:17" ht="18" customHeight="1" x14ac:dyDescent="0.25">
      <c r="B16" s="31" t="s">
        <v>60</v>
      </c>
      <c r="C16" s="28">
        <v>320</v>
      </c>
      <c r="D16" s="28">
        <v>310</v>
      </c>
      <c r="E16" s="28">
        <v>315</v>
      </c>
      <c r="F16" s="28">
        <v>305</v>
      </c>
      <c r="G16" s="28">
        <v>300</v>
      </c>
      <c r="H16" s="28">
        <v>295</v>
      </c>
      <c r="I16" s="28">
        <v>310</v>
      </c>
      <c r="J16" s="28">
        <v>300</v>
      </c>
      <c r="K16" s="28">
        <v>295</v>
      </c>
      <c r="L16" s="28">
        <v>310</v>
      </c>
      <c r="M16" s="28">
        <v>305</v>
      </c>
      <c r="N16" s="28">
        <v>320</v>
      </c>
      <c r="O16" s="29">
        <f t="shared" si="1"/>
        <v>3685</v>
      </c>
      <c r="P16" s="30">
        <f t="shared" si="2"/>
        <v>3685</v>
      </c>
    </row>
    <row r="17" spans="2:17" ht="18" customHeight="1" x14ac:dyDescent="0.25">
      <c r="B17" s="27" t="s">
        <v>61</v>
      </c>
      <c r="C17" s="28">
        <v>90</v>
      </c>
      <c r="D17" s="28">
        <v>90</v>
      </c>
      <c r="E17" s="28">
        <v>90</v>
      </c>
      <c r="F17" s="28">
        <v>90</v>
      </c>
      <c r="G17" s="28">
        <v>90</v>
      </c>
      <c r="H17" s="28">
        <v>90</v>
      </c>
      <c r="I17" s="28">
        <v>90</v>
      </c>
      <c r="J17" s="28">
        <v>90</v>
      </c>
      <c r="K17" s="28">
        <v>90</v>
      </c>
      <c r="L17" s="28">
        <v>90</v>
      </c>
      <c r="M17" s="28">
        <v>90</v>
      </c>
      <c r="N17" s="28">
        <v>90</v>
      </c>
      <c r="O17" s="29">
        <f t="shared" si="1"/>
        <v>1080</v>
      </c>
      <c r="P17" s="30">
        <f t="shared" si="2"/>
        <v>1080</v>
      </c>
    </row>
    <row r="18" spans="2:17" ht="18" customHeight="1" x14ac:dyDescent="0.25">
      <c r="B18" s="31" t="s">
        <v>62</v>
      </c>
      <c r="C18" s="28">
        <v>75</v>
      </c>
      <c r="D18" s="28">
        <v>75</v>
      </c>
      <c r="E18" s="28">
        <v>75</v>
      </c>
      <c r="F18" s="28">
        <v>75</v>
      </c>
      <c r="G18" s="28">
        <v>75</v>
      </c>
      <c r="H18" s="28">
        <v>75</v>
      </c>
      <c r="I18" s="28">
        <v>75</v>
      </c>
      <c r="J18" s="28">
        <v>75</v>
      </c>
      <c r="K18" s="28">
        <v>75</v>
      </c>
      <c r="L18" s="28">
        <v>75</v>
      </c>
      <c r="M18" s="28">
        <v>75</v>
      </c>
      <c r="N18" s="28">
        <v>75</v>
      </c>
      <c r="O18" s="29">
        <f t="shared" si="1"/>
        <v>900</v>
      </c>
      <c r="P18" s="30">
        <f t="shared" si="2"/>
        <v>900</v>
      </c>
    </row>
    <row r="19" spans="2:17" ht="18" customHeight="1" x14ac:dyDescent="0.25">
      <c r="B19" s="27" t="s">
        <v>63</v>
      </c>
      <c r="C19" s="28">
        <v>30</v>
      </c>
      <c r="D19" s="28">
        <v>20</v>
      </c>
      <c r="E19" s="28">
        <v>25</v>
      </c>
      <c r="F19" s="28">
        <v>15</v>
      </c>
      <c r="G19" s="28">
        <v>20</v>
      </c>
      <c r="H19" s="28">
        <v>30</v>
      </c>
      <c r="I19" s="28">
        <v>15</v>
      </c>
      <c r="J19" s="28">
        <v>25</v>
      </c>
      <c r="K19" s="28">
        <v>20</v>
      </c>
      <c r="L19" s="28">
        <v>30</v>
      </c>
      <c r="M19" s="28">
        <v>25</v>
      </c>
      <c r="N19" s="28">
        <v>20</v>
      </c>
      <c r="O19" s="29">
        <f t="shared" si="1"/>
        <v>275</v>
      </c>
      <c r="P19" s="30">
        <f t="shared" si="2"/>
        <v>275</v>
      </c>
    </row>
    <row r="20" spans="2:17" ht="19.5" customHeight="1" x14ac:dyDescent="0.25">
      <c r="B20" s="35" t="s">
        <v>64</v>
      </c>
      <c r="C20" s="36">
        <f t="shared" ref="C20:P20" si="3">SUM(C13:C19)</f>
        <v>1515</v>
      </c>
      <c r="D20" s="36">
        <f t="shared" si="3"/>
        <v>1490</v>
      </c>
      <c r="E20" s="36">
        <f t="shared" si="3"/>
        <v>1490</v>
      </c>
      <c r="F20" s="36">
        <f t="shared" si="3"/>
        <v>1465</v>
      </c>
      <c r="G20" s="36">
        <f t="shared" si="3"/>
        <v>1455</v>
      </c>
      <c r="H20" s="36">
        <f t="shared" si="3"/>
        <v>1455</v>
      </c>
      <c r="I20" s="36">
        <f t="shared" si="3"/>
        <v>1455</v>
      </c>
      <c r="J20" s="36">
        <f t="shared" si="3"/>
        <v>1460</v>
      </c>
      <c r="K20" s="36">
        <f t="shared" si="3"/>
        <v>1455</v>
      </c>
      <c r="L20" s="36">
        <f t="shared" si="3"/>
        <v>1490</v>
      </c>
      <c r="M20" s="36">
        <f t="shared" si="3"/>
        <v>1490</v>
      </c>
      <c r="N20" s="36">
        <f t="shared" si="3"/>
        <v>1510</v>
      </c>
      <c r="O20" s="36">
        <f t="shared" si="3"/>
        <v>17730</v>
      </c>
      <c r="P20" s="36">
        <f t="shared" si="3"/>
        <v>17730</v>
      </c>
    </row>
    <row r="22" spans="2:17" ht="23.25" customHeight="1" x14ac:dyDescent="0.25">
      <c r="B22" s="37" t="s">
        <v>65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2:17" ht="18" customHeight="1" x14ac:dyDescent="0.25">
      <c r="B23" s="27" t="s">
        <v>66</v>
      </c>
      <c r="C23" s="28">
        <v>80</v>
      </c>
      <c r="D23" s="28">
        <v>60</v>
      </c>
      <c r="E23" s="28">
        <v>70</v>
      </c>
      <c r="F23" s="28">
        <v>65</v>
      </c>
      <c r="G23" s="28">
        <v>75</v>
      </c>
      <c r="H23" s="28">
        <v>85</v>
      </c>
      <c r="I23" s="28">
        <v>90</v>
      </c>
      <c r="J23" s="28">
        <v>70</v>
      </c>
      <c r="K23" s="28">
        <v>65</v>
      </c>
      <c r="L23" s="28">
        <v>80</v>
      </c>
      <c r="M23" s="28">
        <v>75</v>
      </c>
      <c r="N23" s="28">
        <v>100</v>
      </c>
      <c r="O23" s="29">
        <f t="shared" ref="O23:O28" si="4">SUM(C23:N23)</f>
        <v>915</v>
      </c>
      <c r="P23" s="30">
        <f t="shared" ref="P23:P28" si="5">O23/COUNTA(C23:N23)*12</f>
        <v>915</v>
      </c>
    </row>
    <row r="24" spans="2:17" ht="18" customHeight="1" x14ac:dyDescent="0.25">
      <c r="B24" s="31" t="s">
        <v>67</v>
      </c>
      <c r="C24" s="28">
        <v>50</v>
      </c>
      <c r="D24" s="28">
        <v>40</v>
      </c>
      <c r="E24" s="28">
        <v>45</v>
      </c>
      <c r="F24" s="28">
        <v>60</v>
      </c>
      <c r="G24" s="28">
        <v>50</v>
      </c>
      <c r="H24" s="28">
        <v>70</v>
      </c>
      <c r="I24" s="28">
        <v>60</v>
      </c>
      <c r="J24" s="28">
        <v>80</v>
      </c>
      <c r="K24" s="28">
        <v>55</v>
      </c>
      <c r="L24" s="28">
        <v>60</v>
      </c>
      <c r="M24" s="28">
        <v>50</v>
      </c>
      <c r="N24" s="28">
        <v>80</v>
      </c>
      <c r="O24" s="29">
        <f t="shared" si="4"/>
        <v>700</v>
      </c>
      <c r="P24" s="30">
        <f t="shared" si="5"/>
        <v>700</v>
      </c>
    </row>
    <row r="25" spans="2:17" ht="18" customHeight="1" x14ac:dyDescent="0.25">
      <c r="B25" s="27" t="s">
        <v>68</v>
      </c>
      <c r="C25" s="28">
        <v>30</v>
      </c>
      <c r="D25" s="28">
        <v>0</v>
      </c>
      <c r="E25" s="28">
        <v>0</v>
      </c>
      <c r="F25" s="28">
        <v>80</v>
      </c>
      <c r="G25" s="28">
        <v>0</v>
      </c>
      <c r="H25" s="28">
        <v>0</v>
      </c>
      <c r="I25" s="28">
        <v>30</v>
      </c>
      <c r="J25" s="28">
        <v>100</v>
      </c>
      <c r="K25" s="28">
        <v>0</v>
      </c>
      <c r="L25" s="28">
        <v>0</v>
      </c>
      <c r="M25" s="28">
        <v>0</v>
      </c>
      <c r="N25" s="28">
        <v>60</v>
      </c>
      <c r="O25" s="29">
        <f t="shared" si="4"/>
        <v>300</v>
      </c>
      <c r="P25" s="30">
        <f t="shared" si="5"/>
        <v>300</v>
      </c>
    </row>
    <row r="26" spans="2:17" ht="18" customHeight="1" x14ac:dyDescent="0.25">
      <c r="B26" s="31" t="s">
        <v>69</v>
      </c>
      <c r="C26" s="28">
        <v>30</v>
      </c>
      <c r="D26" s="28">
        <v>30</v>
      </c>
      <c r="E26" s="28">
        <v>30</v>
      </c>
      <c r="F26" s="28">
        <v>30</v>
      </c>
      <c r="G26" s="28">
        <v>30</v>
      </c>
      <c r="H26" s="28">
        <v>30</v>
      </c>
      <c r="I26" s="28">
        <v>30</v>
      </c>
      <c r="J26" s="28">
        <v>30</v>
      </c>
      <c r="K26" s="28">
        <v>30</v>
      </c>
      <c r="L26" s="28">
        <v>30</v>
      </c>
      <c r="M26" s="28">
        <v>30</v>
      </c>
      <c r="N26" s="28">
        <v>30</v>
      </c>
      <c r="O26" s="29">
        <f t="shared" si="4"/>
        <v>360</v>
      </c>
      <c r="P26" s="30">
        <f t="shared" si="5"/>
        <v>360</v>
      </c>
    </row>
    <row r="27" spans="2:17" ht="18" customHeight="1" x14ac:dyDescent="0.25">
      <c r="B27" s="27" t="s">
        <v>70</v>
      </c>
      <c r="C27" s="28">
        <v>0</v>
      </c>
      <c r="D27" s="28">
        <v>0</v>
      </c>
      <c r="E27" s="28">
        <v>0</v>
      </c>
      <c r="F27" s="28">
        <v>200</v>
      </c>
      <c r="G27" s="28">
        <v>0</v>
      </c>
      <c r="H27" s="28">
        <v>0</v>
      </c>
      <c r="I27" s="28">
        <v>350</v>
      </c>
      <c r="J27" s="28">
        <v>0</v>
      </c>
      <c r="K27" s="28">
        <v>0</v>
      </c>
      <c r="L27" s="28">
        <v>0</v>
      </c>
      <c r="M27" s="28">
        <v>0</v>
      </c>
      <c r="N27" s="28">
        <v>200</v>
      </c>
      <c r="O27" s="29">
        <f t="shared" si="4"/>
        <v>750</v>
      </c>
      <c r="P27" s="30">
        <f t="shared" si="5"/>
        <v>750</v>
      </c>
    </row>
    <row r="28" spans="2:17" ht="18" customHeight="1" x14ac:dyDescent="0.25">
      <c r="B28" s="31" t="s">
        <v>71</v>
      </c>
      <c r="C28" s="28">
        <v>40</v>
      </c>
      <c r="D28" s="28">
        <v>0</v>
      </c>
      <c r="E28" s="28">
        <v>40</v>
      </c>
      <c r="F28" s="28">
        <v>0</v>
      </c>
      <c r="G28" s="28">
        <v>40</v>
      </c>
      <c r="H28" s="28">
        <v>0</v>
      </c>
      <c r="I28" s="28">
        <v>40</v>
      </c>
      <c r="J28" s="28">
        <v>0</v>
      </c>
      <c r="K28" s="28">
        <v>40</v>
      </c>
      <c r="L28" s="28">
        <v>0</v>
      </c>
      <c r="M28" s="28">
        <v>40</v>
      </c>
      <c r="N28" s="28">
        <v>0</v>
      </c>
      <c r="O28" s="29">
        <f t="shared" si="4"/>
        <v>240</v>
      </c>
      <c r="P28" s="30">
        <f t="shared" si="5"/>
        <v>240</v>
      </c>
    </row>
    <row r="29" spans="2:17" ht="19.5" customHeight="1" x14ac:dyDescent="0.25">
      <c r="B29" s="39" t="s">
        <v>72</v>
      </c>
      <c r="C29" s="40">
        <f t="shared" ref="C29:P29" si="6">SUM(C23:C28)</f>
        <v>230</v>
      </c>
      <c r="D29" s="40">
        <f t="shared" si="6"/>
        <v>130</v>
      </c>
      <c r="E29" s="40">
        <f t="shared" si="6"/>
        <v>185</v>
      </c>
      <c r="F29" s="40">
        <f t="shared" si="6"/>
        <v>435</v>
      </c>
      <c r="G29" s="40">
        <f t="shared" si="6"/>
        <v>195</v>
      </c>
      <c r="H29" s="40">
        <f t="shared" si="6"/>
        <v>185</v>
      </c>
      <c r="I29" s="40">
        <f t="shared" si="6"/>
        <v>600</v>
      </c>
      <c r="J29" s="40">
        <f t="shared" si="6"/>
        <v>280</v>
      </c>
      <c r="K29" s="40">
        <f t="shared" si="6"/>
        <v>190</v>
      </c>
      <c r="L29" s="40">
        <f t="shared" si="6"/>
        <v>170</v>
      </c>
      <c r="M29" s="40">
        <f t="shared" si="6"/>
        <v>195</v>
      </c>
      <c r="N29" s="40">
        <f t="shared" si="6"/>
        <v>470</v>
      </c>
      <c r="O29" s="40">
        <f t="shared" si="6"/>
        <v>3265</v>
      </c>
      <c r="P29" s="40">
        <f t="shared" si="6"/>
        <v>3265</v>
      </c>
    </row>
    <row r="31" spans="2:17" ht="23.25" customHeight="1" x14ac:dyDescent="0.25">
      <c r="B31" s="41" t="s">
        <v>73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</row>
    <row r="32" spans="2:17" ht="18" customHeight="1" x14ac:dyDescent="0.25">
      <c r="B32" s="43" t="s">
        <v>74</v>
      </c>
      <c r="C32" s="28">
        <v>100</v>
      </c>
      <c r="D32" s="28">
        <v>100</v>
      </c>
      <c r="E32" s="28">
        <v>100</v>
      </c>
      <c r="F32" s="28">
        <v>100</v>
      </c>
      <c r="G32" s="28">
        <v>100</v>
      </c>
      <c r="H32" s="28">
        <v>100</v>
      </c>
      <c r="I32" s="28">
        <v>100</v>
      </c>
      <c r="J32" s="28">
        <v>100</v>
      </c>
      <c r="K32" s="28">
        <v>100</v>
      </c>
      <c r="L32" s="28">
        <v>100</v>
      </c>
      <c r="M32" s="28">
        <v>100</v>
      </c>
      <c r="N32" s="28">
        <v>100</v>
      </c>
      <c r="O32" s="44">
        <f>SUM(C32:N32)</f>
        <v>1200</v>
      </c>
      <c r="P32" s="30">
        <f>O32/COUNTA(C32:N32)*12</f>
        <v>1200</v>
      </c>
    </row>
    <row r="33" spans="2:16" ht="18" customHeight="1" x14ac:dyDescent="0.25">
      <c r="B33" s="45" t="s">
        <v>75</v>
      </c>
      <c r="C33" s="28">
        <v>150</v>
      </c>
      <c r="D33" s="28">
        <v>150</v>
      </c>
      <c r="E33" s="28">
        <v>150</v>
      </c>
      <c r="F33" s="28">
        <v>150</v>
      </c>
      <c r="G33" s="28">
        <v>150</v>
      </c>
      <c r="H33" s="28">
        <v>150</v>
      </c>
      <c r="I33" s="28">
        <v>150</v>
      </c>
      <c r="J33" s="28">
        <v>150</v>
      </c>
      <c r="K33" s="28">
        <v>150</v>
      </c>
      <c r="L33" s="28">
        <v>150</v>
      </c>
      <c r="M33" s="28">
        <v>150</v>
      </c>
      <c r="N33" s="28">
        <v>150</v>
      </c>
      <c r="O33" s="44">
        <f>SUM(C33:N33)</f>
        <v>1800</v>
      </c>
      <c r="P33" s="30">
        <f>O33/COUNTA(C33:N33)*12</f>
        <v>1800</v>
      </c>
    </row>
    <row r="34" spans="2:16" ht="18" customHeight="1" x14ac:dyDescent="0.25">
      <c r="B34" s="43" t="s">
        <v>76</v>
      </c>
      <c r="C34" s="28">
        <v>50</v>
      </c>
      <c r="D34" s="28">
        <v>50</v>
      </c>
      <c r="E34" s="28">
        <v>50</v>
      </c>
      <c r="F34" s="28">
        <v>50</v>
      </c>
      <c r="G34" s="28">
        <v>50</v>
      </c>
      <c r="H34" s="28">
        <v>50</v>
      </c>
      <c r="I34" s="28">
        <v>50</v>
      </c>
      <c r="J34" s="28">
        <v>50</v>
      </c>
      <c r="K34" s="28">
        <v>50</v>
      </c>
      <c r="L34" s="28">
        <v>50</v>
      </c>
      <c r="M34" s="28">
        <v>50</v>
      </c>
      <c r="N34" s="28">
        <v>50</v>
      </c>
      <c r="O34" s="44">
        <f>SUM(C34:N34)</f>
        <v>600</v>
      </c>
      <c r="P34" s="30">
        <f>O34/COUNTA(C34:N34)*12</f>
        <v>600</v>
      </c>
    </row>
    <row r="35" spans="2:16" ht="18" customHeight="1" x14ac:dyDescent="0.25">
      <c r="B35" s="45" t="s">
        <v>77</v>
      </c>
      <c r="C35" s="28">
        <v>100</v>
      </c>
      <c r="D35" s="28">
        <v>100</v>
      </c>
      <c r="E35" s="28">
        <v>100</v>
      </c>
      <c r="F35" s="28">
        <v>100</v>
      </c>
      <c r="G35" s="28">
        <v>100</v>
      </c>
      <c r="H35" s="28">
        <v>100</v>
      </c>
      <c r="I35" s="28">
        <v>100</v>
      </c>
      <c r="J35" s="28">
        <v>100</v>
      </c>
      <c r="K35" s="28">
        <v>100</v>
      </c>
      <c r="L35" s="28">
        <v>100</v>
      </c>
      <c r="M35" s="28">
        <v>100</v>
      </c>
      <c r="N35" s="28">
        <v>100</v>
      </c>
      <c r="O35" s="44">
        <f>SUM(C35:N35)</f>
        <v>1200</v>
      </c>
      <c r="P35" s="30">
        <f>O35/COUNTA(C35:N35)*12</f>
        <v>1200</v>
      </c>
    </row>
    <row r="36" spans="2:16" ht="19.5" customHeight="1" x14ac:dyDescent="0.25">
      <c r="B36" s="46" t="s">
        <v>78</v>
      </c>
      <c r="C36" s="47">
        <f t="shared" ref="C36:P36" si="7">SUM(C32:C35)</f>
        <v>400</v>
      </c>
      <c r="D36" s="47">
        <f t="shared" si="7"/>
        <v>400</v>
      </c>
      <c r="E36" s="47">
        <f t="shared" si="7"/>
        <v>400</v>
      </c>
      <c r="F36" s="47">
        <f t="shared" si="7"/>
        <v>400</v>
      </c>
      <c r="G36" s="47">
        <f t="shared" si="7"/>
        <v>400</v>
      </c>
      <c r="H36" s="47">
        <f t="shared" si="7"/>
        <v>400</v>
      </c>
      <c r="I36" s="47">
        <f t="shared" si="7"/>
        <v>400</v>
      </c>
      <c r="J36" s="47">
        <f t="shared" si="7"/>
        <v>400</v>
      </c>
      <c r="K36" s="47">
        <f t="shared" si="7"/>
        <v>400</v>
      </c>
      <c r="L36" s="47">
        <f t="shared" si="7"/>
        <v>400</v>
      </c>
      <c r="M36" s="47">
        <f t="shared" si="7"/>
        <v>400</v>
      </c>
      <c r="N36" s="47">
        <f t="shared" si="7"/>
        <v>400</v>
      </c>
      <c r="O36" s="47">
        <f t="shared" si="7"/>
        <v>4800</v>
      </c>
      <c r="P36" s="47">
        <f t="shared" si="7"/>
        <v>4800</v>
      </c>
    </row>
    <row r="38" spans="2:16" ht="7.5" customHeight="1" x14ac:dyDescent="0.25"/>
    <row r="39" spans="2:16" ht="19.5" customHeight="1" x14ac:dyDescent="0.25">
      <c r="B39" s="48" t="s">
        <v>79</v>
      </c>
      <c r="C39" s="49">
        <f t="shared" ref="C39:P39" si="8">C20+C29+C36</f>
        <v>2145</v>
      </c>
      <c r="D39" s="49">
        <f t="shared" si="8"/>
        <v>2020</v>
      </c>
      <c r="E39" s="49">
        <f t="shared" si="8"/>
        <v>2075</v>
      </c>
      <c r="F39" s="49">
        <f t="shared" si="8"/>
        <v>2300</v>
      </c>
      <c r="G39" s="49">
        <f t="shared" si="8"/>
        <v>2050</v>
      </c>
      <c r="H39" s="49">
        <f t="shared" si="8"/>
        <v>2040</v>
      </c>
      <c r="I39" s="49">
        <f t="shared" si="8"/>
        <v>2455</v>
      </c>
      <c r="J39" s="49">
        <f t="shared" si="8"/>
        <v>2140</v>
      </c>
      <c r="K39" s="49">
        <f t="shared" si="8"/>
        <v>2045</v>
      </c>
      <c r="L39" s="49">
        <f t="shared" si="8"/>
        <v>2060</v>
      </c>
      <c r="M39" s="49">
        <f t="shared" si="8"/>
        <v>2085</v>
      </c>
      <c r="N39" s="49">
        <f t="shared" si="8"/>
        <v>2380</v>
      </c>
      <c r="O39" s="50">
        <f t="shared" si="8"/>
        <v>25795</v>
      </c>
      <c r="P39" s="50">
        <f t="shared" si="8"/>
        <v>25795</v>
      </c>
    </row>
    <row r="40" spans="2:16" ht="19.5" customHeight="1" x14ac:dyDescent="0.25">
      <c r="B40" s="51" t="s">
        <v>80</v>
      </c>
      <c r="C40" s="29">
        <f t="shared" ref="C40:P40" si="9">C10-C39</f>
        <v>455</v>
      </c>
      <c r="D40" s="29">
        <f t="shared" si="9"/>
        <v>410</v>
      </c>
      <c r="E40" s="29">
        <f t="shared" si="9"/>
        <v>645</v>
      </c>
      <c r="F40" s="29">
        <f t="shared" si="9"/>
        <v>150</v>
      </c>
      <c r="G40" s="29">
        <f t="shared" si="9"/>
        <v>580</v>
      </c>
      <c r="H40" s="29">
        <f t="shared" si="9"/>
        <v>380</v>
      </c>
      <c r="I40" s="29">
        <f t="shared" si="9"/>
        <v>145</v>
      </c>
      <c r="J40" s="29">
        <f t="shared" si="9"/>
        <v>290</v>
      </c>
      <c r="K40" s="29">
        <f t="shared" si="9"/>
        <v>375</v>
      </c>
      <c r="L40" s="29">
        <f t="shared" si="9"/>
        <v>690</v>
      </c>
      <c r="M40" s="29">
        <f t="shared" si="9"/>
        <v>345</v>
      </c>
      <c r="N40" s="29">
        <f t="shared" si="9"/>
        <v>20</v>
      </c>
      <c r="O40" s="36">
        <f t="shared" si="9"/>
        <v>4485</v>
      </c>
      <c r="P40" s="36">
        <f t="shared" si="9"/>
        <v>4485</v>
      </c>
    </row>
    <row r="41" spans="2:16" ht="19.5" customHeight="1" x14ac:dyDescent="0.25">
      <c r="B41" s="52" t="s">
        <v>81</v>
      </c>
      <c r="C41" s="53">
        <f t="shared" ref="C41:P41" si="10">IFERROR(C36/C10,0)</f>
        <v>0.15384615384615385</v>
      </c>
      <c r="D41" s="53">
        <f t="shared" si="10"/>
        <v>0.16460905349794239</v>
      </c>
      <c r="E41" s="53">
        <f t="shared" si="10"/>
        <v>0.14705882352941177</v>
      </c>
      <c r="F41" s="53">
        <f t="shared" si="10"/>
        <v>0.16326530612244897</v>
      </c>
      <c r="G41" s="53">
        <f t="shared" si="10"/>
        <v>0.15209125475285171</v>
      </c>
      <c r="H41" s="53">
        <f t="shared" si="10"/>
        <v>0.16528925619834711</v>
      </c>
      <c r="I41" s="53">
        <f t="shared" si="10"/>
        <v>0.15384615384615385</v>
      </c>
      <c r="J41" s="53">
        <f t="shared" si="10"/>
        <v>0.16460905349794239</v>
      </c>
      <c r="K41" s="53">
        <f t="shared" si="10"/>
        <v>0.16528925619834711</v>
      </c>
      <c r="L41" s="53">
        <f t="shared" si="10"/>
        <v>0.14545454545454545</v>
      </c>
      <c r="M41" s="53">
        <f t="shared" si="10"/>
        <v>0.16460905349794239</v>
      </c>
      <c r="N41" s="53">
        <f t="shared" si="10"/>
        <v>0.16666666666666666</v>
      </c>
      <c r="O41" s="54">
        <f t="shared" si="10"/>
        <v>0.15852047556142668</v>
      </c>
      <c r="P41" s="54">
        <f t="shared" si="10"/>
        <v>0.15852047556142668</v>
      </c>
    </row>
    <row r="43" spans="2:16" ht="18" customHeight="1" x14ac:dyDescent="0.25">
      <c r="B43" s="2" t="s">
        <v>82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68" spans="3:16" ht="15" customHeight="1" x14ac:dyDescent="0.25">
      <c r="C68" s="55">
        <f>O10</f>
        <v>30280</v>
      </c>
      <c r="D68" s="55">
        <f>O10</f>
        <v>30280</v>
      </c>
    </row>
    <row r="69" spans="3:16" ht="15" customHeight="1" x14ac:dyDescent="0.25">
      <c r="C69" s="55">
        <f>O39</f>
        <v>25795</v>
      </c>
      <c r="D69" s="55">
        <f>O39</f>
        <v>25795</v>
      </c>
    </row>
    <row r="70" spans="3:16" ht="15" customHeight="1" x14ac:dyDescent="0.25">
      <c r="C70" s="55">
        <f>O36</f>
        <v>4800</v>
      </c>
      <c r="D70" s="55">
        <f>O36</f>
        <v>4800</v>
      </c>
      <c r="P70" s="55">
        <f>P36</f>
        <v>4800</v>
      </c>
    </row>
  </sheetData>
  <mergeCells count="2">
    <mergeCell ref="B2:Q2"/>
    <mergeCell ref="B43:P43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30"/>
  <sheetViews>
    <sheetView showGridLines="0" zoomScaleNormal="100" workbookViewId="0"/>
  </sheetViews>
  <sheetFormatPr baseColWidth="10" defaultColWidth="8.7109375" defaultRowHeight="15" x14ac:dyDescent="0.25"/>
  <cols>
    <col min="1" max="1" width="2" customWidth="1"/>
    <col min="2" max="2" width="26" customWidth="1"/>
    <col min="3" max="6" width="16" customWidth="1"/>
    <col min="7" max="7" width="18" customWidth="1"/>
    <col min="8" max="8" width="2" customWidth="1"/>
  </cols>
  <sheetData>
    <row r="2" spans="2:7" ht="30" customHeight="1" x14ac:dyDescent="0.25">
      <c r="B2" s="3" t="s">
        <v>83</v>
      </c>
      <c r="C2" s="3"/>
      <c r="D2" s="3"/>
      <c r="E2" s="3"/>
      <c r="F2" s="3"/>
      <c r="G2" s="3"/>
    </row>
    <row r="4" spans="2:7" ht="15" customHeight="1" x14ac:dyDescent="0.25">
      <c r="B4" s="7" t="s">
        <v>84</v>
      </c>
      <c r="C4" s="7"/>
      <c r="D4" s="7"/>
      <c r="E4" s="7"/>
      <c r="F4" s="7"/>
      <c r="G4" s="7"/>
    </row>
    <row r="5" spans="2:7" ht="18" customHeight="1" x14ac:dyDescent="0.25">
      <c r="B5" s="11" t="s">
        <v>13</v>
      </c>
      <c r="C5" s="56">
        <v>4800</v>
      </c>
    </row>
    <row r="6" spans="2:7" ht="18" customHeight="1" x14ac:dyDescent="0.25">
      <c r="B6" s="11" t="s">
        <v>85</v>
      </c>
      <c r="C6" s="57">
        <f>'📊 Registro Mensual'!D70</f>
        <v>4800</v>
      </c>
    </row>
    <row r="7" spans="2:7" ht="18" customHeight="1" x14ac:dyDescent="0.25">
      <c r="B7" s="11" t="s">
        <v>86</v>
      </c>
      <c r="C7" s="57">
        <f>C5-C6</f>
        <v>0</v>
      </c>
    </row>
    <row r="8" spans="2:7" ht="18" customHeight="1" x14ac:dyDescent="0.25">
      <c r="B8" s="11" t="s">
        <v>87</v>
      </c>
      <c r="C8" s="58">
        <f>IFERROR(C6/C5,0)</f>
        <v>1</v>
      </c>
    </row>
    <row r="9" spans="2:7" ht="18" customHeight="1" x14ac:dyDescent="0.25">
      <c r="B9" s="11" t="s">
        <v>88</v>
      </c>
      <c r="C9" s="59">
        <f ca="1">MAX(0,12-MONTH(TODAY()))</f>
        <v>6</v>
      </c>
    </row>
    <row r="10" spans="2:7" ht="18" customHeight="1" x14ac:dyDescent="0.25">
      <c r="B10" s="11" t="s">
        <v>89</v>
      </c>
      <c r="C10" s="57">
        <f ca="1">IFERROR((C5-C6)/MAX(C9,1),0)</f>
        <v>0</v>
      </c>
    </row>
    <row r="11" spans="2:7" ht="21.75" customHeight="1" x14ac:dyDescent="0.25">
      <c r="B11" s="1" t="str">
        <f>REPT("█",ROUND(C8*30,0))&amp;REPT("░",30-ROUND(C8*30,0))&amp;"  "&amp;TEXT(C8,"0.0%")</f>
        <v>██████████████████████████████  100%</v>
      </c>
      <c r="C11" s="1"/>
      <c r="D11" s="1"/>
      <c r="E11" s="1"/>
      <c r="F11" s="1"/>
      <c r="G11" s="1"/>
    </row>
    <row r="13" spans="2:7" ht="7.5" customHeight="1" x14ac:dyDescent="0.25"/>
    <row r="14" spans="2:7" ht="15" customHeight="1" x14ac:dyDescent="0.25">
      <c r="B14" s="7" t="s">
        <v>90</v>
      </c>
      <c r="C14" s="7"/>
      <c r="D14" s="7"/>
      <c r="E14" s="7"/>
      <c r="F14" s="7"/>
      <c r="G14" s="7"/>
    </row>
    <row r="15" spans="2:7" ht="19.5" customHeight="1" x14ac:dyDescent="0.25">
      <c r="B15" s="10" t="s">
        <v>91</v>
      </c>
      <c r="C15" s="10" t="s">
        <v>92</v>
      </c>
      <c r="D15" s="10" t="s">
        <v>93</v>
      </c>
      <c r="E15" s="10" t="s">
        <v>94</v>
      </c>
      <c r="F15" s="10" t="s">
        <v>95</v>
      </c>
      <c r="G15" s="10" t="s">
        <v>8</v>
      </c>
    </row>
    <row r="16" spans="2:7" ht="18" customHeight="1" x14ac:dyDescent="0.25">
      <c r="B16" s="11" t="s">
        <v>96</v>
      </c>
      <c r="C16" s="60">
        <v>1200</v>
      </c>
      <c r="D16" s="60">
        <v>680</v>
      </c>
      <c r="E16" s="61">
        <f>C16-D16</f>
        <v>520</v>
      </c>
      <c r="F16" s="62">
        <f t="shared" ref="F16:F21" si="0">IFERROR(D16/C16,0)</f>
        <v>0.56666666666666665</v>
      </c>
      <c r="G16" s="14" t="str">
        <f>IF(F16&gt;=1,"✅ Completado",IF(F16&gt;=0.75,"🔷 Casi listo",IF(F16&gt;=0.5,"🟡 Mitad","🔴 Inicio")))</f>
        <v>🟡 Mitad</v>
      </c>
    </row>
    <row r="17" spans="2:7" ht="18" customHeight="1" x14ac:dyDescent="0.25">
      <c r="B17" s="15" t="s">
        <v>74</v>
      </c>
      <c r="C17" s="60">
        <v>4500</v>
      </c>
      <c r="D17" s="60">
        <v>2300</v>
      </c>
      <c r="E17" s="63">
        <f>C17-D17</f>
        <v>2200</v>
      </c>
      <c r="F17" s="64">
        <f t="shared" si="0"/>
        <v>0.51111111111111107</v>
      </c>
      <c r="G17" s="18" t="str">
        <f>IF(F17&gt;=1,"✅ Completado",IF(F17&gt;=0.75,"🔷 Casi listo",IF(F17&gt;=0.5,"🟡 Mitad","🔴 Inicio")))</f>
        <v>🟡 Mitad</v>
      </c>
    </row>
    <row r="18" spans="2:7" ht="18" customHeight="1" x14ac:dyDescent="0.25">
      <c r="B18" s="11" t="s">
        <v>97</v>
      </c>
      <c r="C18" s="60">
        <v>900</v>
      </c>
      <c r="D18" s="60">
        <v>900</v>
      </c>
      <c r="E18" s="61">
        <f>C18-D18</f>
        <v>0</v>
      </c>
      <c r="F18" s="62">
        <f t="shared" si="0"/>
        <v>1</v>
      </c>
      <c r="G18" s="14" t="str">
        <f>IF(F18&gt;=1,"✅ Completado",IF(F18&gt;=0.75,"🔷 Casi listo",IF(F18&gt;=0.5,"🟡 Mitad","🔴 Inicio")))</f>
        <v>✅ Completado</v>
      </c>
    </row>
    <row r="19" spans="2:7" ht="15" customHeight="1" x14ac:dyDescent="0.25">
      <c r="B19" s="15" t="s">
        <v>98</v>
      </c>
      <c r="C19" s="60">
        <v>4500</v>
      </c>
      <c r="D19" s="60">
        <v>550</v>
      </c>
      <c r="E19" s="63">
        <f>C19-D19</f>
        <v>3950</v>
      </c>
      <c r="F19" s="64">
        <f t="shared" si="0"/>
        <v>0.12222222222222222</v>
      </c>
      <c r="G19" s="18" t="str">
        <f>IF(F19&gt;=1,"✅ Completado",IF(F19&gt;=0.75,"🔷 Casi listo",IF(F19&gt;=0.5,"🟡 Mitad","🔴 Inicio")))</f>
        <v>🔴 Inicio</v>
      </c>
    </row>
    <row r="20" spans="2:7" ht="15" customHeight="1" x14ac:dyDescent="0.25">
      <c r="B20" s="11" t="s">
        <v>99</v>
      </c>
      <c r="C20" s="60">
        <v>2300</v>
      </c>
      <c r="D20" s="60">
        <v>200</v>
      </c>
      <c r="E20" s="61">
        <f>C20-D20</f>
        <v>2100</v>
      </c>
      <c r="F20" s="62">
        <f t="shared" si="0"/>
        <v>8.6956521739130432E-2</v>
      </c>
      <c r="G20" s="14" t="str">
        <f>IF(F20&gt;=1,"✅ Completado",IF(F20&gt;=0.75,"🔷 Casi listo",IF(F20&gt;=0.5,"🟡 Mitad","🔴 Inicio")))</f>
        <v>🔴 Inicio</v>
      </c>
    </row>
    <row r="21" spans="2:7" ht="19.5" customHeight="1" x14ac:dyDescent="0.25">
      <c r="B21" s="35" t="s">
        <v>100</v>
      </c>
      <c r="C21" s="36">
        <f>SUM(C16:C20)</f>
        <v>13400</v>
      </c>
      <c r="D21" s="36">
        <f>SUM(D16:D20)</f>
        <v>4630</v>
      </c>
      <c r="E21" s="36">
        <f>SUM(E16:E20)</f>
        <v>8770</v>
      </c>
      <c r="F21" s="65">
        <f t="shared" si="0"/>
        <v>0.34552238805970148</v>
      </c>
    </row>
    <row r="23" spans="2:7" ht="7.5" customHeight="1" x14ac:dyDescent="0.25"/>
    <row r="24" spans="2:7" ht="15" customHeight="1" x14ac:dyDescent="0.25">
      <c r="B24" s="7" t="s">
        <v>101</v>
      </c>
      <c r="C24" s="7"/>
      <c r="D24" s="7"/>
      <c r="E24" s="7"/>
      <c r="F24" s="7"/>
      <c r="G24" s="7"/>
    </row>
    <row r="25" spans="2:7" ht="18" customHeight="1" x14ac:dyDescent="0.25">
      <c r="B25" s="11" t="s">
        <v>102</v>
      </c>
      <c r="C25" s="56">
        <v>1200</v>
      </c>
    </row>
    <row r="26" spans="2:7" ht="18" customHeight="1" x14ac:dyDescent="0.25">
      <c r="B26" s="11" t="s">
        <v>103</v>
      </c>
      <c r="C26" s="56">
        <v>100</v>
      </c>
    </row>
    <row r="27" spans="2:7" ht="18" customHeight="1" x14ac:dyDescent="0.25">
      <c r="B27" s="11" t="s">
        <v>104</v>
      </c>
      <c r="C27" s="66">
        <f>IFERROR(CEILING(C25/C26,1),"")</f>
        <v>12</v>
      </c>
    </row>
    <row r="30" spans="2:7" ht="15" customHeight="1" x14ac:dyDescent="0.25">
      <c r="C30" s="19">
        <v>0.18</v>
      </c>
    </row>
  </sheetData>
  <mergeCells count="5">
    <mergeCell ref="B2:G2"/>
    <mergeCell ref="B4:G4"/>
    <mergeCell ref="B11:G11"/>
    <mergeCell ref="B14:G14"/>
    <mergeCell ref="B24:G24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R38"/>
  <sheetViews>
    <sheetView showGridLines="0" zoomScaleNormal="100" workbookViewId="0"/>
  </sheetViews>
  <sheetFormatPr baseColWidth="10" defaultColWidth="8.7109375" defaultRowHeight="15" x14ac:dyDescent="0.25"/>
  <sheetData>
    <row r="2" spans="1:11" ht="30" customHeight="1" x14ac:dyDescent="0.25">
      <c r="B2" s="3" t="s">
        <v>105</v>
      </c>
      <c r="C2" s="3"/>
      <c r="D2" s="3"/>
      <c r="E2" s="3"/>
      <c r="F2" s="3"/>
      <c r="G2" s="3"/>
      <c r="H2" s="3"/>
      <c r="I2" s="3"/>
      <c r="J2" s="3"/>
      <c r="K2" s="3"/>
    </row>
    <row r="5" spans="1:11" ht="15" customHeight="1" x14ac:dyDescent="0.25">
      <c r="A5" t="s">
        <v>106</v>
      </c>
      <c r="B5" t="s">
        <v>107</v>
      </c>
      <c r="C5" t="s">
        <v>108</v>
      </c>
      <c r="D5" t="s">
        <v>109</v>
      </c>
      <c r="E5" t="s">
        <v>110</v>
      </c>
    </row>
    <row r="6" spans="1:11" ht="15" customHeight="1" x14ac:dyDescent="0.25">
      <c r="A6" t="s">
        <v>111</v>
      </c>
      <c r="B6" s="55">
        <f>'📊 Registro Mensual'!C10</f>
        <v>2600</v>
      </c>
      <c r="C6" s="55">
        <f>'📊 Registro Mensual'!C39</f>
        <v>2145</v>
      </c>
      <c r="D6" s="55">
        <f>'📊 Registro Mensual'!C36</f>
        <v>400</v>
      </c>
      <c r="E6" s="19">
        <f t="shared" ref="E6:E17" si="0">IFERROR(D6/B6,0)</f>
        <v>0.15384615384615385</v>
      </c>
    </row>
    <row r="7" spans="1:11" ht="15" customHeight="1" x14ac:dyDescent="0.25">
      <c r="A7" t="s">
        <v>112</v>
      </c>
      <c r="B7" s="55">
        <f>'📊 Registro Mensual'!D10</f>
        <v>2430</v>
      </c>
      <c r="C7" s="55">
        <f>'📊 Registro Mensual'!D39</f>
        <v>2020</v>
      </c>
      <c r="D7" s="55">
        <f>'📊 Registro Mensual'!D36</f>
        <v>400</v>
      </c>
      <c r="E7" s="19">
        <f t="shared" si="0"/>
        <v>0.16460905349794239</v>
      </c>
    </row>
    <row r="8" spans="1:11" ht="15" customHeight="1" x14ac:dyDescent="0.25">
      <c r="A8" t="s">
        <v>113</v>
      </c>
      <c r="B8" s="55">
        <f>'📊 Registro Mensual'!E10</f>
        <v>2720</v>
      </c>
      <c r="C8" s="55">
        <f>'📊 Registro Mensual'!E39</f>
        <v>2075</v>
      </c>
      <c r="D8" s="55">
        <f>'📊 Registro Mensual'!E36</f>
        <v>400</v>
      </c>
      <c r="E8" s="19">
        <f t="shared" si="0"/>
        <v>0.14705882352941177</v>
      </c>
    </row>
    <row r="9" spans="1:11" ht="15" customHeight="1" x14ac:dyDescent="0.25">
      <c r="A9" t="s">
        <v>114</v>
      </c>
      <c r="B9" s="55">
        <f>'📊 Registro Mensual'!F10</f>
        <v>2450</v>
      </c>
      <c r="C9" s="55">
        <f>'📊 Registro Mensual'!F39</f>
        <v>2300</v>
      </c>
      <c r="D9" s="55">
        <f>'📊 Registro Mensual'!F36</f>
        <v>400</v>
      </c>
      <c r="E9" s="19">
        <f t="shared" si="0"/>
        <v>0.16326530612244897</v>
      </c>
    </row>
    <row r="10" spans="1:11" ht="15" customHeight="1" x14ac:dyDescent="0.25">
      <c r="A10" t="s">
        <v>115</v>
      </c>
      <c r="B10" s="55">
        <f>'📊 Registro Mensual'!G10</f>
        <v>2630</v>
      </c>
      <c r="C10" s="55">
        <f>'📊 Registro Mensual'!G39</f>
        <v>2050</v>
      </c>
      <c r="D10" s="55">
        <f>'📊 Registro Mensual'!G36</f>
        <v>400</v>
      </c>
      <c r="E10" s="19">
        <f t="shared" si="0"/>
        <v>0.15209125475285171</v>
      </c>
    </row>
    <row r="11" spans="1:11" ht="15" customHeight="1" x14ac:dyDescent="0.25">
      <c r="A11" t="s">
        <v>116</v>
      </c>
      <c r="B11" s="55">
        <f>'📊 Registro Mensual'!H10</f>
        <v>2420</v>
      </c>
      <c r="C11" s="55">
        <f>'📊 Registro Mensual'!H39</f>
        <v>2040</v>
      </c>
      <c r="D11" s="55">
        <f>'📊 Registro Mensual'!H36</f>
        <v>400</v>
      </c>
      <c r="E11" s="19">
        <f t="shared" si="0"/>
        <v>0.16528925619834711</v>
      </c>
    </row>
    <row r="12" spans="1:11" ht="15" customHeight="1" x14ac:dyDescent="0.25">
      <c r="A12" t="s">
        <v>117</v>
      </c>
      <c r="B12" s="55">
        <f>'📊 Registro Mensual'!I10</f>
        <v>2600</v>
      </c>
      <c r="C12" s="55">
        <f>'📊 Registro Mensual'!I39</f>
        <v>2455</v>
      </c>
      <c r="D12" s="55">
        <f>'📊 Registro Mensual'!I36</f>
        <v>400</v>
      </c>
      <c r="E12" s="19">
        <f t="shared" si="0"/>
        <v>0.15384615384615385</v>
      </c>
    </row>
    <row r="13" spans="1:11" ht="15" customHeight="1" x14ac:dyDescent="0.25">
      <c r="A13" t="s">
        <v>118</v>
      </c>
      <c r="B13" s="55">
        <f>'📊 Registro Mensual'!J10</f>
        <v>2430</v>
      </c>
      <c r="C13" s="55">
        <f>'📊 Registro Mensual'!J39</f>
        <v>2140</v>
      </c>
      <c r="D13" s="55">
        <f>'📊 Registro Mensual'!J36</f>
        <v>400</v>
      </c>
      <c r="E13" s="19">
        <f t="shared" si="0"/>
        <v>0.16460905349794239</v>
      </c>
    </row>
    <row r="14" spans="1:11" ht="15" customHeight="1" x14ac:dyDescent="0.25">
      <c r="A14" t="s">
        <v>119</v>
      </c>
      <c r="B14" s="55">
        <f>'📊 Registro Mensual'!K10</f>
        <v>2420</v>
      </c>
      <c r="C14" s="55">
        <f>'📊 Registro Mensual'!K39</f>
        <v>2045</v>
      </c>
      <c r="D14" s="55">
        <f>'📊 Registro Mensual'!K36</f>
        <v>400</v>
      </c>
      <c r="E14" s="19">
        <f t="shared" si="0"/>
        <v>0.16528925619834711</v>
      </c>
    </row>
    <row r="15" spans="1:11" ht="15" customHeight="1" x14ac:dyDescent="0.25">
      <c r="A15" t="s">
        <v>120</v>
      </c>
      <c r="B15" s="55">
        <f>'📊 Registro Mensual'!L10</f>
        <v>2750</v>
      </c>
      <c r="C15" s="55">
        <f>'📊 Registro Mensual'!L39</f>
        <v>2060</v>
      </c>
      <c r="D15" s="55">
        <f>'📊 Registro Mensual'!L36</f>
        <v>400</v>
      </c>
      <c r="E15" s="19">
        <f t="shared" si="0"/>
        <v>0.14545454545454545</v>
      </c>
    </row>
    <row r="16" spans="1:11" ht="15" customHeight="1" x14ac:dyDescent="0.25">
      <c r="A16" t="s">
        <v>121</v>
      </c>
      <c r="B16" s="55">
        <f>'📊 Registro Mensual'!M10</f>
        <v>2430</v>
      </c>
      <c r="C16" s="55">
        <f>'📊 Registro Mensual'!M39</f>
        <v>2085</v>
      </c>
      <c r="D16" s="55">
        <f>'📊 Registro Mensual'!M36</f>
        <v>400</v>
      </c>
      <c r="E16" s="19">
        <f t="shared" si="0"/>
        <v>0.16460905349794239</v>
      </c>
    </row>
    <row r="17" spans="1:5" ht="15" customHeight="1" x14ac:dyDescent="0.25">
      <c r="A17" t="s">
        <v>122</v>
      </c>
      <c r="B17" s="55">
        <f>'📊 Registro Mensual'!N10</f>
        <v>2400</v>
      </c>
      <c r="C17" s="55">
        <f>'📊 Registro Mensual'!N39</f>
        <v>2380</v>
      </c>
      <c r="D17" s="55">
        <f>'📊 Registro Mensual'!N36</f>
        <v>400</v>
      </c>
      <c r="E17" s="19">
        <f t="shared" si="0"/>
        <v>0.16666666666666666</v>
      </c>
    </row>
    <row r="22" spans="1:5" ht="15" customHeight="1" x14ac:dyDescent="0.25">
      <c r="A22" t="s">
        <v>123</v>
      </c>
      <c r="B22" t="s">
        <v>124</v>
      </c>
    </row>
    <row r="23" spans="1:5" ht="15" customHeight="1" x14ac:dyDescent="0.25">
      <c r="A23" t="s">
        <v>125</v>
      </c>
      <c r="B23" s="55">
        <f>'📊 Registro Mensual'!O20</f>
        <v>17730</v>
      </c>
    </row>
    <row r="24" spans="1:5" ht="15" customHeight="1" x14ac:dyDescent="0.25">
      <c r="A24" t="s">
        <v>126</v>
      </c>
      <c r="B24" s="55">
        <f>'📊 Registro Mensual'!O29</f>
        <v>3265</v>
      </c>
    </row>
    <row r="25" spans="1:5" ht="15" customHeight="1" x14ac:dyDescent="0.25">
      <c r="A25" t="s">
        <v>109</v>
      </c>
      <c r="B25" s="55">
        <f>'📊 Registro Mensual'!O36</f>
        <v>4800</v>
      </c>
    </row>
    <row r="38" spans="2:18" ht="18" customHeight="1" x14ac:dyDescent="0.25">
      <c r="B38" s="4" t="s">
        <v>127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</sheetData>
  <mergeCells count="2">
    <mergeCell ref="B2:K2"/>
    <mergeCell ref="B38:R38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🏠 Panel de Control</vt:lpstr>
      <vt:lpstr>📊 Registro Mensual</vt:lpstr>
      <vt:lpstr>🎯 Metas de Ahorro</vt:lpstr>
      <vt:lpstr>📈 Gráficos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2</cp:revision>
  <dcterms:created xsi:type="dcterms:W3CDTF">2026-06-11T08:34:43Z</dcterms:created>
  <dcterms:modified xsi:type="dcterms:W3CDTF">2026-06-11T09:59:20Z</dcterms:modified>
  <dc:language>en-US</dc:language>
</cp:coreProperties>
</file>