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generador horizontal\"/>
    </mc:Choice>
  </mc:AlternateContent>
  <xr:revisionPtr revIDLastSave="0" documentId="13_ncr:1_{6B6EAA89-6DB6-499C-9CAA-39564610DEF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anel" sheetId="1" r:id="rId1"/>
    <sheet name="Movimientos" sheetId="2" r:id="rId2"/>
    <sheet name="Metas" sheetId="3" r:id="rId3"/>
  </sheets>
  <definedNames>
    <definedName name="_xlnm._FilterDatabase" localSheetId="1" hidden="1">Movimientos!$A$4:$H$105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3" i="3" l="1"/>
  <c r="C10" i="3"/>
  <c r="G9" i="3"/>
  <c r="I9" i="3" s="1"/>
  <c r="F9" i="3"/>
  <c r="G8" i="3"/>
  <c r="H8" i="3" s="1"/>
  <c r="F8" i="3"/>
  <c r="G7" i="3"/>
  <c r="I7" i="3" s="1"/>
  <c r="F7" i="3"/>
  <c r="G6" i="3"/>
  <c r="I13" i="3" s="1"/>
  <c r="F6" i="3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C25" i="1" s="1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E21" i="1" s="1"/>
  <c r="B40" i="2"/>
  <c r="B39" i="2"/>
  <c r="B38" i="2"/>
  <c r="B37" i="2"/>
  <c r="B36" i="2"/>
  <c r="B35" i="2"/>
  <c r="B34" i="2"/>
  <c r="C20" i="1" s="1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E25" i="1" s="1"/>
  <c r="B7" i="2"/>
  <c r="D25" i="1" s="1"/>
  <c r="B6" i="2"/>
  <c r="B5" i="2"/>
  <c r="C40" i="1"/>
  <c r="D40" i="1" s="1"/>
  <c r="E40" i="1" s="1"/>
  <c r="C39" i="1"/>
  <c r="D39" i="1" s="1"/>
  <c r="E39" i="1" s="1"/>
  <c r="C38" i="1"/>
  <c r="D38" i="1" s="1"/>
  <c r="E38" i="1" s="1"/>
  <c r="C37" i="1"/>
  <c r="D37" i="1" s="1"/>
  <c r="E37" i="1" s="1"/>
  <c r="C36" i="1"/>
  <c r="D36" i="1" s="1"/>
  <c r="E36" i="1" s="1"/>
  <c r="C35" i="1"/>
  <c r="D35" i="1" s="1"/>
  <c r="E35" i="1" s="1"/>
  <c r="C34" i="1"/>
  <c r="D34" i="1" s="1"/>
  <c r="E34" i="1" s="1"/>
  <c r="C33" i="1"/>
  <c r="D33" i="1" s="1"/>
  <c r="E33" i="1" s="1"/>
  <c r="C32" i="1"/>
  <c r="D32" i="1" s="1"/>
  <c r="E32" i="1" s="1"/>
  <c r="C31" i="1"/>
  <c r="D31" i="1" s="1"/>
  <c r="E31" i="1" s="1"/>
  <c r="C30" i="1"/>
  <c r="D30" i="1" s="1"/>
  <c r="E30" i="1" s="1"/>
  <c r="H26" i="1"/>
  <c r="C24" i="1"/>
  <c r="I24" i="1" s="1"/>
  <c r="D23" i="1"/>
  <c r="C23" i="1"/>
  <c r="I23" i="1" s="1"/>
  <c r="C19" i="1"/>
  <c r="D18" i="1"/>
  <c r="C18" i="1"/>
  <c r="E16" i="1"/>
  <c r="C14" i="1"/>
  <c r="C9" i="1"/>
  <c r="H25" i="1" s="1"/>
  <c r="I7" i="1"/>
  <c r="F7" i="1"/>
  <c r="J7" i="1" s="1"/>
  <c r="F25" i="1" l="1"/>
  <c r="G25" i="1" s="1"/>
  <c r="I25" i="1"/>
  <c r="I20" i="1"/>
  <c r="L7" i="3"/>
  <c r="K7" i="3"/>
  <c r="L9" i="3"/>
  <c r="K9" i="3"/>
  <c r="J9" i="3"/>
  <c r="I8" i="3"/>
  <c r="E18" i="1"/>
  <c r="E23" i="1"/>
  <c r="G7" i="1"/>
  <c r="F18" i="1"/>
  <c r="G18" i="1" s="1"/>
  <c r="F23" i="1"/>
  <c r="G23" i="1" s="1"/>
  <c r="H7" i="1"/>
  <c r="C16" i="1"/>
  <c r="C21" i="1"/>
  <c r="C41" i="1"/>
  <c r="D16" i="1"/>
  <c r="H18" i="1"/>
  <c r="D21" i="1"/>
  <c r="H23" i="1"/>
  <c r="I6" i="3"/>
  <c r="H9" i="3"/>
  <c r="H20" i="1"/>
  <c r="E14" i="1"/>
  <c r="E19" i="1"/>
  <c r="E24" i="1"/>
  <c r="H6" i="3"/>
  <c r="D14" i="1"/>
  <c r="H16" i="1"/>
  <c r="D19" i="1"/>
  <c r="F19" i="1" s="1"/>
  <c r="H21" i="1"/>
  <c r="D24" i="1"/>
  <c r="F24" i="1" s="1"/>
  <c r="G24" i="1" s="1"/>
  <c r="C17" i="1"/>
  <c r="C22" i="1"/>
  <c r="H14" i="1"/>
  <c r="D17" i="1"/>
  <c r="H19" i="1"/>
  <c r="D22" i="1"/>
  <c r="H24" i="1"/>
  <c r="H7" i="3"/>
  <c r="J7" i="3" s="1"/>
  <c r="G10" i="3"/>
  <c r="I10" i="3" s="1"/>
  <c r="E17" i="1"/>
  <c r="E22" i="1"/>
  <c r="H15" i="1"/>
  <c r="C15" i="1"/>
  <c r="C26" i="1" s="1"/>
  <c r="D15" i="1"/>
  <c r="H17" i="1"/>
  <c r="D20" i="1"/>
  <c r="F20" i="1" s="1"/>
  <c r="G20" i="1" s="1"/>
  <c r="H22" i="1"/>
  <c r="E15" i="1"/>
  <c r="E20" i="1"/>
  <c r="E13" i="3"/>
  <c r="G19" i="1" l="1"/>
  <c r="I19" i="1"/>
  <c r="G13" i="3"/>
  <c r="H10" i="3"/>
  <c r="L8" i="3"/>
  <c r="K8" i="3"/>
  <c r="J8" i="3"/>
  <c r="E26" i="1"/>
  <c r="L6" i="3"/>
  <c r="K13" i="3" s="1"/>
  <c r="K6" i="3"/>
  <c r="J6" i="3"/>
  <c r="F17" i="1"/>
  <c r="G17" i="1" s="1"/>
  <c r="D26" i="1"/>
  <c r="I22" i="1"/>
  <c r="F22" i="1"/>
  <c r="G22" i="1" s="1"/>
  <c r="I21" i="1"/>
  <c r="F21" i="1"/>
  <c r="G21" i="1" s="1"/>
  <c r="I18" i="1"/>
  <c r="F15" i="1"/>
  <c r="G15" i="1" s="1"/>
  <c r="F14" i="1"/>
  <c r="F16" i="1"/>
  <c r="G16" i="1" s="1"/>
  <c r="I17" i="1" l="1"/>
  <c r="J14" i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G14" i="1"/>
  <c r="F26" i="1"/>
  <c r="I14" i="1"/>
  <c r="I16" i="1"/>
  <c r="I15" i="1"/>
  <c r="G26" i="1" l="1"/>
  <c r="J26" i="1"/>
</calcChain>
</file>

<file path=xl/sharedStrings.xml><?xml version="1.0" encoding="utf-8"?>
<sst xmlns="http://schemas.openxmlformats.org/spreadsheetml/2006/main" count="420" uniqueCount="143">
  <si>
    <t>PLAN DE AHORRO PERSONAL</t>
  </si>
  <si>
    <t>Control mensual de ingresos, gastos y metas de ahorro</t>
  </si>
  <si>
    <t>CONFIGURACIÓN</t>
  </si>
  <si>
    <t>RESUMEN ANUAL</t>
  </si>
  <si>
    <t>Usuario</t>
  </si>
  <si>
    <t>Marta Hernández Vega</t>
  </si>
  <si>
    <t>% OBJETIVO ANUAL</t>
  </si>
  <si>
    <t>TASA AHORRO MEDIA</t>
  </si>
  <si>
    <t>ASIGNADO A METAS</t>
  </si>
  <si>
    <t>AHORRO LIBRE</t>
  </si>
  <si>
    <t>Año</t>
  </si>
  <si>
    <t>Objetivo de ahorro anual</t>
  </si>
  <si>
    <t>Objetivo mensual (calculado)</t>
  </si>
  <si>
    <t>↳ Celdas en amarillo: edítalas. El resto se calcula solo.</t>
  </si>
  <si>
    <t>EVOLUCIÓN MENSUAL</t>
  </si>
  <si>
    <t>Mes</t>
  </si>
  <si>
    <t>Ingresos</t>
  </si>
  <si>
    <t>Gastos fijos</t>
  </si>
  <si>
    <t>Ahorro mes</t>
  </si>
  <si>
    <t>% Ahorro</t>
  </si>
  <si>
    <t>Objetivo</t>
  </si>
  <si>
    <t>Cumple</t>
  </si>
  <si>
    <t>Acumulado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</si>
  <si>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</si>
  <si>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</si>
  <si>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</si>
  <si>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</si>
  <si>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</si>
  <si>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</si>
  <si>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</si>
  <si>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</si>
  <si>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</si>
  <si>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</si>
  <si>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</si>
  <si>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</si>
  <si>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</si>
  <si>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REPARTO DE GASTOS POR CATEGORÍA (AÑO)</t>
  </si>
  <si>
    <t>¿CÓMO USAR LA PLANTILLA?</t>
  </si>
  <si>
    <t>Categoría</t>
  </si>
  <si>
    <t>Gasto</t>
  </si>
  <si>
    <t>% del total</t>
  </si>
  <si>
    <t>Visual</t>
  </si>
  <si>
    <t>1. Ajusta el objetivo anual en la celda amarilla. El mensual se calcula solo.</t>
  </si>
  <si>
    <t>Vivienda</t>
  </si>
  <si>
    <t>2. Apunta cada movimiento en la hoja Movimientos (fila por fila).</t>
  </si>
  <si>
    <t>Suministros</t>
  </si>
  <si>
    <t>3. Mira el panel: ingresos, gastos y ahorro se rellenan automáticamente.</t>
  </si>
  <si>
    <t>Alimentación</t>
  </si>
  <si>
    <t>4. Crea o edita metas en la hoja Metas y asigna aportaciones desde Movimientos.</t>
  </si>
  <si>
    <t>Transporte</t>
  </si>
  <si>
    <t>5. Revisa el semáforo: verde = cumples, ámbar = cerca, rojo = falta.</t>
  </si>
  <si>
    <t>Salud</t>
  </si>
  <si>
    <t>Ocio</t>
  </si>
  <si>
    <t>Ropa</t>
  </si>
  <si>
    <t>Suscripciones</t>
  </si>
  <si>
    <t>Formación</t>
  </si>
  <si>
    <t>Hogar</t>
  </si>
  <si>
    <t>Regalos</t>
  </si>
  <si>
    <t>TOTAL</t>
  </si>
  <si>
    <t>REGISTRO DE MOVIMIENTOS</t>
  </si>
  <si>
    <t>Apunta aquí cada ingreso, gasto o aportación a meta. La columna Mes se calcula sola.</t>
  </si>
  <si>
    <t>Fecha</t>
  </si>
  <si>
    <t>Tipo</t>
  </si>
  <si>
    <t>Concepto</t>
  </si>
  <si>
    <t>Importe</t>
  </si>
  <si>
    <t>Meta asignada</t>
  </si>
  <si>
    <t>Notas</t>
  </si>
  <si>
    <t>Gasto fijo</t>
  </si>
  <si>
    <t>Alquiler piso Madrid</t>
  </si>
  <si>
    <t>Iberdrola - electricidad</t>
  </si>
  <si>
    <t>Aqualia - agua</t>
  </si>
  <si>
    <t>Gasto variable</t>
  </si>
  <si>
    <t>Lidl</t>
  </si>
  <si>
    <t>Vodafone fibra + móvil</t>
  </si>
  <si>
    <t>Mercadona</t>
  </si>
  <si>
    <t>Gimnasio Altafit</t>
  </si>
  <si>
    <t>Cena con amigos</t>
  </si>
  <si>
    <t>Carrefour</t>
  </si>
  <si>
    <t>Netflix</t>
  </si>
  <si>
    <t>Cine Yelmo</t>
  </si>
  <si>
    <t>Abono Transportes Madrid</t>
  </si>
  <si>
    <t>Ingreso</t>
  </si>
  <si>
    <t>Salario</t>
  </si>
  <si>
    <t>Nómina enero</t>
  </si>
  <si>
    <t>Aportación meta</t>
  </si>
  <si>
    <t>Aportación</t>
  </si>
  <si>
    <t>Transferencia ahorro</t>
  </si>
  <si>
    <t>Fondo de emergencia</t>
  </si>
  <si>
    <t>Domiciliada día 31</t>
  </si>
  <si>
    <t>Zara - botas</t>
  </si>
  <si>
    <t>Restaurante San Valentín</t>
  </si>
  <si>
    <t>Spotify</t>
  </si>
  <si>
    <t>Gasolina</t>
  </si>
  <si>
    <t>Nómina febrero</t>
  </si>
  <si>
    <t>Extras</t>
  </si>
  <si>
    <t>Clase particular inglés</t>
  </si>
  <si>
    <t>Sobrina vecina</t>
  </si>
  <si>
    <t>Viaje a Japón 2027</t>
  </si>
  <si>
    <t>Cumpleaños hermana</t>
  </si>
  <si>
    <t>Concierto</t>
  </si>
  <si>
    <t>Curso fotografía online</t>
  </si>
  <si>
    <t>Pago único</t>
  </si>
  <si>
    <t>Nómina marzo</t>
  </si>
  <si>
    <t>Escapada fin de semana Toledo</t>
  </si>
  <si>
    <t>Hotel + comida</t>
  </si>
  <si>
    <t>Menaje cocina</t>
  </si>
  <si>
    <t>Dentista revisión</t>
  </si>
  <si>
    <t>Nómina abril</t>
  </si>
  <si>
    <t>Reposición primavera</t>
  </si>
  <si>
    <t>Cumpleaños amigo cena</t>
  </si>
  <si>
    <t>Nómina mayo</t>
  </si>
  <si>
    <t>Devolución Hacienda</t>
  </si>
  <si>
    <t>IRPF a devolver</t>
  </si>
  <si>
    <t>Cambio de coche</t>
  </si>
  <si>
    <t>Óptica gafas nuevas</t>
  </si>
  <si>
    <t>Receta + montura</t>
  </si>
  <si>
    <t>Festival música un día</t>
  </si>
  <si>
    <t>Nómina junio + extra verano</t>
  </si>
  <si>
    <t>Paga extra</t>
  </si>
  <si>
    <t>Refuerzo con paga extra</t>
  </si>
  <si>
    <t>METAS DE AHORRO</t>
  </si>
  <si>
    <t>Define cada objetivo y su fecha. La columna Aportado se rellena automáticamente desde Movimientos.</t>
  </si>
  <si>
    <t>Meta</t>
  </si>
  <si>
    <t>Importe objetivo</t>
  </si>
  <si>
    <t>Fecha inicio</t>
  </si>
  <si>
    <t>Fecha límite</t>
  </si>
  <si>
    <t>Meses restantes</t>
  </si>
  <si>
    <t>Aportado</t>
  </si>
  <si>
    <t>Pendiente</t>
  </si>
  <si>
    <t>% Avance</t>
  </si>
  <si>
    <t>Aportación mensual ideal</t>
  </si>
  <si>
    <t>Estado</t>
  </si>
  <si>
    <t>Progreso visual</t>
  </si>
  <si>
    <t>Curso de fotografía</t>
  </si>
  <si>
    <t>TOTAL METAS</t>
  </si>
  <si>
    <t>RESUMEN CONSOLIDADO</t>
  </si>
  <si>
    <t>Total objetivo</t>
  </si>
  <si>
    <t>Total aportado</t>
  </si>
  <si>
    <t>Total pendiente</t>
  </si>
  <si>
    <t>% Avance global</t>
  </si>
  <si>
    <t>Metas conseguidas</t>
  </si>
  <si>
    <t>Gastos
variables</t>
  </si>
  <si>
    <t>AHORRADO
EN EL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</si>
</sst>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€&quot;"/>
    <numFmt numFmtId="165" formatCode="0.0%"/>
    <numFmt numFmtId="166" formatCode="#,##0.00&quot; €&quot;;[Red]\-#,##0.00&quot; €&quot;;\—"/>
    <numFmt numFmtId="167" formatCode="#,##0.00&quot; €&quot;;[Red]\-#,##0.00&quot; €&quot;;;"/>
  </numFmts>
  <fonts count="20" x14ac:knownFonts="1">
    <font>
      <sz val="11"/>
      <color theme="1"/>
      <name val="Calibri"/>
      <family val="2"/>
      <charset val="1"/>
    </font>
    <font>
      <b/>
      <sz val="20"/>
      <color rgb="FFFFFFFF"/>
      <name val="Calibri"/>
      <charset val="1"/>
    </font>
    <font>
      <i/>
      <sz val="10"/>
      <color rgb="FF6B7280"/>
      <name val="Calibri"/>
      <charset val="1"/>
    </font>
    <font>
      <b/>
      <sz val="11"/>
      <color rgb="FFFFFFFF"/>
      <name val="Calibri"/>
      <charset val="1"/>
    </font>
    <font>
      <b/>
      <sz val="10"/>
      <name val="Calibri"/>
      <charset val="1"/>
    </font>
    <font>
      <b/>
      <sz val="10"/>
      <color rgb="FF0000FF"/>
      <name val="Calibri"/>
      <charset val="1"/>
    </font>
    <font>
      <b/>
      <sz val="9"/>
      <color rgb="FF6B7280"/>
      <name val="Calibri"/>
      <charset val="1"/>
    </font>
    <font>
      <b/>
      <sz val="10"/>
      <color rgb="FF1F3A5F"/>
      <name val="Calibri"/>
      <charset val="1"/>
    </font>
    <font>
      <i/>
      <sz val="9"/>
      <color rgb="FF6B7280"/>
      <name val="Calibri"/>
      <charset val="1"/>
    </font>
    <font>
      <b/>
      <sz val="10"/>
      <color rgb="FFFFFFFF"/>
      <name val="Calibri"/>
      <charset val="1"/>
    </font>
    <font>
      <sz val="10"/>
      <name val="Calibri"/>
      <charset val="1"/>
    </font>
    <font>
      <sz val="9"/>
      <color rgb="FF2A7F8A"/>
      <name val="Consolas"/>
      <charset val="1"/>
    </font>
    <font>
      <b/>
      <sz val="16"/>
      <color rgb="FFFFFFFF"/>
      <name val="Calibri"/>
      <charset val="1"/>
    </font>
    <font>
      <i/>
      <sz val="9.5"/>
      <color rgb="FF6B7280"/>
      <name val="Calibri"/>
      <charset val="1"/>
    </font>
    <font>
      <sz val="10"/>
      <color rgb="FF6B7280"/>
      <name val="Calibri"/>
      <charset val="1"/>
    </font>
    <font>
      <sz val="10"/>
      <color rgb="FF2E8B57"/>
      <name val="Consolas"/>
      <charset val="1"/>
    </font>
    <font>
      <b/>
      <sz val="11"/>
      <color rgb="FF1F3A5F"/>
      <name val="Calibri"/>
      <charset val="1"/>
    </font>
    <font>
      <b/>
      <sz val="12"/>
      <color rgb="FF1F3A5F"/>
      <name val="Calibri"/>
      <family val="2"/>
    </font>
    <font>
      <sz val="8"/>
      <color rgb="FF374151"/>
      <name val="Calibri"/>
      <family val="2"/>
    </font>
    <font>
      <b/>
      <sz val="8.5"/>
      <color rgb="FF6B728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1F3A5F"/>
        <bgColor rgb="FF374151"/>
      </patternFill>
    </fill>
    <fill>
      <patternFill patternType="solid">
        <fgColor rgb="FFF4F6F8"/>
        <bgColor rgb="FFFFFFFF"/>
      </patternFill>
    </fill>
    <fill>
      <patternFill patternType="solid">
        <fgColor rgb="FFFFF9C4"/>
        <bgColor rgb="FFFFF3CD"/>
      </patternFill>
    </fill>
    <fill>
      <patternFill patternType="solid">
        <fgColor rgb="FFFFFFFF"/>
        <bgColor rgb="FFF4F6F8"/>
      </patternFill>
    </fill>
    <fill>
      <patternFill patternType="solid">
        <fgColor rgb="FF2A7F8A"/>
        <bgColor rgb="FF2E8B57"/>
      </patternFill>
    </fill>
    <fill>
      <patternFill patternType="solid">
        <fgColor rgb="FFE0E7FF"/>
        <bgColor rgb="FFE5E7EB"/>
      </patternFill>
    </fill>
    <fill>
      <patternFill patternType="solid">
        <fgColor rgb="FFFFE4E1"/>
        <bgColor rgb="FFF8D7DA"/>
      </patternFill>
    </fill>
    <fill>
      <patternFill patternType="solid">
        <fgColor rgb="FFD4EDDA"/>
        <bgColor rgb="FFE5E7EB"/>
      </patternFill>
    </fill>
    <fill>
      <patternFill patternType="solid">
        <fgColor rgb="FFFFF3CD"/>
        <bgColor rgb="FFFFF9C4"/>
      </patternFill>
    </fill>
  </fills>
  <borders count="6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1F3A5F"/>
      </left>
      <right style="thin">
        <color rgb="FF1F3A5F"/>
      </right>
      <top style="thin">
        <color rgb="FF1F3A5F"/>
      </top>
      <bottom style="thin">
        <color rgb="FF1F3A5F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D1D5DB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3" fillId="3" borderId="0" xfId="0" applyFont="1" applyFill="1" applyAlignment="1">
      <alignment horizontal="left" vertical="center" indent="1"/>
    </xf>
    <xf numFmtId="0" fontId="12" fillId="2" borderId="0" xfId="0" applyFont="1" applyFill="1" applyAlignment="1">
      <alignment horizontal="left" vertical="center" indent="1"/>
    </xf>
    <xf numFmtId="0" fontId="8" fillId="0" borderId="0" xfId="0" applyFont="1"/>
    <xf numFmtId="0" fontId="3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9" fillId="6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right" vertical="center" indent="1"/>
    </xf>
    <xf numFmtId="165" fontId="0" fillId="0" borderId="1" xfId="0" applyNumberFormat="1" applyBorder="1" applyAlignment="1">
      <alignment horizontal="right" vertical="center" indent="1"/>
    </xf>
    <xf numFmtId="0" fontId="0" fillId="0" borderId="1" xfId="0" applyBorder="1" applyAlignment="1">
      <alignment horizontal="center" vertical="center" indent="1"/>
    </xf>
    <xf numFmtId="0" fontId="9" fillId="0" borderId="0" xfId="0" applyFont="1" applyAlignment="1">
      <alignment horizontal="left" vertical="center" indent="1"/>
    </xf>
    <xf numFmtId="166" fontId="9" fillId="2" borderId="3" xfId="0" applyNumberFormat="1" applyFont="1" applyFill="1" applyBorder="1" applyAlignment="1">
      <alignment horizontal="right" vertical="center" indent="1"/>
    </xf>
    <xf numFmtId="165" fontId="9" fillId="2" borderId="3" xfId="0" applyNumberFormat="1" applyFont="1" applyFill="1" applyBorder="1" applyAlignment="1">
      <alignment horizontal="right" vertical="center" indent="1"/>
    </xf>
    <xf numFmtId="0" fontId="9" fillId="2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 indent="1"/>
    </xf>
    <xf numFmtId="164" fontId="9" fillId="2" borderId="3" xfId="0" applyNumberFormat="1" applyFont="1" applyFill="1" applyBorder="1" applyAlignment="1">
      <alignment horizontal="right" vertical="center" indent="1"/>
    </xf>
    <xf numFmtId="14" fontId="10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 indent="1"/>
    </xf>
    <xf numFmtId="164" fontId="10" fillId="0" borderId="1" xfId="0" applyNumberFormat="1" applyFont="1" applyBorder="1" applyAlignment="1">
      <alignment horizontal="right" vertical="center" indent="1"/>
    </xf>
    <xf numFmtId="0" fontId="10" fillId="8" borderId="1" xfId="0" applyFont="1" applyFill="1" applyBorder="1" applyAlignment="1">
      <alignment horizontal="left" vertical="center" indent="1"/>
    </xf>
    <xf numFmtId="0" fontId="10" fillId="9" borderId="1" xfId="0" applyFont="1" applyFill="1" applyBorder="1" applyAlignment="1">
      <alignment horizontal="left" vertical="center" indent="1"/>
    </xf>
    <xf numFmtId="0" fontId="10" fillId="10" borderId="1" xfId="0" applyFont="1" applyFill="1" applyBorder="1" applyAlignment="1">
      <alignment horizontal="left" vertical="center" indent="1"/>
    </xf>
    <xf numFmtId="14" fontId="1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indent="1"/>
    </xf>
    <xf numFmtId="167" fontId="10" fillId="0" borderId="4" xfId="0" applyNumberFormat="1" applyFont="1" applyBorder="1" applyAlignment="1">
      <alignment horizontal="right" vertical="center" indent="1"/>
    </xf>
    <xf numFmtId="0" fontId="9" fillId="6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indent="1"/>
    </xf>
    <xf numFmtId="1" fontId="10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right" vertical="center" indent="1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indent="1"/>
    </xf>
    <xf numFmtId="0" fontId="6" fillId="3" borderId="1" xfId="0" applyFont="1" applyFill="1" applyBorder="1" applyAlignment="1">
      <alignment horizontal="left" vertical="center" indent="1"/>
    </xf>
    <xf numFmtId="164" fontId="16" fillId="0" borderId="1" xfId="0" applyNumberFormat="1" applyFont="1" applyBorder="1" applyAlignment="1">
      <alignment horizontal="right" vertical="center" indent="1"/>
    </xf>
    <xf numFmtId="165" fontId="16" fillId="0" borderId="1" xfId="0" applyNumberFormat="1" applyFont="1" applyBorder="1" applyAlignment="1">
      <alignment horizontal="right" vertical="center" indent="1"/>
    </xf>
    <xf numFmtId="1" fontId="16" fillId="0" borderId="1" xfId="0" applyNumberFormat="1" applyFont="1" applyBorder="1" applyAlignment="1">
      <alignment horizontal="right" vertical="center" indent="1"/>
    </xf>
    <xf numFmtId="164" fontId="7" fillId="5" borderId="5" xfId="0" applyNumberFormat="1" applyFont="1" applyFill="1" applyBorder="1" applyAlignment="1">
      <alignment horizontal="left" vertical="center"/>
    </xf>
    <xf numFmtId="164" fontId="7" fillId="5" borderId="0" xfId="0" applyNumberFormat="1" applyFont="1" applyFill="1" applyBorder="1" applyAlignment="1">
      <alignment horizontal="left" vertical="center"/>
    </xf>
    <xf numFmtId="49" fontId="5" fillId="4" borderId="5" xfId="0" applyNumberFormat="1" applyFont="1" applyFill="1" applyBorder="1" applyAlignment="1">
      <alignment horizontal="left" vertical="center"/>
    </xf>
    <xf numFmtId="49" fontId="5" fillId="4" borderId="0" xfId="0" applyNumberFormat="1" applyFont="1" applyFill="1" applyBorder="1" applyAlignment="1">
      <alignment horizontal="left" vertical="center"/>
    </xf>
    <xf numFmtId="1" fontId="5" fillId="4" borderId="5" xfId="0" applyNumberFormat="1" applyFont="1" applyFill="1" applyBorder="1" applyAlignment="1">
      <alignment horizontal="left" vertical="center"/>
    </xf>
    <xf numFmtId="1" fontId="5" fillId="4" borderId="0" xfId="0" applyNumberFormat="1" applyFont="1" applyFill="1" applyBorder="1" applyAlignment="1">
      <alignment horizontal="left" vertical="center"/>
    </xf>
    <xf numFmtId="164" fontId="5" fillId="4" borderId="5" xfId="0" applyNumberFormat="1" applyFont="1" applyFill="1" applyBorder="1" applyAlignment="1">
      <alignment horizontal="left" vertical="center"/>
    </xf>
    <xf numFmtId="164" fontId="5" fillId="4" borderId="0" xfId="0" applyNumberFormat="1" applyFont="1" applyFill="1" applyBorder="1" applyAlignment="1">
      <alignment horizontal="left" vertical="center"/>
    </xf>
    <xf numFmtId="164" fontId="17" fillId="5" borderId="1" xfId="0" applyNumberFormat="1" applyFont="1" applyFill="1" applyBorder="1" applyAlignment="1">
      <alignment horizontal="center" vertical="center"/>
    </xf>
    <xf numFmtId="165" fontId="17" fillId="5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 indent="1"/>
    </xf>
    <xf numFmtId="0" fontId="19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/>
    </xf>
  </cellXfs>
  <cellStyles count="1">
    <cellStyle name="Standard" xfId="0" builtinId="0"/>
  </cellStyles>
  <dxfs count="8">
    <dxf>
      <font>
        <b/>
        <sz val="10"/>
        <color rgb="FF721C24"/>
        <name val="Calibri"/>
        <charset val="1"/>
      </font>
      <fill>
        <patternFill>
          <bgColor rgb="FFF8D7DA"/>
        </patternFill>
      </fill>
    </dxf>
    <dxf>
      <font>
        <b/>
        <sz val="10"/>
        <color rgb="FF856404"/>
        <name val="Calibri"/>
        <charset val="1"/>
      </font>
      <fill>
        <patternFill>
          <bgColor rgb="FFFFF3CD"/>
        </patternFill>
      </fill>
    </dxf>
    <dxf>
      <font>
        <b/>
        <sz val="10"/>
        <color rgb="FF856404"/>
        <name val="Calibri"/>
        <charset val="1"/>
      </font>
      <fill>
        <patternFill>
          <bgColor rgb="FFFFF3CD"/>
        </patternFill>
      </fill>
    </dxf>
    <dxf>
      <font>
        <b/>
        <sz val="10"/>
        <color rgb="FF155724"/>
        <name val="Calibri"/>
        <charset val="1"/>
      </font>
      <fill>
        <patternFill>
          <bgColor rgb="FFD4EDDA"/>
        </patternFill>
      </fill>
    </dxf>
    <dxf>
      <font>
        <b/>
        <sz val="10"/>
        <color rgb="FF155724"/>
        <name val="Calibri"/>
        <charset val="1"/>
      </font>
      <fill>
        <patternFill>
          <bgColor rgb="FFD4EDDA"/>
        </patternFill>
      </fill>
    </dxf>
    <dxf>
      <font>
        <b/>
        <sz val="10"/>
        <color rgb="FF721C24"/>
        <name val="Calibri"/>
        <charset val="1"/>
      </font>
      <fill>
        <patternFill>
          <bgColor rgb="FFF8D7DA"/>
        </patternFill>
      </fill>
    </dxf>
    <dxf>
      <font>
        <b/>
        <sz val="10"/>
        <color rgb="FF856404"/>
        <name val="Calibri"/>
        <charset val="1"/>
      </font>
      <fill>
        <patternFill>
          <bgColor rgb="FFFFF3CD"/>
        </patternFill>
      </fill>
    </dxf>
    <dxf>
      <font>
        <b/>
        <sz val="10"/>
        <color rgb="FF155724"/>
        <name val="Calibri"/>
        <charset val="1"/>
      </font>
      <fill>
        <patternFill>
          <bgColor rgb="FFD4EDDA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E4E1"/>
      <rgbColor rgb="FFFF00FF"/>
      <rgbColor rgb="FF00FFFF"/>
      <rgbColor rgb="FF721C24"/>
      <rgbColor rgb="FF008000"/>
      <rgbColor rgb="FF000080"/>
      <rgbColor rgb="FF856404"/>
      <rgbColor rgb="FF800080"/>
      <rgbColor rgb="FF2A7F8A"/>
      <rgbColor rgb="FFB3B3B3"/>
      <rgbColor rgb="FF6B7280"/>
      <rgbColor rgb="FF93A9CE"/>
      <rgbColor rgb="FFAB4744"/>
      <rgbColor rgb="FFFFF9C4"/>
      <rgbColor rgb="FFE0E7FF"/>
      <rgbColor rgb="FF660066"/>
      <rgbColor rgb="FFDC853E"/>
      <rgbColor rgb="FF0066CC"/>
      <rgbColor rgb="FFD1D5DB"/>
      <rgbColor rgb="FF000080"/>
      <rgbColor rgb="FFFF00FF"/>
      <rgbColor rgb="FFE5E7EB"/>
      <rgbColor rgb="FF00FFFF"/>
      <rgbColor rgb="FF800080"/>
      <rgbColor rgb="FF800000"/>
      <rgbColor rgb="FF4F81BD"/>
      <rgbColor rgb="FF0000FF"/>
      <rgbColor rgb="FF00CCFF"/>
      <rgbColor rgb="FFF4F6F8"/>
      <rgbColor rgb="FFD4EDDA"/>
      <rgbColor rgb="FFFFF3CD"/>
      <rgbColor rgb="FF92C3D5"/>
      <rgbColor rgb="FFD09493"/>
      <rgbColor rgb="FFD9D9D9"/>
      <rgbColor rgb="FFF8D7DA"/>
      <rgbColor rgb="FF4672A8"/>
      <rgbColor rgb="FF4299B0"/>
      <rgbColor rgb="FF8AA64F"/>
      <rgbColor rgb="FFB8CD97"/>
      <rgbColor rgb="FFFF9900"/>
      <rgbColor rgb="FFFF6600"/>
      <rgbColor rgb="FF725990"/>
      <rgbColor rgb="FFA99BBD"/>
      <rgbColor rgb="FF1F3A5F"/>
      <rgbColor rgb="FF2E8B57"/>
      <rgbColor rgb="FF155724"/>
      <rgbColor rgb="FF333300"/>
      <rgbColor rgb="FF993300"/>
      <rgbColor rgb="FF993366"/>
      <rgbColor rgb="FF333399"/>
      <rgbColor rgb="FF37415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Ahorro mensual vs Objetivo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Panel!$F$13</c:f>
              <c:strCache>
                <c:ptCount val="1"/>
                <c:pt idx="0">
                  <c:v>Ahorro mes</c:v>
                </c:pt>
              </c:strCache>
            </c:strRef>
          </c:tx>
          <c:spPr>
            <a:solidFill>
              <a:srgbClr val="4672A8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Panel!$B$14:$B$25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Panel!$F$14:$F$25</c:f>
              <c:numCache>
                <c:formatCode>General</c:formatCode>
                <c:ptCount val="12"/>
                <c:pt idx="0">
                  <c:v>1009.1200000000001</c:v>
                </c:pt>
                <c:pt idx="1">
                  <c:v>1021.68</c:v>
                </c:pt>
                <c:pt idx="2">
                  <c:v>836.33</c:v>
                </c:pt>
                <c:pt idx="3">
                  <c:v>861.27999999999975</c:v>
                </c:pt>
                <c:pt idx="4">
                  <c:v>1116.8800000000001</c:v>
                </c:pt>
                <c:pt idx="5">
                  <c:v>1635.5300000000002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67-4EC2-A531-69282D737B4E}"/>
            </c:ext>
          </c:extLst>
        </c:ser>
        <c:ser>
          <c:idx val="1"/>
          <c:order val="1"/>
          <c:tx>
            <c:strRef>
              <c:f>Panel!$H$13</c:f>
              <c:strCache>
                <c:ptCount val="1"/>
                <c:pt idx="0">
                  <c:v>Objetivo</c:v>
                </c:pt>
              </c:strCache>
            </c:strRef>
          </c:tx>
          <c:spPr>
            <a:solidFill>
              <a:srgbClr val="93A9CE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Panel!$B$14:$B$25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Panel!$H$14:$H$25</c:f>
              <c:numCache>
                <c:formatCode>General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67-4EC2-A531-69282D737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66809"/>
        <c:axId val="77454512"/>
      </c:barChart>
      <c:catAx>
        <c:axId val="4856680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77454512"/>
        <c:crosses val="autoZero"/>
        <c:auto val="1"/>
        <c:lblAlgn val="ctr"/>
        <c:lblOffset val="100"/>
        <c:noMultiLvlLbl val="0"/>
      </c:catAx>
      <c:valAx>
        <c:axId val="7745451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Euros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48566809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Reparto de gastos por categoría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Panel!$C$29</c:f>
              <c:strCache>
                <c:ptCount val="1"/>
                <c:pt idx="0">
                  <c:v>Gasto</c:v>
                </c:pt>
              </c:strCache>
            </c:strRef>
          </c:tx>
          <c:spPr>
            <a:solidFill>
              <a:srgbClr val="4F81BD"/>
            </a:solidFill>
            <a:ln w="0"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rgbClr val="4672A8"/>
              </a:solidFill>
              <a:ln w="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2C2-4340-B835-246A8D02852C}"/>
              </c:ext>
            </c:extLst>
          </c:dPt>
          <c:dPt>
            <c:idx val="1"/>
            <c:bubble3D val="0"/>
            <c:spPr>
              <a:solidFill>
                <a:srgbClr val="AB4744"/>
              </a:solidFill>
              <a:ln w="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2C2-4340-B835-246A8D02852C}"/>
              </c:ext>
            </c:extLst>
          </c:dPt>
          <c:dPt>
            <c:idx val="2"/>
            <c:bubble3D val="0"/>
            <c:spPr>
              <a:solidFill>
                <a:srgbClr val="8AA64F"/>
              </a:solidFill>
              <a:ln w="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E2C2-4340-B835-246A8D02852C}"/>
              </c:ext>
            </c:extLst>
          </c:dPt>
          <c:dPt>
            <c:idx val="3"/>
            <c:bubble3D val="0"/>
            <c:spPr>
              <a:solidFill>
                <a:srgbClr val="725990"/>
              </a:solidFill>
              <a:ln w="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E2C2-4340-B835-246A8D02852C}"/>
              </c:ext>
            </c:extLst>
          </c:dPt>
          <c:dPt>
            <c:idx val="4"/>
            <c:bubble3D val="0"/>
            <c:spPr>
              <a:solidFill>
                <a:srgbClr val="4299B0"/>
              </a:solidFill>
              <a:ln w="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E2C2-4340-B835-246A8D02852C}"/>
              </c:ext>
            </c:extLst>
          </c:dPt>
          <c:dPt>
            <c:idx val="5"/>
            <c:bubble3D val="0"/>
            <c:spPr>
              <a:solidFill>
                <a:srgbClr val="DC853E"/>
              </a:solidFill>
              <a:ln w="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E2C2-4340-B835-246A8D02852C}"/>
              </c:ext>
            </c:extLst>
          </c:dPt>
          <c:dPt>
            <c:idx val="6"/>
            <c:bubble3D val="0"/>
            <c:spPr>
              <a:solidFill>
                <a:srgbClr val="93A9CE"/>
              </a:solidFill>
              <a:ln w="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E2C2-4340-B835-246A8D02852C}"/>
              </c:ext>
            </c:extLst>
          </c:dPt>
          <c:dPt>
            <c:idx val="7"/>
            <c:bubble3D val="0"/>
            <c:spPr>
              <a:solidFill>
                <a:srgbClr val="D09493"/>
              </a:solidFill>
              <a:ln w="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E2C2-4340-B835-246A8D02852C}"/>
              </c:ext>
            </c:extLst>
          </c:dPt>
          <c:dPt>
            <c:idx val="8"/>
            <c:bubble3D val="0"/>
            <c:spPr>
              <a:solidFill>
                <a:srgbClr val="B8CD97"/>
              </a:solidFill>
              <a:ln w="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E2C2-4340-B835-246A8D02852C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E2C2-4340-B835-246A8D02852C}"/>
              </c:ext>
            </c:extLst>
          </c:dPt>
          <c:dPt>
            <c:idx val="10"/>
            <c:bubble3D val="0"/>
            <c:spPr>
              <a:solidFill>
                <a:srgbClr val="92C3D5"/>
              </a:solidFill>
              <a:ln w="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E2C2-4340-B835-246A8D02852C}"/>
              </c:ext>
            </c:extLst>
          </c:dPt>
          <c:cat>
            <c:strRef>
              <c:f>Panel!$B$30:$B$40</c:f>
              <c:strCache>
                <c:ptCount val="11"/>
                <c:pt idx="0">
                  <c:v>Vivienda</c:v>
                </c:pt>
                <c:pt idx="1">
                  <c:v>Suministros</c:v>
                </c:pt>
                <c:pt idx="2">
                  <c:v>Alimentación</c:v>
                </c:pt>
                <c:pt idx="3">
                  <c:v>Transporte</c:v>
                </c:pt>
                <c:pt idx="4">
                  <c:v>Salud</c:v>
                </c:pt>
                <c:pt idx="5">
                  <c:v>Ocio</c:v>
                </c:pt>
                <c:pt idx="6">
                  <c:v>Ropa</c:v>
                </c:pt>
                <c:pt idx="7">
                  <c:v>Suscripciones</c:v>
                </c:pt>
                <c:pt idx="8">
                  <c:v>Formación</c:v>
                </c:pt>
                <c:pt idx="9">
                  <c:v>Hogar</c:v>
                </c:pt>
                <c:pt idx="10">
                  <c:v>Regalos</c:v>
                </c:pt>
              </c:strCache>
            </c:strRef>
          </c:cat>
          <c:val>
            <c:numRef>
              <c:f>Panel!$C$30:$C$40</c:f>
              <c:numCache>
                <c:formatCode>General</c:formatCode>
                <c:ptCount val="11"/>
                <c:pt idx="0">
                  <c:v>3900</c:v>
                </c:pt>
                <c:pt idx="1">
                  <c:v>700.04000000000008</c:v>
                </c:pt>
                <c:pt idx="2">
                  <c:v>1179.1999999999998</c:v>
                </c:pt>
                <c:pt idx="3">
                  <c:v>484.5</c:v>
                </c:pt>
                <c:pt idx="4">
                  <c:v>419.4</c:v>
                </c:pt>
                <c:pt idx="5">
                  <c:v>387.5</c:v>
                </c:pt>
                <c:pt idx="6">
                  <c:v>149.35000000000002</c:v>
                </c:pt>
                <c:pt idx="7">
                  <c:v>127.88999999999997</c:v>
                </c:pt>
                <c:pt idx="8">
                  <c:v>149</c:v>
                </c:pt>
                <c:pt idx="9">
                  <c:v>62.3</c:v>
                </c:pt>
                <c:pt idx="10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2C2-4340-B835-246A8D028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8</xdr:col>
      <xdr:colOff>128535</xdr:colOff>
      <xdr:row>59</xdr:row>
      <xdr:rowOff>1080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9525</xdr:colOff>
      <xdr:row>42</xdr:row>
      <xdr:rowOff>9525</xdr:rowOff>
    </xdr:from>
    <xdr:to>
      <xdr:col>15</xdr:col>
      <xdr:colOff>143850</xdr:colOff>
      <xdr:row>59</xdr:row>
      <xdr:rowOff>10605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1"/>
  <sheetViews>
    <sheetView showGridLines="0" tabSelected="1" zoomScaleNormal="100" workbookViewId="0">
      <selection activeCell="Q21" sqref="Q21"/>
    </sheetView>
  </sheetViews>
  <sheetFormatPr baseColWidth="10" defaultColWidth="8.7109375" defaultRowHeight="15" x14ac:dyDescent="0.25"/>
  <cols>
    <col min="1" max="1" width="0.42578125" customWidth="1"/>
    <col min="2" max="2" width="22" customWidth="1"/>
    <col min="3" max="3" width="11.5703125" bestFit="1" customWidth="1"/>
    <col min="4" max="4" width="10.5703125" bestFit="1" customWidth="1"/>
    <col min="5" max="5" width="10.42578125" customWidth="1"/>
    <col min="6" max="6" width="12.140625" bestFit="1" customWidth="1"/>
    <col min="7" max="7" width="9.5703125" customWidth="1"/>
    <col min="8" max="8" width="9" customWidth="1"/>
    <col min="9" max="9" width="10.7109375" customWidth="1"/>
    <col min="10" max="10" width="12" customWidth="1"/>
    <col min="11" max="11" width="2" customWidth="1"/>
  </cols>
  <sheetData>
    <row r="1" spans="2:10" ht="5.25" customHeight="1" x14ac:dyDescent="0.25"/>
    <row r="2" spans="2:10" ht="37.5" customHeight="1" x14ac:dyDescent="0.25">
      <c r="B2" s="6" t="s">
        <v>0</v>
      </c>
      <c r="C2" s="6"/>
      <c r="D2" s="6"/>
      <c r="E2" s="6"/>
      <c r="F2" s="6"/>
      <c r="G2" s="6"/>
      <c r="H2" s="6"/>
      <c r="I2" s="6"/>
      <c r="J2" s="6"/>
    </row>
    <row r="3" spans="2:10" ht="19.5" customHeight="1" x14ac:dyDescent="0.25">
      <c r="B3" s="5" t="s">
        <v>1</v>
      </c>
      <c r="C3" s="5"/>
      <c r="D3" s="5"/>
      <c r="E3" s="5"/>
      <c r="F3" s="5"/>
      <c r="G3" s="5"/>
      <c r="H3" s="5"/>
      <c r="I3" s="5"/>
      <c r="J3" s="5"/>
    </row>
    <row r="5" spans="2:10" ht="15" customHeight="1" x14ac:dyDescent="0.25">
      <c r="B5" s="4" t="s">
        <v>2</v>
      </c>
      <c r="C5" s="4"/>
      <c r="D5" s="4"/>
      <c r="E5" s="4"/>
      <c r="F5" s="4" t="s">
        <v>3</v>
      </c>
      <c r="G5" s="4"/>
      <c r="H5" s="4"/>
      <c r="I5" s="4"/>
      <c r="J5" s="4"/>
    </row>
    <row r="6" spans="2:10" ht="21.75" customHeight="1" x14ac:dyDescent="0.25">
      <c r="B6" s="54" t="s">
        <v>4</v>
      </c>
      <c r="C6" s="43" t="s">
        <v>5</v>
      </c>
      <c r="D6" s="44"/>
      <c r="F6" s="52" t="s">
        <v>142</v>
      </c>
      <c r="G6" s="52" t="s">
        <v>6</v>
      </c>
      <c r="H6" s="52" t="s">
        <v>7</v>
      </c>
      <c r="I6" s="52" t="s">
        <v>8</v>
      </c>
      <c r="J6" s="52" t="s">
        <v>9</v>
      </c>
    </row>
    <row r="7" spans="2:10" ht="31.5" customHeight="1" x14ac:dyDescent="0.25">
      <c r="B7" s="54" t="s">
        <v>10</v>
      </c>
      <c r="C7" s="45">
        <v>2026</v>
      </c>
      <c r="D7" s="46"/>
      <c r="F7" s="49">
        <f>SUMIFS(Movimientos!F:F,Movimientos!C:C,"Ingreso")-SUMIFS(Movimientos!F:F,Movimientos!C:C,"Gasto fijo")-SUMIFS(Movimientos!F:F,Movimientos!C:C,"Gasto variable")</f>
        <v>6480.8200000000033</v>
      </c>
      <c r="G7" s="50">
        <f>IFERROR(F7/C8,0)</f>
        <v>1.0801366666666672</v>
      </c>
      <c r="H7" s="50">
        <f>IFERROR(F7/SUMIFS(Movimientos!F:F,Movimientos!C:C,"Ingreso"),0)</f>
        <v>0.46012211572594985</v>
      </c>
      <c r="I7" s="49">
        <f>SUMIFS(Movimientos!F:F,Movimientos!C:C,"Aportación meta")</f>
        <v>3000</v>
      </c>
      <c r="J7" s="49">
        <f>F7-I7</f>
        <v>3480.8200000000033</v>
      </c>
    </row>
    <row r="8" spans="2:10" ht="15" customHeight="1" x14ac:dyDescent="0.25">
      <c r="B8" s="54" t="s">
        <v>11</v>
      </c>
      <c r="C8" s="47">
        <v>6000</v>
      </c>
      <c r="D8" s="48"/>
    </row>
    <row r="9" spans="2:10" ht="15" customHeight="1" x14ac:dyDescent="0.25">
      <c r="B9" s="54" t="s">
        <v>12</v>
      </c>
      <c r="C9" s="41">
        <f>C8/12</f>
        <v>500</v>
      </c>
      <c r="D9" s="42"/>
    </row>
    <row r="10" spans="2:10" ht="15" customHeight="1" x14ac:dyDescent="0.25">
      <c r="B10" s="3" t="s">
        <v>13</v>
      </c>
      <c r="C10" s="3"/>
      <c r="D10" s="3"/>
      <c r="E10" s="3"/>
    </row>
    <row r="12" spans="2:10" ht="15" customHeight="1" x14ac:dyDescent="0.25">
      <c r="B12" s="4" t="s">
        <v>14</v>
      </c>
      <c r="C12" s="4"/>
      <c r="D12" s="4"/>
      <c r="E12" s="4"/>
      <c r="F12" s="4"/>
      <c r="G12" s="4"/>
      <c r="H12" s="4"/>
      <c r="I12" s="4"/>
      <c r="J12" s="4"/>
    </row>
    <row r="13" spans="2:10" ht="25.5" customHeight="1" x14ac:dyDescent="0.25">
      <c r="B13" s="7" t="s">
        <v>15</v>
      </c>
      <c r="C13" s="7" t="s">
        <v>16</v>
      </c>
      <c r="D13" s="7" t="s">
        <v>17</v>
      </c>
      <c r="E13" s="31" t="s">
        <v>141</v>
      </c>
      <c r="F13" s="7" t="s">
        <v>18</v>
      </c>
      <c r="G13" s="7" t="s">
        <v>19</v>
      </c>
      <c r="H13" s="7" t="s">
        <v>20</v>
      </c>
      <c r="I13" s="7" t="s">
        <v>21</v>
      </c>
      <c r="J13" s="7" t="s">
        <v>22</v>
      </c>
    </row>
    <row r="14" spans="2:10" ht="15" customHeight="1" x14ac:dyDescent="0.25">
      <c r="B14" s="8" t="s">
        <v>23</v>
      </c>
      <c r="C14" s="9">
        <f>SUMIFS(Movimientos!F:F,Movimientos!C:C,"Ingreso",Movimientos!B:B,1)</f>
        <v>2180</v>
      </c>
      <c r="D14" s="9">
        <f>SUMIFS(Movimientos!F:F,Movimientos!C:C,"Gasto fijo",Movimientos!B:B,1)</f>
        <v>884.68</v>
      </c>
      <c r="E14" s="9">
        <f>SUMIFS(Movimientos!F:F,Movimientos!C:C,"Gasto variable",Movimientos!B:B,1)</f>
        <v>286.2</v>
      </c>
      <c r="F14" s="9">
        <f t="shared" ref="F14:F25" si="0">C14-D14-E14</f>
        <v>1009.1200000000001</v>
      </c>
      <c r="G14" s="10">
        <f t="shared" ref="G14:G26" si="1">IFERROR(F14/C14,0)</f>
        <v>0.46289908256880741</v>
      </c>
      <c r="H14" s="9">
        <f t="shared" ref="H14:H25" si="2">$C$9</f>
        <v>500</v>
      </c>
      <c r="I14" s="53" t="str">
        <f t="shared" ref="I14:I25" si="3">IF(C14=0,"—",IF(F14&gt;=H14,"✓ Cumple",IF(F14&gt;=H14*0.8,"⚠ Cerca","✗ Falta")))</f>
        <v>✓ Cumple</v>
      </c>
      <c r="J14" s="9">
        <f>F14</f>
        <v>1009.1200000000001</v>
      </c>
    </row>
    <row r="15" spans="2:10" ht="15" customHeight="1" x14ac:dyDescent="0.25">
      <c r="B15" s="8" t="s">
        <v>24</v>
      </c>
      <c r="C15" s="9">
        <f>SUMIFS(Movimientos!F:F,Movimientos!C:C,"Ingreso",Movimientos!B:B,2)</f>
        <v>2260</v>
      </c>
      <c r="D15" s="9">
        <f>SUMIFS(Movimientos!F:F,Movimientos!C:C,"Gasto fijo",Movimientos!B:B,2)</f>
        <v>874.67000000000007</v>
      </c>
      <c r="E15" s="9">
        <f>SUMIFS(Movimientos!F:F,Movimientos!C:C,"Gasto variable",Movimientos!B:B,2)</f>
        <v>363.65</v>
      </c>
      <c r="F15" s="9">
        <f t="shared" si="0"/>
        <v>1021.68</v>
      </c>
      <c r="G15" s="10">
        <f t="shared" si="1"/>
        <v>0.45207079646017695</v>
      </c>
      <c r="H15" s="9">
        <f t="shared" si="2"/>
        <v>500</v>
      </c>
      <c r="I15" s="53" t="str">
        <f t="shared" si="3"/>
        <v>✓ Cumple</v>
      </c>
      <c r="J15" s="9">
        <f t="shared" ref="J15:J25" si="4">J14+F15</f>
        <v>2030.8000000000002</v>
      </c>
    </row>
    <row r="16" spans="2:10" ht="15" customHeight="1" x14ac:dyDescent="0.25">
      <c r="B16" s="8" t="s">
        <v>25</v>
      </c>
      <c r="C16" s="9">
        <f>SUMIFS(Movimientos!F:F,Movimientos!C:C,"Ingreso",Movimientos!B:B,3)</f>
        <v>2180</v>
      </c>
      <c r="D16" s="9">
        <f>SUMIFS(Movimientos!F:F,Movimientos!C:C,"Gasto fijo",Movimientos!B:B,3)</f>
        <v>887.77</v>
      </c>
      <c r="E16" s="9">
        <f>SUMIFS(Movimientos!F:F,Movimientos!C:C,"Gasto variable",Movimientos!B:B,3)</f>
        <v>455.9</v>
      </c>
      <c r="F16" s="9">
        <f t="shared" si="0"/>
        <v>836.33</v>
      </c>
      <c r="G16" s="10">
        <f t="shared" si="1"/>
        <v>0.38363761467889912</v>
      </c>
      <c r="H16" s="9">
        <f t="shared" si="2"/>
        <v>500</v>
      </c>
      <c r="I16" s="53" t="str">
        <f t="shared" si="3"/>
        <v>✓ Cumple</v>
      </c>
      <c r="J16" s="9">
        <f t="shared" si="4"/>
        <v>2867.13</v>
      </c>
    </row>
    <row r="17" spans="2:10" ht="15" customHeight="1" x14ac:dyDescent="0.25">
      <c r="B17" s="8" t="s">
        <v>26</v>
      </c>
      <c r="C17" s="9">
        <f>SUMIFS(Movimientos!F:F,Movimientos!C:C,"Ingreso",Movimientos!B:B,4)</f>
        <v>2180</v>
      </c>
      <c r="D17" s="9">
        <f>SUMIFS(Movimientos!F:F,Movimientos!C:C,"Gasto fijo",Movimientos!B:B,4)</f>
        <v>857.57</v>
      </c>
      <c r="E17" s="9">
        <f>SUMIFS(Movimientos!F:F,Movimientos!C:C,"Gasto variable",Movimientos!B:B,4)</f>
        <v>461.15000000000003</v>
      </c>
      <c r="F17" s="9">
        <f t="shared" si="0"/>
        <v>861.27999999999975</v>
      </c>
      <c r="G17" s="10">
        <f t="shared" si="1"/>
        <v>0.39508256880733933</v>
      </c>
      <c r="H17" s="9">
        <f t="shared" si="2"/>
        <v>500</v>
      </c>
      <c r="I17" s="53" t="str">
        <f t="shared" si="3"/>
        <v>✓ Cumple</v>
      </c>
      <c r="J17" s="9">
        <f t="shared" si="4"/>
        <v>3728.41</v>
      </c>
    </row>
    <row r="18" spans="2:10" ht="15" customHeight="1" x14ac:dyDescent="0.25">
      <c r="B18" s="8" t="s">
        <v>27</v>
      </c>
      <c r="C18" s="9">
        <f>SUMIFS(Movimientos!F:F,Movimientos!C:C,"Ingreso",Movimientos!B:B,5)</f>
        <v>2365</v>
      </c>
      <c r="D18" s="9">
        <f>SUMIFS(Movimientos!F:F,Movimientos!C:C,"Gasto fijo",Movimientos!B:B,5)</f>
        <v>877.87</v>
      </c>
      <c r="E18" s="9">
        <f>SUMIFS(Movimientos!F:F,Movimientos!C:C,"Gasto variable",Movimientos!B:B,5)</f>
        <v>370.25</v>
      </c>
      <c r="F18" s="9">
        <f t="shared" si="0"/>
        <v>1116.8800000000001</v>
      </c>
      <c r="G18" s="10">
        <f t="shared" si="1"/>
        <v>0.47225369978858356</v>
      </c>
      <c r="H18" s="9">
        <f t="shared" si="2"/>
        <v>500</v>
      </c>
      <c r="I18" s="53" t="str">
        <f t="shared" si="3"/>
        <v>✓ Cumple</v>
      </c>
      <c r="J18" s="9">
        <f t="shared" si="4"/>
        <v>4845.29</v>
      </c>
    </row>
    <row r="19" spans="2:10" ht="15" customHeight="1" x14ac:dyDescent="0.25">
      <c r="B19" s="8" t="s">
        <v>28</v>
      </c>
      <c r="C19" s="9">
        <f>SUMIFS(Movimientos!F:F,Movimientos!C:C,"Ingreso",Movimientos!B:B,6)</f>
        <v>2920</v>
      </c>
      <c r="D19" s="9">
        <f>SUMIFS(Movimientos!F:F,Movimientos!C:C,"Gasto fijo",Movimientos!B:B,6)</f>
        <v>852.37</v>
      </c>
      <c r="E19" s="9">
        <f>SUMIFS(Movimientos!F:F,Movimientos!C:C,"Gasto variable",Movimientos!B:B,6)</f>
        <v>432.1</v>
      </c>
      <c r="F19" s="9">
        <f t="shared" si="0"/>
        <v>1635.5300000000002</v>
      </c>
      <c r="G19" s="10">
        <f t="shared" si="1"/>
        <v>0.5601130136986302</v>
      </c>
      <c r="H19" s="9">
        <f t="shared" si="2"/>
        <v>500</v>
      </c>
      <c r="I19" s="53" t="str">
        <f t="shared" si="3"/>
        <v>✓ Cumple</v>
      </c>
      <c r="J19" s="9">
        <f t="shared" si="4"/>
        <v>6480.82</v>
      </c>
    </row>
    <row r="20" spans="2:10" ht="15" customHeight="1" x14ac:dyDescent="0.25">
      <c r="B20" s="8" t="s">
        <v>29</v>
      </c>
      <c r="C20" s="9">
        <f>SUMIFS(Movimientos!F:F,Movimientos!C:C,"Ingreso",Movimientos!B:B,7)</f>
        <v>0</v>
      </c>
      <c r="D20" s="9">
        <f>SUMIFS(Movimientos!F:F,Movimientos!C:C,"Gasto fijo",Movimientos!B:B,7)</f>
        <v>0</v>
      </c>
      <c r="E20" s="9">
        <f>SUMIFS(Movimientos!F:F,Movimientos!C:C,"Gasto variable",Movimientos!B:B,7)</f>
        <v>0</v>
      </c>
      <c r="F20" s="9">
        <f t="shared" si="0"/>
        <v>0</v>
      </c>
      <c r="G20" s="10">
        <f t="shared" si="1"/>
        <v>0</v>
      </c>
      <c r="H20" s="9">
        <f t="shared" si="2"/>
        <v>500</v>
      </c>
      <c r="I20" s="11" t="str">
        <f t="shared" si="3"/>
        <v>—</v>
      </c>
      <c r="J20" s="9">
        <f t="shared" si="4"/>
        <v>6480.82</v>
      </c>
    </row>
    <row r="21" spans="2:10" ht="15" customHeight="1" x14ac:dyDescent="0.25">
      <c r="B21" s="8" t="s">
        <v>30</v>
      </c>
      <c r="C21" s="9">
        <f>SUMIFS(Movimientos!F:F,Movimientos!C:C,"Ingreso",Movimientos!B:B,8)</f>
        <v>0</v>
      </c>
      <c r="D21" s="9">
        <f>SUMIFS(Movimientos!F:F,Movimientos!C:C,"Gasto fijo",Movimientos!B:B,8)</f>
        <v>0</v>
      </c>
      <c r="E21" s="9">
        <f>SUMIFS(Movimientos!F:F,Movimientos!C:C,"Gasto variable",Movimientos!B:B,8)</f>
        <v>0</v>
      </c>
      <c r="F21" s="9">
        <f t="shared" si="0"/>
        <v>0</v>
      </c>
      <c r="G21" s="10">
        <f t="shared" si="1"/>
        <v>0</v>
      </c>
      <c r="H21" s="9">
        <f t="shared" si="2"/>
        <v>500</v>
      </c>
      <c r="I21" s="11" t="str">
        <f t="shared" si="3"/>
        <v>—</v>
      </c>
      <c r="J21" s="9">
        <f t="shared" si="4"/>
        <v>6480.82</v>
      </c>
    </row>
    <row r="22" spans="2:10" ht="15" customHeight="1" x14ac:dyDescent="0.25">
      <c r="B22" s="8" t="s">
        <v>31</v>
      </c>
      <c r="C22" s="9">
        <f>SUMIFS(Movimientos!F:F,Movimientos!C:C,"Ingreso",Movimientos!B:B,9)</f>
        <v>0</v>
      </c>
      <c r="D22" s="9">
        <f>SUMIFS(Movimientos!F:F,Movimientos!C:C,"Gasto fijo",Movimientos!B:B,9)</f>
        <v>0</v>
      </c>
      <c r="E22" s="9">
        <f>SUMIFS(Movimientos!F:F,Movimientos!C:C,"Gasto variable",Movimientos!B:B,9)</f>
        <v>0</v>
      </c>
      <c r="F22" s="9">
        <f t="shared" si="0"/>
        <v>0</v>
      </c>
      <c r="G22" s="10">
        <f t="shared" si="1"/>
        <v>0</v>
      </c>
      <c r="H22" s="9">
        <f t="shared" si="2"/>
        <v>500</v>
      </c>
      <c r="I22" s="11" t="str">
        <f t="shared" si="3"/>
        <v>—</v>
      </c>
      <c r="J22" s="9">
        <f t="shared" si="4"/>
        <v>6480.82</v>
      </c>
    </row>
    <row r="23" spans="2:10" ht="15" customHeight="1" x14ac:dyDescent="0.25">
      <c r="B23" s="8" t="s">
        <v>32</v>
      </c>
      <c r="C23" s="9">
        <f>SUMIFS(Movimientos!F:F,Movimientos!C:C,"Ingreso",Movimientos!B:B,10)</f>
        <v>0</v>
      </c>
      <c r="D23" s="9">
        <f>SUMIFS(Movimientos!F:F,Movimientos!C:C,"Gasto fijo",Movimientos!B:B,10)</f>
        <v>0</v>
      </c>
      <c r="E23" s="9">
        <f>SUMIFS(Movimientos!F:F,Movimientos!C:C,"Gasto variable",Movimientos!B:B,10)</f>
        <v>0</v>
      </c>
      <c r="F23" s="9">
        <f t="shared" si="0"/>
        <v>0</v>
      </c>
      <c r="G23" s="10">
        <f t="shared" si="1"/>
        <v>0</v>
      </c>
      <c r="H23" s="9">
        <f t="shared" si="2"/>
        <v>500</v>
      </c>
      <c r="I23" s="11" t="str">
        <f t="shared" si="3"/>
        <v>—</v>
      </c>
      <c r="J23" s="9">
        <f t="shared" si="4"/>
        <v>6480.82</v>
      </c>
    </row>
    <row r="24" spans="2:10" ht="15" customHeight="1" x14ac:dyDescent="0.25">
      <c r="B24" s="8" t="s">
        <v>33</v>
      </c>
      <c r="C24" s="9">
        <f>SUMIFS(Movimientos!F:F,Movimientos!C:C,"Ingreso",Movimientos!B:B,11)</f>
        <v>0</v>
      </c>
      <c r="D24" s="9">
        <f>SUMIFS(Movimientos!F:F,Movimientos!C:C,"Gasto fijo",Movimientos!B:B,11)</f>
        <v>0</v>
      </c>
      <c r="E24" s="9">
        <f>SUMIFS(Movimientos!F:F,Movimientos!C:C,"Gasto variable",Movimientos!B:B,11)</f>
        <v>0</v>
      </c>
      <c r="F24" s="9">
        <f t="shared" si="0"/>
        <v>0</v>
      </c>
      <c r="G24" s="10">
        <f t="shared" si="1"/>
        <v>0</v>
      </c>
      <c r="H24" s="9">
        <f t="shared" si="2"/>
        <v>500</v>
      </c>
      <c r="I24" s="11" t="str">
        <f t="shared" si="3"/>
        <v>—</v>
      </c>
      <c r="J24" s="9">
        <f t="shared" si="4"/>
        <v>6480.82</v>
      </c>
    </row>
    <row r="25" spans="2:10" ht="15" customHeight="1" x14ac:dyDescent="0.25">
      <c r="B25" s="8" t="s">
        <v>34</v>
      </c>
      <c r="C25" s="9">
        <f>SUMIFS(Movimientos!F:F,Movimientos!C:C,"Ingreso",Movimientos!B:B,12)</f>
        <v>0</v>
      </c>
      <c r="D25" s="9">
        <f>SUMIFS(Movimientos!F:F,Movimientos!C:C,"Gasto fijo",Movimientos!B:B,12)</f>
        <v>0</v>
      </c>
      <c r="E25" s="9">
        <f>SUMIFS(Movimientos!F:F,Movimientos!C:C,"Gasto variable",Movimientos!B:B,12)</f>
        <v>0</v>
      </c>
      <c r="F25" s="9">
        <f t="shared" si="0"/>
        <v>0</v>
      </c>
      <c r="G25" s="10">
        <f t="shared" si="1"/>
        <v>0</v>
      </c>
      <c r="H25" s="9">
        <f t="shared" si="2"/>
        <v>500</v>
      </c>
      <c r="I25" s="11" t="str">
        <f t="shared" si="3"/>
        <v>—</v>
      </c>
      <c r="J25" s="9">
        <f t="shared" si="4"/>
        <v>6480.82</v>
      </c>
    </row>
    <row r="26" spans="2:10" ht="15" customHeight="1" x14ac:dyDescent="0.25">
      <c r="B26" s="12" t="s">
        <v>35</v>
      </c>
      <c r="C26" s="13">
        <f>SUM(C14:C25)</f>
        <v>14085</v>
      </c>
      <c r="D26" s="13">
        <f>SUM(D14:D25)</f>
        <v>5234.93</v>
      </c>
      <c r="E26" s="13">
        <f>SUM(E14:E25)</f>
        <v>2369.25</v>
      </c>
      <c r="F26" s="13">
        <f>SUM(F14:F25)</f>
        <v>6480.82</v>
      </c>
      <c r="G26" s="14">
        <f t="shared" si="1"/>
        <v>0.46012211572594958</v>
      </c>
      <c r="H26" s="13">
        <f>C8</f>
        <v>6000</v>
      </c>
      <c r="I26" s="15"/>
      <c r="J26" s="13">
        <f>F26</f>
        <v>6480.82</v>
      </c>
    </row>
    <row r="28" spans="2:10" ht="15" customHeight="1" x14ac:dyDescent="0.25">
      <c r="B28" s="4" t="s">
        <v>36</v>
      </c>
      <c r="C28" s="4"/>
      <c r="D28" s="4"/>
      <c r="E28" s="4"/>
      <c r="G28" s="4" t="s">
        <v>37</v>
      </c>
      <c r="H28" s="4"/>
      <c r="I28" s="4"/>
      <c r="J28" s="4"/>
    </row>
    <row r="29" spans="2:10" ht="19.5" customHeight="1" x14ac:dyDescent="0.25">
      <c r="B29" s="7" t="s">
        <v>38</v>
      </c>
      <c r="C29" s="7" t="s">
        <v>39</v>
      </c>
      <c r="D29" s="7" t="s">
        <v>40</v>
      </c>
      <c r="E29" s="7" t="s">
        <v>41</v>
      </c>
      <c r="G29" s="51" t="s">
        <v>42</v>
      </c>
      <c r="H29" s="51"/>
      <c r="I29" s="51"/>
      <c r="J29" s="51"/>
    </row>
    <row r="30" spans="2:10" ht="19.5" customHeight="1" x14ac:dyDescent="0.25">
      <c r="B30" s="16" t="s">
        <v>43</v>
      </c>
      <c r="C30" s="9">
        <f>SUMIFS(Movimientos!F:F,Movimientos!D:D,"Vivienda",Movimientos!C:C,"Gasto fijo")+SUMIFS(Movimientos!F:F,Movimientos!D:D,"Vivienda",Movimientos!C:C,"Gasto variable")</f>
        <v>3900</v>
      </c>
      <c r="D30" s="10">
        <f t="shared" ref="D30:D40" si="5">IFERROR(C30/SUM($C$30:$C$40),0)</f>
        <v>0.51287581303967023</v>
      </c>
      <c r="E30" s="17" t="str">
        <f t="shared" ref="E30:E40" si="6">REPT("█",ROUND(D30*30,0))</f>
        <v>███████████████</v>
      </c>
      <c r="G30" s="51" t="s">
        <v>44</v>
      </c>
      <c r="H30" s="51"/>
      <c r="I30" s="51"/>
      <c r="J30" s="51"/>
    </row>
    <row r="31" spans="2:10" ht="19.5" customHeight="1" x14ac:dyDescent="0.25">
      <c r="B31" s="16" t="s">
        <v>45</v>
      </c>
      <c r="C31" s="9">
        <f>SUMIFS(Movimientos!F:F,Movimientos!D:D,"Suministros",Movimientos!C:C,"Gasto fijo")+SUMIFS(Movimientos!F:F,Movimientos!D:D,"Suministros",Movimientos!C:C,"Gasto variable")</f>
        <v>700.04000000000008</v>
      </c>
      <c r="D31" s="10">
        <f t="shared" si="5"/>
        <v>9.2059893374433543E-2</v>
      </c>
      <c r="E31" s="17" t="str">
        <f t="shared" si="6"/>
        <v>███</v>
      </c>
      <c r="G31" s="51" t="s">
        <v>46</v>
      </c>
      <c r="H31" s="51"/>
      <c r="I31" s="51"/>
      <c r="J31" s="51"/>
    </row>
    <row r="32" spans="2:10" ht="19.5" customHeight="1" x14ac:dyDescent="0.25">
      <c r="B32" s="16" t="s">
        <v>47</v>
      </c>
      <c r="C32" s="9">
        <f>SUMIFS(Movimientos!F:F,Movimientos!D:D,"Alimentación",Movimientos!C:C,"Gasto fijo")+SUMIFS(Movimientos!F:F,Movimientos!D:D,"Alimentación",Movimientos!C:C,"Gasto variable")</f>
        <v>1179.1999999999998</v>
      </c>
      <c r="D32" s="10">
        <f t="shared" si="5"/>
        <v>0.15507260480419977</v>
      </c>
      <c r="E32" s="17" t="str">
        <f t="shared" si="6"/>
        <v>█████</v>
      </c>
      <c r="G32" s="51" t="s">
        <v>48</v>
      </c>
      <c r="H32" s="51"/>
      <c r="I32" s="51"/>
      <c r="J32" s="51"/>
    </row>
    <row r="33" spans="2:10" ht="19.5" customHeight="1" x14ac:dyDescent="0.25">
      <c r="B33" s="16" t="s">
        <v>49</v>
      </c>
      <c r="C33" s="9">
        <f>SUMIFS(Movimientos!F:F,Movimientos!D:D,"Transporte",Movimientos!C:C,"Gasto fijo")+SUMIFS(Movimientos!F:F,Movimientos!D:D,"Transporte",Movimientos!C:C,"Gasto variable")</f>
        <v>484.5</v>
      </c>
      <c r="D33" s="10">
        <f t="shared" si="5"/>
        <v>6.3714956773774423E-2</v>
      </c>
      <c r="E33" s="17" t="str">
        <f t="shared" si="6"/>
        <v>██</v>
      </c>
      <c r="G33" s="51" t="s">
        <v>50</v>
      </c>
      <c r="H33" s="51"/>
      <c r="I33" s="51"/>
      <c r="J33" s="51"/>
    </row>
    <row r="34" spans="2:10" ht="15" customHeight="1" x14ac:dyDescent="0.25">
      <c r="B34" s="16" t="s">
        <v>51</v>
      </c>
      <c r="C34" s="9">
        <f>SUMIFS(Movimientos!F:F,Movimientos!D:D,"Salud",Movimientos!C:C,"Gasto fijo")+SUMIFS(Movimientos!F:F,Movimientos!D:D,"Salud",Movimientos!C:C,"Gasto variable")</f>
        <v>419.4</v>
      </c>
      <c r="D34" s="10">
        <f t="shared" si="5"/>
        <v>5.5153875894573767E-2</v>
      </c>
      <c r="E34" s="17" t="str">
        <f t="shared" si="6"/>
        <v>██</v>
      </c>
    </row>
    <row r="35" spans="2:10" ht="15" customHeight="1" x14ac:dyDescent="0.25">
      <c r="B35" s="16" t="s">
        <v>52</v>
      </c>
      <c r="C35" s="9">
        <f>SUMIFS(Movimientos!F:F,Movimientos!D:D,"Ocio",Movimientos!C:C,"Gasto fijo")+SUMIFS(Movimientos!F:F,Movimientos!D:D,"Ocio",Movimientos!C:C,"Gasto variable")</f>
        <v>387.5</v>
      </c>
      <c r="D35" s="10">
        <f t="shared" si="5"/>
        <v>5.0958814757146725E-2</v>
      </c>
      <c r="E35" s="17" t="str">
        <f t="shared" si="6"/>
        <v>██</v>
      </c>
    </row>
    <row r="36" spans="2:10" ht="15" customHeight="1" x14ac:dyDescent="0.25">
      <c r="B36" s="16" t="s">
        <v>53</v>
      </c>
      <c r="C36" s="9">
        <f>SUMIFS(Movimientos!F:F,Movimientos!D:D,"Ropa",Movimientos!C:C,"Gasto fijo")+SUMIFS(Movimientos!F:F,Movimientos!D:D,"Ropa",Movimientos!C:C,"Gasto variable")</f>
        <v>149.35000000000002</v>
      </c>
      <c r="D36" s="10">
        <f t="shared" si="5"/>
        <v>1.9640513507044811E-2</v>
      </c>
      <c r="E36" s="17" t="str">
        <f t="shared" si="6"/>
        <v>█</v>
      </c>
    </row>
    <row r="37" spans="2:10" ht="15" customHeight="1" x14ac:dyDescent="0.25">
      <c r="B37" s="16" t="s">
        <v>54</v>
      </c>
      <c r="C37" s="9">
        <f>SUMIFS(Movimientos!F:F,Movimientos!D:D,"Suscripciones",Movimientos!C:C,"Gasto fijo")+SUMIFS(Movimientos!F:F,Movimientos!D:D,"Suscripciones",Movimientos!C:C,"Gasto variable")</f>
        <v>127.88999999999997</v>
      </c>
      <c r="D37" s="10">
        <f t="shared" si="5"/>
        <v>1.6818381469139339E-2</v>
      </c>
      <c r="E37" s="17" t="str">
        <f t="shared" si="6"/>
        <v>█</v>
      </c>
    </row>
    <row r="38" spans="2:10" ht="15" customHeight="1" x14ac:dyDescent="0.25">
      <c r="B38" s="16" t="s">
        <v>55</v>
      </c>
      <c r="C38" s="9">
        <f>SUMIFS(Movimientos!F:F,Movimientos!D:D,"Formación",Movimientos!C:C,"Gasto fijo")+SUMIFS(Movimientos!F:F,Movimientos!D:D,"Formación",Movimientos!C:C,"Gasto variable")</f>
        <v>149</v>
      </c>
      <c r="D38" s="10">
        <f t="shared" si="5"/>
        <v>1.9594486190489965E-2</v>
      </c>
      <c r="E38" s="17" t="str">
        <f t="shared" si="6"/>
        <v>█</v>
      </c>
    </row>
    <row r="39" spans="2:10" ht="15" customHeight="1" x14ac:dyDescent="0.25">
      <c r="B39" s="16" t="s">
        <v>56</v>
      </c>
      <c r="C39" s="9">
        <f>SUMIFS(Movimientos!F:F,Movimientos!D:D,"Hogar",Movimientos!C:C,"Gasto fijo")+SUMIFS(Movimientos!F:F,Movimientos!D:D,"Hogar",Movimientos!C:C,"Gasto variable")</f>
        <v>62.3</v>
      </c>
      <c r="D39" s="10">
        <f t="shared" si="5"/>
        <v>8.1928623467619113E-3</v>
      </c>
      <c r="E39" s="17" t="str">
        <f t="shared" si="6"/>
        <v/>
      </c>
    </row>
    <row r="40" spans="2:10" ht="15" customHeight="1" x14ac:dyDescent="0.25">
      <c r="B40" s="16" t="s">
        <v>57</v>
      </c>
      <c r="C40" s="9">
        <f>SUMIFS(Movimientos!F:F,Movimientos!D:D,"Regalos",Movimientos!C:C,"Gasto fijo")+SUMIFS(Movimientos!F:F,Movimientos!D:D,"Regalos",Movimientos!C:C,"Gasto variable")</f>
        <v>45</v>
      </c>
      <c r="D40" s="10">
        <f t="shared" si="5"/>
        <v>5.9177978427654258E-3</v>
      </c>
      <c r="E40" s="17" t="str">
        <f t="shared" si="6"/>
        <v/>
      </c>
    </row>
    <row r="41" spans="2:10" ht="15" customHeight="1" x14ac:dyDescent="0.25">
      <c r="B41" s="18" t="s">
        <v>58</v>
      </c>
      <c r="C41" s="19">
        <f>SUM(C30:C40)</f>
        <v>7604.18</v>
      </c>
      <c r="D41" s="14">
        <v>1</v>
      </c>
      <c r="E41" s="18"/>
    </row>
  </sheetData>
  <mergeCells count="17">
    <mergeCell ref="G31:J31"/>
    <mergeCell ref="G32:J32"/>
    <mergeCell ref="G33:J33"/>
    <mergeCell ref="C6:D6"/>
    <mergeCell ref="C7:D7"/>
    <mergeCell ref="C8:D8"/>
    <mergeCell ref="C9:D9"/>
    <mergeCell ref="B12:J12"/>
    <mergeCell ref="B28:E28"/>
    <mergeCell ref="G28:J28"/>
    <mergeCell ref="G29:J29"/>
    <mergeCell ref="G30:J30"/>
    <mergeCell ref="B2:J2"/>
    <mergeCell ref="B3:J3"/>
    <mergeCell ref="B5:E5"/>
    <mergeCell ref="F5:J5"/>
    <mergeCell ref="B10:E10"/>
  </mergeCells>
  <conditionalFormatting sqref="H14:H25">
    <cfRule type="colorScale" priority="5">
      <colorScale>
        <cfvo type="num" val="0"/>
        <cfvo type="num" val="0.1"/>
        <cfvo type="num" val="0.25"/>
        <color rgb="FFF8D7DA"/>
        <color rgb="FFFFF3CD"/>
        <color rgb="FFD4EDDA"/>
      </colorScale>
    </cfRule>
  </conditionalFormatting>
  <conditionalFormatting sqref="J14:J25">
    <cfRule type="expression" dxfId="7" priority="2">
      <formula>ISNUMBER(SEARCH("Cumple",J14))</formula>
    </cfRule>
    <cfRule type="expression" dxfId="6" priority="3">
      <formula>ISNUMBER(SEARCH("Cerca",J14))</formula>
    </cfRule>
    <cfRule type="expression" dxfId="5" priority="4">
      <formula>ISNUMBER(SEARCH("Falta",J14))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5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8.7109375" defaultRowHeight="15" x14ac:dyDescent="0.25"/>
  <cols>
    <col min="1" max="1" width="13" customWidth="1"/>
    <col min="2" max="2" width="7" customWidth="1"/>
    <col min="3" max="4" width="16" customWidth="1"/>
    <col min="5" max="5" width="34" customWidth="1"/>
    <col min="6" max="6" width="14" customWidth="1"/>
    <col min="7" max="7" width="24" customWidth="1"/>
    <col min="8" max="9" width="30" customWidth="1"/>
  </cols>
  <sheetData>
    <row r="1" spans="1:8" ht="31.5" customHeight="1" x14ac:dyDescent="0.25">
      <c r="A1" s="2" t="s">
        <v>59</v>
      </c>
      <c r="B1" s="2"/>
      <c r="C1" s="2"/>
      <c r="D1" s="2"/>
      <c r="E1" s="2"/>
      <c r="F1" s="2"/>
      <c r="G1" s="2"/>
      <c r="H1" s="2"/>
    </row>
    <row r="2" spans="1:8" ht="18" customHeight="1" x14ac:dyDescent="0.25">
      <c r="A2" s="1" t="s">
        <v>60</v>
      </c>
      <c r="B2" s="1"/>
      <c r="C2" s="1"/>
      <c r="D2" s="1"/>
      <c r="E2" s="1"/>
      <c r="F2" s="1"/>
      <c r="G2" s="1"/>
      <c r="H2" s="1"/>
    </row>
    <row r="4" spans="1:8" ht="24" customHeight="1" x14ac:dyDescent="0.25">
      <c r="A4" s="7" t="s">
        <v>61</v>
      </c>
      <c r="B4" s="7" t="s">
        <v>15</v>
      </c>
      <c r="C4" s="7" t="s">
        <v>62</v>
      </c>
      <c r="D4" s="7" t="s">
        <v>38</v>
      </c>
      <c r="E4" s="7" t="s">
        <v>63</v>
      </c>
      <c r="F4" s="7" t="s">
        <v>64</v>
      </c>
      <c r="G4" s="7" t="s">
        <v>65</v>
      </c>
      <c r="H4" s="7" t="s">
        <v>66</v>
      </c>
    </row>
    <row r="5" spans="1:8" ht="15" customHeight="1" x14ac:dyDescent="0.25">
      <c r="A5" s="20">
        <v>46023</v>
      </c>
      <c r="B5" s="21">
        <f t="shared" ref="B5:B36" si="0">IF(A5="","",MONTH(A5))</f>
        <v>1</v>
      </c>
      <c r="C5" s="22" t="s">
        <v>67</v>
      </c>
      <c r="D5" s="16" t="s">
        <v>43</v>
      </c>
      <c r="E5" s="16" t="s">
        <v>68</v>
      </c>
      <c r="F5" s="23">
        <v>650</v>
      </c>
      <c r="G5" s="16"/>
      <c r="H5" s="16"/>
    </row>
    <row r="6" spans="1:8" ht="15" customHeight="1" x14ac:dyDescent="0.25">
      <c r="A6" s="20">
        <v>46027</v>
      </c>
      <c r="B6" s="21">
        <f t="shared" si="0"/>
        <v>1</v>
      </c>
      <c r="C6" s="22" t="s">
        <v>67</v>
      </c>
      <c r="D6" s="16" t="s">
        <v>45</v>
      </c>
      <c r="E6" s="16" t="s">
        <v>69</v>
      </c>
      <c r="F6" s="23">
        <v>68.400000000000006</v>
      </c>
      <c r="G6" s="16"/>
      <c r="H6" s="16"/>
    </row>
    <row r="7" spans="1:8" ht="15" customHeight="1" x14ac:dyDescent="0.25">
      <c r="A7" s="20">
        <v>46027</v>
      </c>
      <c r="B7" s="21">
        <f t="shared" si="0"/>
        <v>1</v>
      </c>
      <c r="C7" s="22" t="s">
        <v>67</v>
      </c>
      <c r="D7" s="16" t="s">
        <v>45</v>
      </c>
      <c r="E7" s="16" t="s">
        <v>70</v>
      </c>
      <c r="F7" s="23">
        <v>22.8</v>
      </c>
      <c r="G7" s="16"/>
      <c r="H7" s="16"/>
    </row>
    <row r="8" spans="1:8" ht="15" customHeight="1" x14ac:dyDescent="0.25">
      <c r="A8" s="20">
        <v>46029</v>
      </c>
      <c r="B8" s="21">
        <f t="shared" si="0"/>
        <v>1</v>
      </c>
      <c r="C8" s="24" t="s">
        <v>71</v>
      </c>
      <c r="D8" s="16" t="s">
        <v>47</v>
      </c>
      <c r="E8" s="16" t="s">
        <v>72</v>
      </c>
      <c r="F8" s="23">
        <v>45.3</v>
      </c>
      <c r="G8" s="16"/>
      <c r="H8" s="16"/>
    </row>
    <row r="9" spans="1:8" ht="15" customHeight="1" x14ac:dyDescent="0.25">
      <c r="A9" s="20">
        <v>46032</v>
      </c>
      <c r="B9" s="21">
        <f t="shared" si="0"/>
        <v>1</v>
      </c>
      <c r="C9" s="22" t="s">
        <v>67</v>
      </c>
      <c r="D9" s="16" t="s">
        <v>45</v>
      </c>
      <c r="E9" s="16" t="s">
        <v>73</v>
      </c>
      <c r="F9" s="23">
        <v>45.99</v>
      </c>
      <c r="G9" s="16"/>
      <c r="H9" s="16"/>
    </row>
    <row r="10" spans="1:8" ht="15" customHeight="1" x14ac:dyDescent="0.25">
      <c r="A10" s="20">
        <v>46034</v>
      </c>
      <c r="B10" s="21">
        <f t="shared" si="0"/>
        <v>1</v>
      </c>
      <c r="C10" s="24" t="s">
        <v>71</v>
      </c>
      <c r="D10" s="16" t="s">
        <v>47</v>
      </c>
      <c r="E10" s="16" t="s">
        <v>74</v>
      </c>
      <c r="F10" s="23">
        <v>67.8</v>
      </c>
      <c r="G10" s="16"/>
      <c r="H10" s="16"/>
    </row>
    <row r="11" spans="1:8" ht="15" customHeight="1" x14ac:dyDescent="0.25">
      <c r="A11" s="20">
        <v>46037</v>
      </c>
      <c r="B11" s="21">
        <f t="shared" si="0"/>
        <v>1</v>
      </c>
      <c r="C11" s="22" t="s">
        <v>67</v>
      </c>
      <c r="D11" s="16" t="s">
        <v>51</v>
      </c>
      <c r="E11" s="16" t="s">
        <v>75</v>
      </c>
      <c r="F11" s="23">
        <v>29.9</v>
      </c>
      <c r="G11" s="16"/>
      <c r="H11" s="16"/>
    </row>
    <row r="12" spans="1:8" ht="15" customHeight="1" x14ac:dyDescent="0.25">
      <c r="A12" s="20">
        <v>46038</v>
      </c>
      <c r="B12" s="21">
        <f t="shared" si="0"/>
        <v>1</v>
      </c>
      <c r="C12" s="24" t="s">
        <v>71</v>
      </c>
      <c r="D12" s="16" t="s">
        <v>52</v>
      </c>
      <c r="E12" s="16" t="s">
        <v>76</v>
      </c>
      <c r="F12" s="23">
        <v>34.5</v>
      </c>
      <c r="G12" s="16"/>
      <c r="H12" s="16"/>
    </row>
    <row r="13" spans="1:8" ht="15" customHeight="1" x14ac:dyDescent="0.25">
      <c r="A13" s="20">
        <v>46041</v>
      </c>
      <c r="B13" s="21">
        <f t="shared" si="0"/>
        <v>1</v>
      </c>
      <c r="C13" s="24" t="s">
        <v>71</v>
      </c>
      <c r="D13" s="16" t="s">
        <v>47</v>
      </c>
      <c r="E13" s="16" t="s">
        <v>77</v>
      </c>
      <c r="F13" s="23">
        <v>38.15</v>
      </c>
      <c r="G13" s="16"/>
      <c r="H13" s="16"/>
    </row>
    <row r="14" spans="1:8" ht="15" customHeight="1" x14ac:dyDescent="0.25">
      <c r="A14" s="20">
        <v>46042</v>
      </c>
      <c r="B14" s="21">
        <f t="shared" si="0"/>
        <v>1</v>
      </c>
      <c r="C14" s="22" t="s">
        <v>67</v>
      </c>
      <c r="D14" s="16" t="s">
        <v>54</v>
      </c>
      <c r="E14" s="16" t="s">
        <v>78</v>
      </c>
      <c r="F14" s="23">
        <v>12.99</v>
      </c>
      <c r="G14" s="16"/>
      <c r="H14" s="16"/>
    </row>
    <row r="15" spans="1:8" ht="15" customHeight="1" x14ac:dyDescent="0.25">
      <c r="A15" s="20">
        <v>46044</v>
      </c>
      <c r="B15" s="21">
        <f t="shared" si="0"/>
        <v>1</v>
      </c>
      <c r="C15" s="24" t="s">
        <v>71</v>
      </c>
      <c r="D15" s="16" t="s">
        <v>52</v>
      </c>
      <c r="E15" s="16" t="s">
        <v>79</v>
      </c>
      <c r="F15" s="23">
        <v>18</v>
      </c>
      <c r="G15" s="16"/>
      <c r="H15" s="16"/>
    </row>
    <row r="16" spans="1:8" ht="15" customHeight="1" x14ac:dyDescent="0.25">
      <c r="A16" s="20">
        <v>46047</v>
      </c>
      <c r="B16" s="21">
        <f t="shared" si="0"/>
        <v>1</v>
      </c>
      <c r="C16" s="24" t="s">
        <v>71</v>
      </c>
      <c r="D16" s="16" t="s">
        <v>47</v>
      </c>
      <c r="E16" s="16" t="s">
        <v>74</v>
      </c>
      <c r="F16" s="23">
        <v>82.45</v>
      </c>
      <c r="G16" s="16"/>
      <c r="H16" s="16"/>
    </row>
    <row r="17" spans="1:8" ht="15" customHeight="1" x14ac:dyDescent="0.25">
      <c r="A17" s="20">
        <v>46049</v>
      </c>
      <c r="B17" s="21">
        <f t="shared" si="0"/>
        <v>1</v>
      </c>
      <c r="C17" s="22" t="s">
        <v>67</v>
      </c>
      <c r="D17" s="16" t="s">
        <v>49</v>
      </c>
      <c r="E17" s="16" t="s">
        <v>80</v>
      </c>
      <c r="F17" s="23">
        <v>54.6</v>
      </c>
      <c r="G17" s="16"/>
      <c r="H17" s="16"/>
    </row>
    <row r="18" spans="1:8" ht="15" customHeight="1" x14ac:dyDescent="0.25">
      <c r="A18" s="20">
        <v>46053</v>
      </c>
      <c r="B18" s="21">
        <f t="shared" si="0"/>
        <v>1</v>
      </c>
      <c r="C18" s="25" t="s">
        <v>81</v>
      </c>
      <c r="D18" s="16" t="s">
        <v>82</v>
      </c>
      <c r="E18" s="16" t="s">
        <v>83</v>
      </c>
      <c r="F18" s="23">
        <v>2180</v>
      </c>
      <c r="G18" s="16"/>
      <c r="H18" s="16"/>
    </row>
    <row r="19" spans="1:8" ht="15" customHeight="1" x14ac:dyDescent="0.25">
      <c r="A19" s="20">
        <v>46053</v>
      </c>
      <c r="B19" s="21">
        <f t="shared" si="0"/>
        <v>1</v>
      </c>
      <c r="C19" s="26" t="s">
        <v>84</v>
      </c>
      <c r="D19" s="16" t="s">
        <v>85</v>
      </c>
      <c r="E19" s="16" t="s">
        <v>86</v>
      </c>
      <c r="F19" s="23">
        <v>300</v>
      </c>
      <c r="G19" s="16" t="s">
        <v>87</v>
      </c>
      <c r="H19" s="16" t="s">
        <v>88</v>
      </c>
    </row>
    <row r="20" spans="1:8" ht="15" customHeight="1" x14ac:dyDescent="0.25">
      <c r="A20" s="20">
        <v>46054</v>
      </c>
      <c r="B20" s="21">
        <f t="shared" si="0"/>
        <v>2</v>
      </c>
      <c r="C20" s="22" t="s">
        <v>67</v>
      </c>
      <c r="D20" s="16" t="s">
        <v>43</v>
      </c>
      <c r="E20" s="16" t="s">
        <v>68</v>
      </c>
      <c r="F20" s="23">
        <v>650</v>
      </c>
      <c r="G20" s="16"/>
      <c r="H20" s="16"/>
    </row>
    <row r="21" spans="1:8" ht="15" customHeight="1" x14ac:dyDescent="0.25">
      <c r="A21" s="20">
        <v>46056</v>
      </c>
      <c r="B21" s="21">
        <f t="shared" si="0"/>
        <v>2</v>
      </c>
      <c r="C21" s="22" t="s">
        <v>67</v>
      </c>
      <c r="D21" s="16" t="s">
        <v>45</v>
      </c>
      <c r="E21" s="16" t="s">
        <v>69</v>
      </c>
      <c r="F21" s="23">
        <v>71.2</v>
      </c>
      <c r="G21" s="16"/>
      <c r="H21" s="16"/>
    </row>
    <row r="22" spans="1:8" ht="15" customHeight="1" x14ac:dyDescent="0.25">
      <c r="A22" s="20">
        <v>46061</v>
      </c>
      <c r="B22" s="21">
        <f t="shared" si="0"/>
        <v>2</v>
      </c>
      <c r="C22" s="24" t="s">
        <v>71</v>
      </c>
      <c r="D22" s="16" t="s">
        <v>47</v>
      </c>
      <c r="E22" s="16" t="s">
        <v>74</v>
      </c>
      <c r="F22" s="23">
        <v>78.900000000000006</v>
      </c>
      <c r="G22" s="16"/>
      <c r="H22" s="16"/>
    </row>
    <row r="23" spans="1:8" ht="15" customHeight="1" x14ac:dyDescent="0.25">
      <c r="A23" s="20">
        <v>46063</v>
      </c>
      <c r="B23" s="21">
        <f t="shared" si="0"/>
        <v>2</v>
      </c>
      <c r="C23" s="22" t="s">
        <v>67</v>
      </c>
      <c r="D23" s="16" t="s">
        <v>45</v>
      </c>
      <c r="E23" s="16" t="s">
        <v>73</v>
      </c>
      <c r="F23" s="23">
        <v>45.99</v>
      </c>
      <c r="G23" s="16"/>
      <c r="H23" s="16"/>
    </row>
    <row r="24" spans="1:8" ht="15" customHeight="1" x14ac:dyDescent="0.25">
      <c r="A24" s="20">
        <v>46064</v>
      </c>
      <c r="B24" s="21">
        <f t="shared" si="0"/>
        <v>2</v>
      </c>
      <c r="C24" s="24" t="s">
        <v>71</v>
      </c>
      <c r="D24" s="16" t="s">
        <v>53</v>
      </c>
      <c r="E24" s="16" t="s">
        <v>89</v>
      </c>
      <c r="F24" s="23">
        <v>59.95</v>
      </c>
      <c r="G24" s="16"/>
      <c r="H24" s="16"/>
    </row>
    <row r="25" spans="1:8" ht="15" customHeight="1" x14ac:dyDescent="0.25">
      <c r="A25" s="20">
        <v>46067</v>
      </c>
      <c r="B25" s="21">
        <f t="shared" si="0"/>
        <v>2</v>
      </c>
      <c r="C25" s="24" t="s">
        <v>71</v>
      </c>
      <c r="D25" s="16" t="s">
        <v>52</v>
      </c>
      <c r="E25" s="16" t="s">
        <v>90</v>
      </c>
      <c r="F25" s="23">
        <v>62</v>
      </c>
      <c r="G25" s="16"/>
      <c r="H25" s="16"/>
    </row>
    <row r="26" spans="1:8" ht="15" customHeight="1" x14ac:dyDescent="0.25">
      <c r="A26" s="20">
        <v>46068</v>
      </c>
      <c r="B26" s="21">
        <f t="shared" si="0"/>
        <v>2</v>
      </c>
      <c r="C26" s="22" t="s">
        <v>67</v>
      </c>
      <c r="D26" s="16" t="s">
        <v>51</v>
      </c>
      <c r="E26" s="16" t="s">
        <v>75</v>
      </c>
      <c r="F26" s="23">
        <v>29.9</v>
      </c>
      <c r="G26" s="16"/>
      <c r="H26" s="16"/>
    </row>
    <row r="27" spans="1:8" ht="15" customHeight="1" x14ac:dyDescent="0.25">
      <c r="A27" s="20">
        <v>46070</v>
      </c>
      <c r="B27" s="21">
        <f t="shared" si="0"/>
        <v>2</v>
      </c>
      <c r="C27" s="24" t="s">
        <v>71</v>
      </c>
      <c r="D27" s="16" t="s">
        <v>47</v>
      </c>
      <c r="E27" s="16" t="s">
        <v>72</v>
      </c>
      <c r="F27" s="23">
        <v>41.1</v>
      </c>
      <c r="G27" s="16"/>
      <c r="H27" s="16"/>
    </row>
    <row r="28" spans="1:8" ht="15" customHeight="1" x14ac:dyDescent="0.25">
      <c r="A28" s="20">
        <v>46073</v>
      </c>
      <c r="B28" s="21">
        <f t="shared" si="0"/>
        <v>2</v>
      </c>
      <c r="C28" s="22" t="s">
        <v>67</v>
      </c>
      <c r="D28" s="16" t="s">
        <v>54</v>
      </c>
      <c r="E28" s="16" t="s">
        <v>78</v>
      </c>
      <c r="F28" s="23">
        <v>12.99</v>
      </c>
      <c r="G28" s="16"/>
      <c r="H28" s="16"/>
    </row>
    <row r="29" spans="1:8" ht="15" customHeight="1" x14ac:dyDescent="0.25">
      <c r="A29" s="20">
        <v>46073</v>
      </c>
      <c r="B29" s="21">
        <f t="shared" si="0"/>
        <v>2</v>
      </c>
      <c r="C29" s="22" t="s">
        <v>67</v>
      </c>
      <c r="D29" s="16" t="s">
        <v>54</v>
      </c>
      <c r="E29" s="16" t="s">
        <v>91</v>
      </c>
      <c r="F29" s="23">
        <v>9.99</v>
      </c>
      <c r="G29" s="16"/>
      <c r="H29" s="16"/>
    </row>
    <row r="30" spans="1:8" ht="15" customHeight="1" x14ac:dyDescent="0.25">
      <c r="A30" s="20">
        <v>46075</v>
      </c>
      <c r="B30" s="21">
        <f t="shared" si="0"/>
        <v>2</v>
      </c>
      <c r="C30" s="24" t="s">
        <v>71</v>
      </c>
      <c r="D30" s="16" t="s">
        <v>47</v>
      </c>
      <c r="E30" s="16" t="s">
        <v>74</v>
      </c>
      <c r="F30" s="23">
        <v>69.3</v>
      </c>
      <c r="G30" s="16"/>
      <c r="H30" s="16"/>
    </row>
    <row r="31" spans="1:8" ht="15" customHeight="1" x14ac:dyDescent="0.25">
      <c r="A31" s="20">
        <v>46077</v>
      </c>
      <c r="B31" s="21">
        <f t="shared" si="0"/>
        <v>2</v>
      </c>
      <c r="C31" s="24" t="s">
        <v>71</v>
      </c>
      <c r="D31" s="16" t="s">
        <v>49</v>
      </c>
      <c r="E31" s="16" t="s">
        <v>92</v>
      </c>
      <c r="F31" s="23">
        <v>52.4</v>
      </c>
      <c r="G31" s="16"/>
      <c r="H31" s="16"/>
    </row>
    <row r="32" spans="1:8" ht="15" customHeight="1" x14ac:dyDescent="0.25">
      <c r="A32" s="20">
        <v>46080</v>
      </c>
      <c r="B32" s="21">
        <f t="shared" si="0"/>
        <v>2</v>
      </c>
      <c r="C32" s="22" t="s">
        <v>67</v>
      </c>
      <c r="D32" s="16" t="s">
        <v>49</v>
      </c>
      <c r="E32" s="16" t="s">
        <v>80</v>
      </c>
      <c r="F32" s="23">
        <v>54.6</v>
      </c>
      <c r="G32" s="16"/>
      <c r="H32" s="16"/>
    </row>
    <row r="33" spans="1:8" ht="15" customHeight="1" x14ac:dyDescent="0.25">
      <c r="A33" s="20">
        <v>46081</v>
      </c>
      <c r="B33" s="21">
        <f t="shared" si="0"/>
        <v>2</v>
      </c>
      <c r="C33" s="25" t="s">
        <v>81</v>
      </c>
      <c r="D33" s="16" t="s">
        <v>82</v>
      </c>
      <c r="E33" s="16" t="s">
        <v>93</v>
      </c>
      <c r="F33" s="23">
        <v>2180</v>
      </c>
      <c r="G33" s="16"/>
      <c r="H33" s="16"/>
    </row>
    <row r="34" spans="1:8" ht="15" customHeight="1" x14ac:dyDescent="0.25">
      <c r="A34" s="20">
        <v>46081</v>
      </c>
      <c r="B34" s="21">
        <f t="shared" si="0"/>
        <v>2</v>
      </c>
      <c r="C34" s="25" t="s">
        <v>81</v>
      </c>
      <c r="D34" s="16" t="s">
        <v>94</v>
      </c>
      <c r="E34" s="16" t="s">
        <v>95</v>
      </c>
      <c r="F34" s="23">
        <v>80</v>
      </c>
      <c r="G34" s="16"/>
      <c r="H34" s="16" t="s">
        <v>96</v>
      </c>
    </row>
    <row r="35" spans="1:8" ht="15" customHeight="1" x14ac:dyDescent="0.25">
      <c r="A35" s="20">
        <v>46081</v>
      </c>
      <c r="B35" s="21">
        <f t="shared" si="0"/>
        <v>2</v>
      </c>
      <c r="C35" s="26" t="s">
        <v>84</v>
      </c>
      <c r="D35" s="16" t="s">
        <v>85</v>
      </c>
      <c r="E35" s="16" t="s">
        <v>86</v>
      </c>
      <c r="F35" s="23">
        <v>350</v>
      </c>
      <c r="G35" s="16" t="s">
        <v>87</v>
      </c>
      <c r="H35" s="16"/>
    </row>
    <row r="36" spans="1:8" ht="15" customHeight="1" x14ac:dyDescent="0.25">
      <c r="A36" s="20">
        <v>46081</v>
      </c>
      <c r="B36" s="21">
        <f t="shared" si="0"/>
        <v>2</v>
      </c>
      <c r="C36" s="26" t="s">
        <v>84</v>
      </c>
      <c r="D36" s="16" t="s">
        <v>85</v>
      </c>
      <c r="E36" s="16" t="s">
        <v>86</v>
      </c>
      <c r="F36" s="23">
        <v>100</v>
      </c>
      <c r="G36" s="16" t="s">
        <v>97</v>
      </c>
      <c r="H36" s="16"/>
    </row>
    <row r="37" spans="1:8" ht="15" customHeight="1" x14ac:dyDescent="0.25">
      <c r="A37" s="20">
        <v>46082</v>
      </c>
      <c r="B37" s="21">
        <f t="shared" ref="B37:B68" si="1">IF(A37="","",MONTH(A37))</f>
        <v>3</v>
      </c>
      <c r="C37" s="22" t="s">
        <v>67</v>
      </c>
      <c r="D37" s="16" t="s">
        <v>43</v>
      </c>
      <c r="E37" s="16" t="s">
        <v>68</v>
      </c>
      <c r="F37" s="23">
        <v>650</v>
      </c>
      <c r="G37" s="16"/>
      <c r="H37" s="16"/>
    </row>
    <row r="38" spans="1:8" ht="15" customHeight="1" x14ac:dyDescent="0.25">
      <c r="A38" s="20">
        <v>46085</v>
      </c>
      <c r="B38" s="21">
        <f t="shared" si="1"/>
        <v>3</v>
      </c>
      <c r="C38" s="22" t="s">
        <v>67</v>
      </c>
      <c r="D38" s="16" t="s">
        <v>45</v>
      </c>
      <c r="E38" s="16" t="s">
        <v>69</v>
      </c>
      <c r="F38" s="23">
        <v>59.8</v>
      </c>
      <c r="G38" s="16"/>
      <c r="H38" s="16"/>
    </row>
    <row r="39" spans="1:8" ht="15" customHeight="1" x14ac:dyDescent="0.25">
      <c r="A39" s="20">
        <v>46085</v>
      </c>
      <c r="B39" s="21">
        <f t="shared" si="1"/>
        <v>3</v>
      </c>
      <c r="C39" s="22" t="s">
        <v>67</v>
      </c>
      <c r="D39" s="16" t="s">
        <v>45</v>
      </c>
      <c r="E39" s="16" t="s">
        <v>70</v>
      </c>
      <c r="F39" s="23">
        <v>24.5</v>
      </c>
      <c r="G39" s="16"/>
      <c r="H39" s="16"/>
    </row>
    <row r="40" spans="1:8" ht="15" customHeight="1" x14ac:dyDescent="0.25">
      <c r="A40" s="20">
        <v>46087</v>
      </c>
      <c r="B40" s="21">
        <f t="shared" si="1"/>
        <v>3</v>
      </c>
      <c r="C40" s="24" t="s">
        <v>71</v>
      </c>
      <c r="D40" s="16" t="s">
        <v>47</v>
      </c>
      <c r="E40" s="16" t="s">
        <v>74</v>
      </c>
      <c r="F40" s="23">
        <v>74.2</v>
      </c>
      <c r="G40" s="16"/>
      <c r="H40" s="16"/>
    </row>
    <row r="41" spans="1:8" ht="15" customHeight="1" x14ac:dyDescent="0.25">
      <c r="A41" s="20">
        <v>46089</v>
      </c>
      <c r="B41" s="21">
        <f t="shared" si="1"/>
        <v>3</v>
      </c>
      <c r="C41" s="24" t="s">
        <v>71</v>
      </c>
      <c r="D41" s="16" t="s">
        <v>57</v>
      </c>
      <c r="E41" s="16" t="s">
        <v>98</v>
      </c>
      <c r="F41" s="23">
        <v>45</v>
      </c>
      <c r="G41" s="16"/>
      <c r="H41" s="16"/>
    </row>
    <row r="42" spans="1:8" ht="15" customHeight="1" x14ac:dyDescent="0.25">
      <c r="A42" s="20">
        <v>46091</v>
      </c>
      <c r="B42" s="21">
        <f t="shared" si="1"/>
        <v>3</v>
      </c>
      <c r="C42" s="22" t="s">
        <v>67</v>
      </c>
      <c r="D42" s="16" t="s">
        <v>45</v>
      </c>
      <c r="E42" s="16" t="s">
        <v>73</v>
      </c>
      <c r="F42" s="23">
        <v>45.99</v>
      </c>
      <c r="G42" s="16"/>
      <c r="H42" s="16"/>
    </row>
    <row r="43" spans="1:8" ht="15" customHeight="1" x14ac:dyDescent="0.25">
      <c r="A43" s="20">
        <v>46094</v>
      </c>
      <c r="B43" s="21">
        <f t="shared" si="1"/>
        <v>3</v>
      </c>
      <c r="C43" s="24" t="s">
        <v>71</v>
      </c>
      <c r="D43" s="16" t="s">
        <v>47</v>
      </c>
      <c r="E43" s="16" t="s">
        <v>72</v>
      </c>
      <c r="F43" s="23">
        <v>39.85</v>
      </c>
      <c r="G43" s="16"/>
      <c r="H43" s="16"/>
    </row>
    <row r="44" spans="1:8" ht="15" customHeight="1" x14ac:dyDescent="0.25">
      <c r="A44" s="20">
        <v>46096</v>
      </c>
      <c r="B44" s="21">
        <f t="shared" si="1"/>
        <v>3</v>
      </c>
      <c r="C44" s="22" t="s">
        <v>67</v>
      </c>
      <c r="D44" s="16" t="s">
        <v>51</v>
      </c>
      <c r="E44" s="16" t="s">
        <v>75</v>
      </c>
      <c r="F44" s="23">
        <v>29.9</v>
      </c>
      <c r="G44" s="16"/>
      <c r="H44" s="16"/>
    </row>
    <row r="45" spans="1:8" ht="15" customHeight="1" x14ac:dyDescent="0.25">
      <c r="A45" s="20">
        <v>46099</v>
      </c>
      <c r="B45" s="21">
        <f t="shared" si="1"/>
        <v>3</v>
      </c>
      <c r="C45" s="24" t="s">
        <v>71</v>
      </c>
      <c r="D45" s="16" t="s">
        <v>52</v>
      </c>
      <c r="E45" s="16" t="s">
        <v>99</v>
      </c>
      <c r="F45" s="23">
        <v>38</v>
      </c>
      <c r="G45" s="16"/>
      <c r="H45" s="16"/>
    </row>
    <row r="46" spans="1:8" ht="15" customHeight="1" x14ac:dyDescent="0.25">
      <c r="A46" s="20">
        <v>46101</v>
      </c>
      <c r="B46" s="21">
        <f t="shared" si="1"/>
        <v>3</v>
      </c>
      <c r="C46" s="24" t="s">
        <v>71</v>
      </c>
      <c r="D46" s="16" t="s">
        <v>47</v>
      </c>
      <c r="E46" s="16" t="s">
        <v>74</v>
      </c>
      <c r="F46" s="23">
        <v>61.15</v>
      </c>
      <c r="G46" s="16"/>
      <c r="H46" s="16"/>
    </row>
    <row r="47" spans="1:8" ht="15" customHeight="1" x14ac:dyDescent="0.25">
      <c r="A47" s="20">
        <v>46101</v>
      </c>
      <c r="B47" s="21">
        <f t="shared" si="1"/>
        <v>3</v>
      </c>
      <c r="C47" s="22" t="s">
        <v>67</v>
      </c>
      <c r="D47" s="16" t="s">
        <v>54</v>
      </c>
      <c r="E47" s="16" t="s">
        <v>78</v>
      </c>
      <c r="F47" s="23">
        <v>12.99</v>
      </c>
      <c r="G47" s="16"/>
      <c r="H47" s="16"/>
    </row>
    <row r="48" spans="1:8" ht="15" customHeight="1" x14ac:dyDescent="0.25">
      <c r="A48" s="20">
        <v>46101</v>
      </c>
      <c r="B48" s="21">
        <f t="shared" si="1"/>
        <v>3</v>
      </c>
      <c r="C48" s="22" t="s">
        <v>67</v>
      </c>
      <c r="D48" s="16" t="s">
        <v>54</v>
      </c>
      <c r="E48" s="16" t="s">
        <v>91</v>
      </c>
      <c r="F48" s="23">
        <v>9.99</v>
      </c>
      <c r="G48" s="16"/>
      <c r="H48" s="16"/>
    </row>
    <row r="49" spans="1:8" ht="15" customHeight="1" x14ac:dyDescent="0.25">
      <c r="A49" s="20">
        <v>46103</v>
      </c>
      <c r="B49" s="21">
        <f t="shared" si="1"/>
        <v>3</v>
      </c>
      <c r="C49" s="24" t="s">
        <v>71</v>
      </c>
      <c r="D49" s="16" t="s">
        <v>55</v>
      </c>
      <c r="E49" s="16" t="s">
        <v>100</v>
      </c>
      <c r="F49" s="23">
        <v>149</v>
      </c>
      <c r="G49" s="16"/>
      <c r="H49" s="16" t="s">
        <v>101</v>
      </c>
    </row>
    <row r="50" spans="1:8" ht="15" customHeight="1" x14ac:dyDescent="0.25">
      <c r="A50" s="20">
        <v>46106</v>
      </c>
      <c r="B50" s="21">
        <f t="shared" si="1"/>
        <v>3</v>
      </c>
      <c r="C50" s="24" t="s">
        <v>71</v>
      </c>
      <c r="D50" s="16" t="s">
        <v>49</v>
      </c>
      <c r="E50" s="16" t="s">
        <v>92</v>
      </c>
      <c r="F50" s="23">
        <v>48.7</v>
      </c>
      <c r="G50" s="16"/>
      <c r="H50" s="16"/>
    </row>
    <row r="51" spans="1:8" ht="15" customHeight="1" x14ac:dyDescent="0.25">
      <c r="A51" s="20">
        <v>46108</v>
      </c>
      <c r="B51" s="21">
        <f t="shared" si="1"/>
        <v>3</v>
      </c>
      <c r="C51" s="22" t="s">
        <v>67</v>
      </c>
      <c r="D51" s="16" t="s">
        <v>49</v>
      </c>
      <c r="E51" s="16" t="s">
        <v>80</v>
      </c>
      <c r="F51" s="23">
        <v>54.6</v>
      </c>
      <c r="G51" s="16"/>
      <c r="H51" s="16"/>
    </row>
    <row r="52" spans="1:8" ht="15" customHeight="1" x14ac:dyDescent="0.25">
      <c r="A52" s="20">
        <v>46112</v>
      </c>
      <c r="B52" s="21">
        <f t="shared" si="1"/>
        <v>3</v>
      </c>
      <c r="C52" s="25" t="s">
        <v>81</v>
      </c>
      <c r="D52" s="16" t="s">
        <v>82</v>
      </c>
      <c r="E52" s="16" t="s">
        <v>102</v>
      </c>
      <c r="F52" s="23">
        <v>2180</v>
      </c>
      <c r="G52" s="16"/>
      <c r="H52" s="16"/>
    </row>
    <row r="53" spans="1:8" ht="15" customHeight="1" x14ac:dyDescent="0.25">
      <c r="A53" s="20">
        <v>46112</v>
      </c>
      <c r="B53" s="21">
        <f t="shared" si="1"/>
        <v>3</v>
      </c>
      <c r="C53" s="26" t="s">
        <v>84</v>
      </c>
      <c r="D53" s="16" t="s">
        <v>85</v>
      </c>
      <c r="E53" s="16" t="s">
        <v>86</v>
      </c>
      <c r="F53" s="23">
        <v>250</v>
      </c>
      <c r="G53" s="16" t="s">
        <v>87</v>
      </c>
      <c r="H53" s="16"/>
    </row>
    <row r="54" spans="1:8" ht="15" customHeight="1" x14ac:dyDescent="0.25">
      <c r="A54" s="20">
        <v>46112</v>
      </c>
      <c r="B54" s="21">
        <f t="shared" si="1"/>
        <v>3</v>
      </c>
      <c r="C54" s="26" t="s">
        <v>84</v>
      </c>
      <c r="D54" s="16" t="s">
        <v>85</v>
      </c>
      <c r="E54" s="16" t="s">
        <v>86</v>
      </c>
      <c r="F54" s="23">
        <v>100</v>
      </c>
      <c r="G54" s="16" t="s">
        <v>97</v>
      </c>
      <c r="H54" s="16"/>
    </row>
    <row r="55" spans="1:8" ht="15" customHeight="1" x14ac:dyDescent="0.25">
      <c r="A55" s="20">
        <v>46113</v>
      </c>
      <c r="B55" s="21">
        <f t="shared" si="1"/>
        <v>4</v>
      </c>
      <c r="C55" s="22" t="s">
        <v>67</v>
      </c>
      <c r="D55" s="16" t="s">
        <v>43</v>
      </c>
      <c r="E55" s="16" t="s">
        <v>68</v>
      </c>
      <c r="F55" s="23">
        <v>650</v>
      </c>
      <c r="G55" s="16"/>
      <c r="H55" s="16"/>
    </row>
    <row r="56" spans="1:8" ht="15" customHeight="1" x14ac:dyDescent="0.25">
      <c r="A56" s="20">
        <v>46117</v>
      </c>
      <c r="B56" s="21">
        <f t="shared" si="1"/>
        <v>4</v>
      </c>
      <c r="C56" s="22" t="s">
        <v>67</v>
      </c>
      <c r="D56" s="16" t="s">
        <v>45</v>
      </c>
      <c r="E56" s="16" t="s">
        <v>69</v>
      </c>
      <c r="F56" s="23">
        <v>54.1</v>
      </c>
      <c r="G56" s="16"/>
      <c r="H56" s="16"/>
    </row>
    <row r="57" spans="1:8" ht="15" customHeight="1" x14ac:dyDescent="0.25">
      <c r="A57" s="20">
        <v>46120</v>
      </c>
      <c r="B57" s="21">
        <f t="shared" si="1"/>
        <v>4</v>
      </c>
      <c r="C57" s="24" t="s">
        <v>71</v>
      </c>
      <c r="D57" s="16" t="s">
        <v>47</v>
      </c>
      <c r="E57" s="16" t="s">
        <v>74</v>
      </c>
      <c r="F57" s="23">
        <v>82.4</v>
      </c>
      <c r="G57" s="16"/>
      <c r="H57" s="16"/>
    </row>
    <row r="58" spans="1:8" ht="15" customHeight="1" x14ac:dyDescent="0.25">
      <c r="A58" s="20">
        <v>46122</v>
      </c>
      <c r="B58" s="21">
        <f t="shared" si="1"/>
        <v>4</v>
      </c>
      <c r="C58" s="22" t="s">
        <v>67</v>
      </c>
      <c r="D58" s="16" t="s">
        <v>45</v>
      </c>
      <c r="E58" s="16" t="s">
        <v>73</v>
      </c>
      <c r="F58" s="23">
        <v>45.99</v>
      </c>
      <c r="G58" s="16"/>
      <c r="H58" s="16"/>
    </row>
    <row r="59" spans="1:8" ht="15" customHeight="1" x14ac:dyDescent="0.25">
      <c r="A59" s="20">
        <v>46124</v>
      </c>
      <c r="B59" s="21">
        <f t="shared" si="1"/>
        <v>4</v>
      </c>
      <c r="C59" s="24" t="s">
        <v>71</v>
      </c>
      <c r="D59" s="16" t="s">
        <v>52</v>
      </c>
      <c r="E59" s="16" t="s">
        <v>103</v>
      </c>
      <c r="F59" s="23">
        <v>135</v>
      </c>
      <c r="G59" s="16"/>
      <c r="H59" s="16" t="s">
        <v>104</v>
      </c>
    </row>
    <row r="60" spans="1:8" ht="15" customHeight="1" x14ac:dyDescent="0.25">
      <c r="A60" s="20">
        <v>46127</v>
      </c>
      <c r="B60" s="21">
        <f t="shared" si="1"/>
        <v>4</v>
      </c>
      <c r="C60" s="22" t="s">
        <v>67</v>
      </c>
      <c r="D60" s="16" t="s">
        <v>51</v>
      </c>
      <c r="E60" s="16" t="s">
        <v>75</v>
      </c>
      <c r="F60" s="23">
        <v>29.9</v>
      </c>
      <c r="G60" s="16"/>
      <c r="H60" s="16"/>
    </row>
    <row r="61" spans="1:8" ht="15" customHeight="1" x14ac:dyDescent="0.25">
      <c r="A61" s="20">
        <v>46129</v>
      </c>
      <c r="B61" s="21">
        <f t="shared" si="1"/>
        <v>4</v>
      </c>
      <c r="C61" s="24" t="s">
        <v>71</v>
      </c>
      <c r="D61" s="16" t="s">
        <v>47</v>
      </c>
      <c r="E61" s="16" t="s">
        <v>72</v>
      </c>
      <c r="F61" s="23">
        <v>44.65</v>
      </c>
      <c r="G61" s="16"/>
      <c r="H61" s="16"/>
    </row>
    <row r="62" spans="1:8" ht="15" customHeight="1" x14ac:dyDescent="0.25">
      <c r="A62" s="20">
        <v>46130</v>
      </c>
      <c r="B62" s="21">
        <f t="shared" si="1"/>
        <v>4</v>
      </c>
      <c r="C62" s="24" t="s">
        <v>71</v>
      </c>
      <c r="D62" s="16" t="s">
        <v>56</v>
      </c>
      <c r="E62" s="16" t="s">
        <v>105</v>
      </c>
      <c r="F62" s="23">
        <v>62.3</v>
      </c>
      <c r="G62" s="16"/>
      <c r="H62" s="16"/>
    </row>
    <row r="63" spans="1:8" ht="15" customHeight="1" x14ac:dyDescent="0.25">
      <c r="A63" s="20">
        <v>46132</v>
      </c>
      <c r="B63" s="21">
        <f t="shared" si="1"/>
        <v>4</v>
      </c>
      <c r="C63" s="22" t="s">
        <v>67</v>
      </c>
      <c r="D63" s="16" t="s">
        <v>54</v>
      </c>
      <c r="E63" s="16" t="s">
        <v>78</v>
      </c>
      <c r="F63" s="23">
        <v>12.99</v>
      </c>
      <c r="G63" s="16"/>
      <c r="H63" s="16"/>
    </row>
    <row r="64" spans="1:8" ht="15" customHeight="1" x14ac:dyDescent="0.25">
      <c r="A64" s="20">
        <v>46132</v>
      </c>
      <c r="B64" s="21">
        <f t="shared" si="1"/>
        <v>4</v>
      </c>
      <c r="C64" s="22" t="s">
        <v>67</v>
      </c>
      <c r="D64" s="16" t="s">
        <v>54</v>
      </c>
      <c r="E64" s="16" t="s">
        <v>91</v>
      </c>
      <c r="F64" s="23">
        <v>9.99</v>
      </c>
      <c r="G64" s="16"/>
      <c r="H64" s="16"/>
    </row>
    <row r="65" spans="1:8" ht="15" customHeight="1" x14ac:dyDescent="0.25">
      <c r="A65" s="20">
        <v>46134</v>
      </c>
      <c r="B65" s="21">
        <f t="shared" si="1"/>
        <v>4</v>
      </c>
      <c r="C65" s="24" t="s">
        <v>71</v>
      </c>
      <c r="D65" s="16" t="s">
        <v>47</v>
      </c>
      <c r="E65" s="16" t="s">
        <v>74</v>
      </c>
      <c r="F65" s="23">
        <v>71.8</v>
      </c>
      <c r="G65" s="16"/>
      <c r="H65" s="16"/>
    </row>
    <row r="66" spans="1:8" ht="15" customHeight="1" x14ac:dyDescent="0.25">
      <c r="A66" s="20">
        <v>46137</v>
      </c>
      <c r="B66" s="21">
        <f t="shared" si="1"/>
        <v>4</v>
      </c>
      <c r="C66" s="24" t="s">
        <v>71</v>
      </c>
      <c r="D66" s="16" t="s">
        <v>51</v>
      </c>
      <c r="E66" s="16" t="s">
        <v>106</v>
      </c>
      <c r="F66" s="23">
        <v>65</v>
      </c>
      <c r="G66" s="16"/>
      <c r="H66" s="16"/>
    </row>
    <row r="67" spans="1:8" ht="15" customHeight="1" x14ac:dyDescent="0.25">
      <c r="A67" s="20">
        <v>46139</v>
      </c>
      <c r="B67" s="21">
        <f t="shared" si="1"/>
        <v>4</v>
      </c>
      <c r="C67" s="22" t="s">
        <v>67</v>
      </c>
      <c r="D67" s="16" t="s">
        <v>49</v>
      </c>
      <c r="E67" s="16" t="s">
        <v>80</v>
      </c>
      <c r="F67" s="23">
        <v>54.6</v>
      </c>
      <c r="G67" s="16"/>
      <c r="H67" s="16"/>
    </row>
    <row r="68" spans="1:8" ht="15" customHeight="1" x14ac:dyDescent="0.25">
      <c r="A68" s="20">
        <v>46142</v>
      </c>
      <c r="B68" s="21">
        <f t="shared" si="1"/>
        <v>4</v>
      </c>
      <c r="C68" s="25" t="s">
        <v>81</v>
      </c>
      <c r="D68" s="16" t="s">
        <v>82</v>
      </c>
      <c r="E68" s="16" t="s">
        <v>107</v>
      </c>
      <c r="F68" s="23">
        <v>2180</v>
      </c>
      <c r="G68" s="16"/>
      <c r="H68" s="16"/>
    </row>
    <row r="69" spans="1:8" ht="15" customHeight="1" x14ac:dyDescent="0.25">
      <c r="A69" s="20">
        <v>46142</v>
      </c>
      <c r="B69" s="21">
        <f t="shared" ref="B69:B100" si="2">IF(A69="","",MONTH(A69))</f>
        <v>4</v>
      </c>
      <c r="C69" s="26" t="s">
        <v>84</v>
      </c>
      <c r="D69" s="16" t="s">
        <v>85</v>
      </c>
      <c r="E69" s="16" t="s">
        <v>86</v>
      </c>
      <c r="F69" s="23">
        <v>200</v>
      </c>
      <c r="G69" s="16" t="s">
        <v>87</v>
      </c>
      <c r="H69" s="16"/>
    </row>
    <row r="70" spans="1:8" ht="15" customHeight="1" x14ac:dyDescent="0.25">
      <c r="A70" s="20">
        <v>46142</v>
      </c>
      <c r="B70" s="21">
        <f t="shared" si="2"/>
        <v>4</v>
      </c>
      <c r="C70" s="26" t="s">
        <v>84</v>
      </c>
      <c r="D70" s="16" t="s">
        <v>85</v>
      </c>
      <c r="E70" s="16" t="s">
        <v>86</v>
      </c>
      <c r="F70" s="23">
        <v>150</v>
      </c>
      <c r="G70" s="16" t="s">
        <v>97</v>
      </c>
      <c r="H70" s="16"/>
    </row>
    <row r="71" spans="1:8" ht="15" customHeight="1" x14ac:dyDescent="0.25">
      <c r="A71" s="20">
        <v>46143</v>
      </c>
      <c r="B71" s="21">
        <f t="shared" si="2"/>
        <v>5</v>
      </c>
      <c r="C71" s="22" t="s">
        <v>67</v>
      </c>
      <c r="D71" s="16" t="s">
        <v>43</v>
      </c>
      <c r="E71" s="16" t="s">
        <v>68</v>
      </c>
      <c r="F71" s="23">
        <v>650</v>
      </c>
      <c r="G71" s="16"/>
      <c r="H71" s="16"/>
    </row>
    <row r="72" spans="1:8" ht="15" customHeight="1" x14ac:dyDescent="0.25">
      <c r="A72" s="20">
        <v>46147</v>
      </c>
      <c r="B72" s="21">
        <f t="shared" si="2"/>
        <v>5</v>
      </c>
      <c r="C72" s="22" t="s">
        <v>67</v>
      </c>
      <c r="D72" s="16" t="s">
        <v>45</v>
      </c>
      <c r="E72" s="16" t="s">
        <v>69</v>
      </c>
      <c r="F72" s="23">
        <v>51.3</v>
      </c>
      <c r="G72" s="16"/>
      <c r="H72" s="16"/>
    </row>
    <row r="73" spans="1:8" ht="15" customHeight="1" x14ac:dyDescent="0.25">
      <c r="A73" s="20">
        <v>46147</v>
      </c>
      <c r="B73" s="21">
        <f t="shared" si="2"/>
        <v>5</v>
      </c>
      <c r="C73" s="22" t="s">
        <v>67</v>
      </c>
      <c r="D73" s="16" t="s">
        <v>45</v>
      </c>
      <c r="E73" s="16" t="s">
        <v>70</v>
      </c>
      <c r="F73" s="23">
        <v>23.1</v>
      </c>
      <c r="G73" s="16"/>
      <c r="H73" s="16"/>
    </row>
    <row r="74" spans="1:8" ht="15" customHeight="1" x14ac:dyDescent="0.25">
      <c r="A74" s="20">
        <v>46150</v>
      </c>
      <c r="B74" s="21">
        <f t="shared" si="2"/>
        <v>5</v>
      </c>
      <c r="C74" s="24" t="s">
        <v>71</v>
      </c>
      <c r="D74" s="16" t="s">
        <v>47</v>
      </c>
      <c r="E74" s="16" t="s">
        <v>74</v>
      </c>
      <c r="F74" s="23">
        <v>76.55</v>
      </c>
      <c r="G74" s="16"/>
      <c r="H74" s="16"/>
    </row>
    <row r="75" spans="1:8" ht="15" customHeight="1" x14ac:dyDescent="0.25">
      <c r="A75" s="20">
        <v>46152</v>
      </c>
      <c r="B75" s="21">
        <f t="shared" si="2"/>
        <v>5</v>
      </c>
      <c r="C75" s="22" t="s">
        <v>67</v>
      </c>
      <c r="D75" s="16" t="s">
        <v>45</v>
      </c>
      <c r="E75" s="16" t="s">
        <v>73</v>
      </c>
      <c r="F75" s="23">
        <v>45.99</v>
      </c>
      <c r="G75" s="16"/>
      <c r="H75" s="16"/>
    </row>
    <row r="76" spans="1:8" ht="15" customHeight="1" x14ac:dyDescent="0.25">
      <c r="A76" s="20">
        <v>46154</v>
      </c>
      <c r="B76" s="21">
        <f t="shared" si="2"/>
        <v>5</v>
      </c>
      <c r="C76" s="24" t="s">
        <v>71</v>
      </c>
      <c r="D76" s="16" t="s">
        <v>53</v>
      </c>
      <c r="E76" s="16" t="s">
        <v>108</v>
      </c>
      <c r="F76" s="23">
        <v>89.4</v>
      </c>
      <c r="G76" s="16"/>
      <c r="H76" s="16"/>
    </row>
    <row r="77" spans="1:8" ht="15" customHeight="1" x14ac:dyDescent="0.25">
      <c r="A77" s="20">
        <v>46157</v>
      </c>
      <c r="B77" s="21">
        <f t="shared" si="2"/>
        <v>5</v>
      </c>
      <c r="C77" s="22" t="s">
        <v>67</v>
      </c>
      <c r="D77" s="16" t="s">
        <v>51</v>
      </c>
      <c r="E77" s="16" t="s">
        <v>75</v>
      </c>
      <c r="F77" s="23">
        <v>29.9</v>
      </c>
      <c r="G77" s="16"/>
      <c r="H77" s="16"/>
    </row>
    <row r="78" spans="1:8" ht="15" customHeight="1" x14ac:dyDescent="0.25">
      <c r="A78" s="20">
        <v>46159</v>
      </c>
      <c r="B78" s="21">
        <f t="shared" si="2"/>
        <v>5</v>
      </c>
      <c r="C78" s="24" t="s">
        <v>71</v>
      </c>
      <c r="D78" s="16" t="s">
        <v>47</v>
      </c>
      <c r="E78" s="16" t="s">
        <v>72</v>
      </c>
      <c r="F78" s="23">
        <v>42.2</v>
      </c>
      <c r="G78" s="16"/>
      <c r="H78" s="16"/>
    </row>
    <row r="79" spans="1:8" ht="15" customHeight="1" x14ac:dyDescent="0.25">
      <c r="A79" s="20">
        <v>46162</v>
      </c>
      <c r="B79" s="21">
        <f t="shared" si="2"/>
        <v>5</v>
      </c>
      <c r="C79" s="22" t="s">
        <v>67</v>
      </c>
      <c r="D79" s="16" t="s">
        <v>54</v>
      </c>
      <c r="E79" s="16" t="s">
        <v>78</v>
      </c>
      <c r="F79" s="23">
        <v>12.99</v>
      </c>
      <c r="G79" s="16"/>
      <c r="H79" s="16"/>
    </row>
    <row r="80" spans="1:8" ht="15" customHeight="1" x14ac:dyDescent="0.25">
      <c r="A80" s="20">
        <v>46162</v>
      </c>
      <c r="B80" s="21">
        <f t="shared" si="2"/>
        <v>5</v>
      </c>
      <c r="C80" s="22" t="s">
        <v>67</v>
      </c>
      <c r="D80" s="16" t="s">
        <v>54</v>
      </c>
      <c r="E80" s="16" t="s">
        <v>91</v>
      </c>
      <c r="F80" s="23">
        <v>9.99</v>
      </c>
      <c r="G80" s="16"/>
      <c r="H80" s="16"/>
    </row>
    <row r="81" spans="1:8" ht="15" customHeight="1" x14ac:dyDescent="0.25">
      <c r="A81" s="20">
        <v>46164</v>
      </c>
      <c r="B81" s="21">
        <f t="shared" si="2"/>
        <v>5</v>
      </c>
      <c r="C81" s="24" t="s">
        <v>71</v>
      </c>
      <c r="D81" s="16" t="s">
        <v>47</v>
      </c>
      <c r="E81" s="16" t="s">
        <v>74</v>
      </c>
      <c r="F81" s="23">
        <v>64.3</v>
      </c>
      <c r="G81" s="16"/>
      <c r="H81" s="16"/>
    </row>
    <row r="82" spans="1:8" ht="15" customHeight="1" x14ac:dyDescent="0.25">
      <c r="A82" s="20">
        <v>46166</v>
      </c>
      <c r="B82" s="21">
        <f t="shared" si="2"/>
        <v>5</v>
      </c>
      <c r="C82" s="24" t="s">
        <v>71</v>
      </c>
      <c r="D82" s="16" t="s">
        <v>52</v>
      </c>
      <c r="E82" s="16" t="s">
        <v>109</v>
      </c>
      <c r="F82" s="23">
        <v>42</v>
      </c>
      <c r="G82" s="16"/>
      <c r="H82" s="16"/>
    </row>
    <row r="83" spans="1:8" ht="15" customHeight="1" x14ac:dyDescent="0.25">
      <c r="A83" s="20">
        <v>46169</v>
      </c>
      <c r="B83" s="21">
        <f t="shared" si="2"/>
        <v>5</v>
      </c>
      <c r="C83" s="22" t="s">
        <v>67</v>
      </c>
      <c r="D83" s="16" t="s">
        <v>49</v>
      </c>
      <c r="E83" s="16" t="s">
        <v>80</v>
      </c>
      <c r="F83" s="23">
        <v>54.6</v>
      </c>
      <c r="G83" s="16"/>
      <c r="H83" s="16"/>
    </row>
    <row r="84" spans="1:8" ht="15" customHeight="1" x14ac:dyDescent="0.25">
      <c r="A84" s="20">
        <v>46171</v>
      </c>
      <c r="B84" s="21">
        <f t="shared" si="2"/>
        <v>5</v>
      </c>
      <c r="C84" s="24" t="s">
        <v>71</v>
      </c>
      <c r="D84" s="16" t="s">
        <v>49</v>
      </c>
      <c r="E84" s="16" t="s">
        <v>92</v>
      </c>
      <c r="F84" s="23">
        <v>55.8</v>
      </c>
      <c r="G84" s="16"/>
      <c r="H84" s="16"/>
    </row>
    <row r="85" spans="1:8" ht="15" customHeight="1" x14ac:dyDescent="0.25">
      <c r="A85" s="20">
        <v>46173</v>
      </c>
      <c r="B85" s="21">
        <f t="shared" si="2"/>
        <v>5</v>
      </c>
      <c r="C85" s="25" t="s">
        <v>81</v>
      </c>
      <c r="D85" s="16" t="s">
        <v>82</v>
      </c>
      <c r="E85" s="16" t="s">
        <v>110</v>
      </c>
      <c r="F85" s="23">
        <v>2180</v>
      </c>
      <c r="G85" s="16"/>
      <c r="H85" s="16"/>
    </row>
    <row r="86" spans="1:8" ht="15" customHeight="1" x14ac:dyDescent="0.25">
      <c r="A86" s="20">
        <v>46173</v>
      </c>
      <c r="B86" s="21">
        <f t="shared" si="2"/>
        <v>5</v>
      </c>
      <c r="C86" s="25" t="s">
        <v>81</v>
      </c>
      <c r="D86" s="16" t="s">
        <v>94</v>
      </c>
      <c r="E86" s="16" t="s">
        <v>111</v>
      </c>
      <c r="F86" s="23">
        <v>185</v>
      </c>
      <c r="G86" s="16"/>
      <c r="H86" s="16" t="s">
        <v>112</v>
      </c>
    </row>
    <row r="87" spans="1:8" ht="15" customHeight="1" x14ac:dyDescent="0.25">
      <c r="A87" s="20">
        <v>46173</v>
      </c>
      <c r="B87" s="21">
        <f t="shared" si="2"/>
        <v>5</v>
      </c>
      <c r="C87" s="26" t="s">
        <v>84</v>
      </c>
      <c r="D87" s="16" t="s">
        <v>85</v>
      </c>
      <c r="E87" s="16" t="s">
        <v>86</v>
      </c>
      <c r="F87" s="23">
        <v>300</v>
      </c>
      <c r="G87" s="16" t="s">
        <v>87</v>
      </c>
      <c r="H87" s="16"/>
    </row>
    <row r="88" spans="1:8" ht="15" customHeight="1" x14ac:dyDescent="0.25">
      <c r="A88" s="20">
        <v>46173</v>
      </c>
      <c r="B88" s="21">
        <f t="shared" si="2"/>
        <v>5</v>
      </c>
      <c r="C88" s="26" t="s">
        <v>84</v>
      </c>
      <c r="D88" s="16" t="s">
        <v>85</v>
      </c>
      <c r="E88" s="16" t="s">
        <v>86</v>
      </c>
      <c r="F88" s="23">
        <v>150</v>
      </c>
      <c r="G88" s="16" t="s">
        <v>97</v>
      </c>
      <c r="H88" s="16"/>
    </row>
    <row r="89" spans="1:8" ht="15" customHeight="1" x14ac:dyDescent="0.25">
      <c r="A89" s="20">
        <v>46173</v>
      </c>
      <c r="B89" s="21">
        <f t="shared" si="2"/>
        <v>5</v>
      </c>
      <c r="C89" s="26" t="s">
        <v>84</v>
      </c>
      <c r="D89" s="16" t="s">
        <v>85</v>
      </c>
      <c r="E89" s="16" t="s">
        <v>86</v>
      </c>
      <c r="F89" s="23">
        <v>100</v>
      </c>
      <c r="G89" s="16" t="s">
        <v>113</v>
      </c>
      <c r="H89" s="16"/>
    </row>
    <row r="90" spans="1:8" ht="15" customHeight="1" x14ac:dyDescent="0.25">
      <c r="A90" s="20">
        <v>46174</v>
      </c>
      <c r="B90" s="21">
        <f t="shared" si="2"/>
        <v>6</v>
      </c>
      <c r="C90" s="22" t="s">
        <v>67</v>
      </c>
      <c r="D90" s="16" t="s">
        <v>43</v>
      </c>
      <c r="E90" s="16" t="s">
        <v>68</v>
      </c>
      <c r="F90" s="23">
        <v>650</v>
      </c>
      <c r="G90" s="16"/>
      <c r="H90" s="16"/>
    </row>
    <row r="91" spans="1:8" ht="15" customHeight="1" x14ac:dyDescent="0.25">
      <c r="A91" s="20">
        <v>46177</v>
      </c>
      <c r="B91" s="21">
        <f t="shared" si="2"/>
        <v>6</v>
      </c>
      <c r="C91" s="22" t="s">
        <v>67</v>
      </c>
      <c r="D91" s="16" t="s">
        <v>45</v>
      </c>
      <c r="E91" s="16" t="s">
        <v>69</v>
      </c>
      <c r="F91" s="23">
        <v>48.9</v>
      </c>
      <c r="G91" s="16"/>
      <c r="H91" s="16"/>
    </row>
    <row r="92" spans="1:8" ht="15" customHeight="1" x14ac:dyDescent="0.25">
      <c r="A92" s="20">
        <v>46180</v>
      </c>
      <c r="B92" s="21">
        <f t="shared" si="2"/>
        <v>6</v>
      </c>
      <c r="C92" s="24" t="s">
        <v>71</v>
      </c>
      <c r="D92" s="16" t="s">
        <v>47</v>
      </c>
      <c r="E92" s="16" t="s">
        <v>74</v>
      </c>
      <c r="F92" s="23">
        <v>81.2</v>
      </c>
      <c r="G92" s="16"/>
      <c r="H92" s="16"/>
    </row>
    <row r="93" spans="1:8" ht="15" customHeight="1" x14ac:dyDescent="0.25">
      <c r="A93" s="20">
        <v>46183</v>
      </c>
      <c r="B93" s="21">
        <f t="shared" si="2"/>
        <v>6</v>
      </c>
      <c r="C93" s="22" t="s">
        <v>67</v>
      </c>
      <c r="D93" s="16" t="s">
        <v>45</v>
      </c>
      <c r="E93" s="16" t="s">
        <v>73</v>
      </c>
      <c r="F93" s="23">
        <v>45.99</v>
      </c>
      <c r="G93" s="16"/>
      <c r="H93" s="16"/>
    </row>
    <row r="94" spans="1:8" ht="15" customHeight="1" x14ac:dyDescent="0.25">
      <c r="A94" s="20">
        <v>46184</v>
      </c>
      <c r="B94" s="21">
        <f t="shared" si="2"/>
        <v>6</v>
      </c>
      <c r="C94" s="24" t="s">
        <v>71</v>
      </c>
      <c r="D94" s="16" t="s">
        <v>51</v>
      </c>
      <c r="E94" s="16" t="s">
        <v>114</v>
      </c>
      <c r="F94" s="23">
        <v>175</v>
      </c>
      <c r="G94" s="16"/>
      <c r="H94" s="16" t="s">
        <v>115</v>
      </c>
    </row>
    <row r="95" spans="1:8" ht="15" customHeight="1" x14ac:dyDescent="0.25">
      <c r="A95" s="20">
        <v>46187</v>
      </c>
      <c r="B95" s="21">
        <f t="shared" si="2"/>
        <v>6</v>
      </c>
      <c r="C95" s="24" t="s">
        <v>71</v>
      </c>
      <c r="D95" s="16" t="s">
        <v>52</v>
      </c>
      <c r="E95" s="16" t="s">
        <v>116</v>
      </c>
      <c r="F95" s="23">
        <v>58</v>
      </c>
      <c r="G95" s="16"/>
      <c r="H95" s="16"/>
    </row>
    <row r="96" spans="1:8" ht="15" customHeight="1" x14ac:dyDescent="0.25">
      <c r="A96" s="20">
        <v>46188</v>
      </c>
      <c r="B96" s="21">
        <f t="shared" si="2"/>
        <v>6</v>
      </c>
      <c r="C96" s="22" t="s">
        <v>67</v>
      </c>
      <c r="D96" s="16" t="s">
        <v>51</v>
      </c>
      <c r="E96" s="16" t="s">
        <v>75</v>
      </c>
      <c r="F96" s="23">
        <v>29.9</v>
      </c>
      <c r="G96" s="16"/>
      <c r="H96" s="16"/>
    </row>
    <row r="97" spans="1:8" ht="15" customHeight="1" x14ac:dyDescent="0.25">
      <c r="A97" s="20">
        <v>46190</v>
      </c>
      <c r="B97" s="21">
        <f t="shared" si="2"/>
        <v>6</v>
      </c>
      <c r="C97" s="24" t="s">
        <v>71</v>
      </c>
      <c r="D97" s="16" t="s">
        <v>47</v>
      </c>
      <c r="E97" s="16" t="s">
        <v>72</v>
      </c>
      <c r="F97" s="23">
        <v>47.8</v>
      </c>
      <c r="G97" s="16"/>
      <c r="H97" s="16"/>
    </row>
    <row r="98" spans="1:8" ht="15" customHeight="1" x14ac:dyDescent="0.25">
      <c r="A98" s="20">
        <v>46193</v>
      </c>
      <c r="B98" s="21">
        <f t="shared" si="2"/>
        <v>6</v>
      </c>
      <c r="C98" s="22" t="s">
        <v>67</v>
      </c>
      <c r="D98" s="16" t="s">
        <v>54</v>
      </c>
      <c r="E98" s="16" t="s">
        <v>78</v>
      </c>
      <c r="F98" s="23">
        <v>12.99</v>
      </c>
      <c r="G98" s="16"/>
      <c r="H98" s="16"/>
    </row>
    <row r="99" spans="1:8" ht="15" customHeight="1" x14ac:dyDescent="0.25">
      <c r="A99" s="20">
        <v>46193</v>
      </c>
      <c r="B99" s="21">
        <f t="shared" si="2"/>
        <v>6</v>
      </c>
      <c r="C99" s="22" t="s">
        <v>67</v>
      </c>
      <c r="D99" s="16" t="s">
        <v>54</v>
      </c>
      <c r="E99" s="16" t="s">
        <v>91</v>
      </c>
      <c r="F99" s="23">
        <v>9.99</v>
      </c>
      <c r="G99" s="16"/>
      <c r="H99" s="16"/>
    </row>
    <row r="100" spans="1:8" ht="15" customHeight="1" x14ac:dyDescent="0.25">
      <c r="A100" s="20">
        <v>46196</v>
      </c>
      <c r="B100" s="21">
        <f t="shared" si="2"/>
        <v>6</v>
      </c>
      <c r="C100" s="24" t="s">
        <v>71</v>
      </c>
      <c r="D100" s="16" t="s">
        <v>47</v>
      </c>
      <c r="E100" s="16" t="s">
        <v>74</v>
      </c>
      <c r="F100" s="23">
        <v>70.099999999999994</v>
      </c>
      <c r="G100" s="16"/>
      <c r="H100" s="16"/>
    </row>
    <row r="101" spans="1:8" ht="15" customHeight="1" x14ac:dyDescent="0.25">
      <c r="A101" s="20">
        <v>46200</v>
      </c>
      <c r="B101" s="21">
        <f t="shared" ref="B101:B132" si="3">IF(A101="","",MONTH(A101))</f>
        <v>6</v>
      </c>
      <c r="C101" s="22" t="s">
        <v>67</v>
      </c>
      <c r="D101" s="16" t="s">
        <v>49</v>
      </c>
      <c r="E101" s="16" t="s">
        <v>80</v>
      </c>
      <c r="F101" s="23">
        <v>54.6</v>
      </c>
      <c r="G101" s="16"/>
      <c r="H101" s="16"/>
    </row>
    <row r="102" spans="1:8" ht="15" customHeight="1" x14ac:dyDescent="0.25">
      <c r="A102" s="20">
        <v>46203</v>
      </c>
      <c r="B102" s="21">
        <f t="shared" si="3"/>
        <v>6</v>
      </c>
      <c r="C102" s="25" t="s">
        <v>81</v>
      </c>
      <c r="D102" s="16" t="s">
        <v>82</v>
      </c>
      <c r="E102" s="16" t="s">
        <v>117</v>
      </c>
      <c r="F102" s="23">
        <v>2920</v>
      </c>
      <c r="G102" s="16"/>
      <c r="H102" s="16" t="s">
        <v>118</v>
      </c>
    </row>
    <row r="103" spans="1:8" ht="15" customHeight="1" x14ac:dyDescent="0.25">
      <c r="A103" s="20">
        <v>46203</v>
      </c>
      <c r="B103" s="21">
        <f t="shared" si="3"/>
        <v>6</v>
      </c>
      <c r="C103" s="26" t="s">
        <v>84</v>
      </c>
      <c r="D103" s="16" t="s">
        <v>85</v>
      </c>
      <c r="E103" s="16" t="s">
        <v>86</v>
      </c>
      <c r="F103" s="23">
        <v>500</v>
      </c>
      <c r="G103" s="16" t="s">
        <v>87</v>
      </c>
      <c r="H103" s="16" t="s">
        <v>119</v>
      </c>
    </row>
    <row r="104" spans="1:8" ht="15" customHeight="1" x14ac:dyDescent="0.25">
      <c r="A104" s="20">
        <v>46203</v>
      </c>
      <c r="B104" s="21">
        <f t="shared" si="3"/>
        <v>6</v>
      </c>
      <c r="C104" s="26" t="s">
        <v>84</v>
      </c>
      <c r="D104" s="16" t="s">
        <v>85</v>
      </c>
      <c r="E104" s="16" t="s">
        <v>86</v>
      </c>
      <c r="F104" s="23">
        <v>300</v>
      </c>
      <c r="G104" s="16" t="s">
        <v>97</v>
      </c>
      <c r="H104" s="16" t="s">
        <v>119</v>
      </c>
    </row>
    <row r="105" spans="1:8" ht="15" customHeight="1" x14ac:dyDescent="0.25">
      <c r="A105" s="20">
        <v>46203</v>
      </c>
      <c r="B105" s="21">
        <f t="shared" si="3"/>
        <v>6</v>
      </c>
      <c r="C105" s="26" t="s">
        <v>84</v>
      </c>
      <c r="D105" s="16" t="s">
        <v>85</v>
      </c>
      <c r="E105" s="16" t="s">
        <v>86</v>
      </c>
      <c r="F105" s="23">
        <v>200</v>
      </c>
      <c r="G105" s="16" t="s">
        <v>113</v>
      </c>
      <c r="H105" s="16"/>
    </row>
    <row r="106" spans="1:8" ht="15" customHeight="1" x14ac:dyDescent="0.25">
      <c r="A106" s="27"/>
      <c r="B106" s="28" t="str">
        <f t="shared" si="3"/>
        <v/>
      </c>
      <c r="C106" s="29"/>
      <c r="D106" s="29"/>
      <c r="E106" s="29"/>
      <c r="F106" s="30"/>
      <c r="G106" s="29"/>
      <c r="H106" s="29"/>
    </row>
    <row r="107" spans="1:8" ht="15" customHeight="1" x14ac:dyDescent="0.25">
      <c r="A107" s="27"/>
      <c r="B107" s="28" t="str">
        <f t="shared" si="3"/>
        <v/>
      </c>
      <c r="C107" s="29"/>
      <c r="D107" s="29"/>
      <c r="E107" s="29"/>
      <c r="F107" s="30"/>
      <c r="G107" s="29"/>
      <c r="H107" s="29"/>
    </row>
    <row r="108" spans="1:8" ht="15" customHeight="1" x14ac:dyDescent="0.25">
      <c r="A108" s="27"/>
      <c r="B108" s="28" t="str">
        <f t="shared" si="3"/>
        <v/>
      </c>
      <c r="C108" s="29"/>
      <c r="D108" s="29"/>
      <c r="E108" s="29"/>
      <c r="F108" s="30"/>
      <c r="G108" s="29"/>
      <c r="H108" s="29"/>
    </row>
    <row r="109" spans="1:8" ht="15" customHeight="1" x14ac:dyDescent="0.25">
      <c r="A109" s="27"/>
      <c r="B109" s="28" t="str">
        <f t="shared" si="3"/>
        <v/>
      </c>
      <c r="C109" s="29"/>
      <c r="D109" s="29"/>
      <c r="E109" s="29"/>
      <c r="F109" s="30"/>
      <c r="G109" s="29"/>
      <c r="H109" s="29"/>
    </row>
    <row r="110" spans="1:8" ht="15" customHeight="1" x14ac:dyDescent="0.25">
      <c r="A110" s="27"/>
      <c r="B110" s="28" t="str">
        <f t="shared" si="3"/>
        <v/>
      </c>
      <c r="C110" s="29"/>
      <c r="D110" s="29"/>
      <c r="E110" s="29"/>
      <c r="F110" s="30"/>
      <c r="G110" s="29"/>
      <c r="H110" s="29"/>
    </row>
    <row r="111" spans="1:8" ht="15" customHeight="1" x14ac:dyDescent="0.25">
      <c r="A111" s="27"/>
      <c r="B111" s="28" t="str">
        <f t="shared" si="3"/>
        <v/>
      </c>
      <c r="C111" s="29"/>
      <c r="D111" s="29"/>
      <c r="E111" s="29"/>
      <c r="F111" s="30"/>
      <c r="G111" s="29"/>
      <c r="H111" s="29"/>
    </row>
    <row r="112" spans="1:8" ht="15" customHeight="1" x14ac:dyDescent="0.25">
      <c r="A112" s="27"/>
      <c r="B112" s="28" t="str">
        <f t="shared" si="3"/>
        <v/>
      </c>
      <c r="C112" s="29"/>
      <c r="D112" s="29"/>
      <c r="E112" s="29"/>
      <c r="F112" s="30"/>
      <c r="G112" s="29"/>
      <c r="H112" s="29"/>
    </row>
    <row r="113" spans="1:8" ht="15" customHeight="1" x14ac:dyDescent="0.25">
      <c r="A113" s="27"/>
      <c r="B113" s="28" t="str">
        <f t="shared" si="3"/>
        <v/>
      </c>
      <c r="C113" s="29"/>
      <c r="D113" s="29"/>
      <c r="E113" s="29"/>
      <c r="F113" s="30"/>
      <c r="G113" s="29"/>
      <c r="H113" s="29"/>
    </row>
    <row r="114" spans="1:8" ht="15" customHeight="1" x14ac:dyDescent="0.25">
      <c r="A114" s="27"/>
      <c r="B114" s="28" t="str">
        <f t="shared" si="3"/>
        <v/>
      </c>
      <c r="C114" s="29"/>
      <c r="D114" s="29"/>
      <c r="E114" s="29"/>
      <c r="F114" s="30"/>
      <c r="G114" s="29"/>
      <c r="H114" s="29"/>
    </row>
    <row r="115" spans="1:8" ht="15" customHeight="1" x14ac:dyDescent="0.25">
      <c r="A115" s="27"/>
      <c r="B115" s="28" t="str">
        <f t="shared" si="3"/>
        <v/>
      </c>
      <c r="C115" s="29"/>
      <c r="D115" s="29"/>
      <c r="E115" s="29"/>
      <c r="F115" s="30"/>
      <c r="G115" s="29"/>
      <c r="H115" s="29"/>
    </row>
    <row r="116" spans="1:8" ht="15" customHeight="1" x14ac:dyDescent="0.25">
      <c r="A116" s="27"/>
      <c r="B116" s="28" t="str">
        <f t="shared" si="3"/>
        <v/>
      </c>
      <c r="C116" s="29"/>
      <c r="D116" s="29"/>
      <c r="E116" s="29"/>
      <c r="F116" s="30"/>
      <c r="G116" s="29"/>
      <c r="H116" s="29"/>
    </row>
    <row r="117" spans="1:8" ht="15" customHeight="1" x14ac:dyDescent="0.25">
      <c r="A117" s="27"/>
      <c r="B117" s="28" t="str">
        <f t="shared" si="3"/>
        <v/>
      </c>
      <c r="C117" s="29"/>
      <c r="D117" s="29"/>
      <c r="E117" s="29"/>
      <c r="F117" s="30"/>
      <c r="G117" s="29"/>
      <c r="H117" s="29"/>
    </row>
    <row r="118" spans="1:8" ht="15" customHeight="1" x14ac:dyDescent="0.25">
      <c r="A118" s="27"/>
      <c r="B118" s="28" t="str">
        <f t="shared" si="3"/>
        <v/>
      </c>
      <c r="C118" s="29"/>
      <c r="D118" s="29"/>
      <c r="E118" s="29"/>
      <c r="F118" s="30"/>
      <c r="G118" s="29"/>
      <c r="H118" s="29"/>
    </row>
    <row r="119" spans="1:8" ht="15" customHeight="1" x14ac:dyDescent="0.25">
      <c r="A119" s="27"/>
      <c r="B119" s="28" t="str">
        <f t="shared" si="3"/>
        <v/>
      </c>
      <c r="C119" s="29"/>
      <c r="D119" s="29"/>
      <c r="E119" s="29"/>
      <c r="F119" s="30"/>
      <c r="G119" s="29"/>
      <c r="H119" s="29"/>
    </row>
    <row r="120" spans="1:8" ht="15" customHeight="1" x14ac:dyDescent="0.25">
      <c r="A120" s="27"/>
      <c r="B120" s="28" t="str">
        <f t="shared" si="3"/>
        <v/>
      </c>
      <c r="C120" s="29"/>
      <c r="D120" s="29"/>
      <c r="E120" s="29"/>
      <c r="F120" s="30"/>
      <c r="G120" s="29"/>
      <c r="H120" s="29"/>
    </row>
    <row r="121" spans="1:8" ht="15" customHeight="1" x14ac:dyDescent="0.25">
      <c r="A121" s="27"/>
      <c r="B121" s="28" t="str">
        <f t="shared" si="3"/>
        <v/>
      </c>
      <c r="C121" s="29"/>
      <c r="D121" s="29"/>
      <c r="E121" s="29"/>
      <c r="F121" s="30"/>
      <c r="G121" s="29"/>
      <c r="H121" s="29"/>
    </row>
    <row r="122" spans="1:8" ht="15" customHeight="1" x14ac:dyDescent="0.25">
      <c r="A122" s="27"/>
      <c r="B122" s="28" t="str">
        <f t="shared" si="3"/>
        <v/>
      </c>
      <c r="C122" s="29"/>
      <c r="D122" s="29"/>
      <c r="E122" s="29"/>
      <c r="F122" s="30"/>
      <c r="G122" s="29"/>
      <c r="H122" s="29"/>
    </row>
    <row r="123" spans="1:8" ht="15" customHeight="1" x14ac:dyDescent="0.25">
      <c r="A123" s="27"/>
      <c r="B123" s="28" t="str">
        <f t="shared" si="3"/>
        <v/>
      </c>
      <c r="C123" s="29"/>
      <c r="D123" s="29"/>
      <c r="E123" s="29"/>
      <c r="F123" s="30"/>
      <c r="G123" s="29"/>
      <c r="H123" s="29"/>
    </row>
    <row r="124" spans="1:8" ht="15" customHeight="1" x14ac:dyDescent="0.25">
      <c r="A124" s="27"/>
      <c r="B124" s="28" t="str">
        <f t="shared" si="3"/>
        <v/>
      </c>
      <c r="C124" s="29"/>
      <c r="D124" s="29"/>
      <c r="E124" s="29"/>
      <c r="F124" s="30"/>
      <c r="G124" s="29"/>
      <c r="H124" s="29"/>
    </row>
    <row r="125" spans="1:8" ht="15" customHeight="1" x14ac:dyDescent="0.25">
      <c r="A125" s="27"/>
      <c r="B125" s="28" t="str">
        <f t="shared" si="3"/>
        <v/>
      </c>
      <c r="C125" s="29"/>
      <c r="D125" s="29"/>
      <c r="E125" s="29"/>
      <c r="F125" s="30"/>
      <c r="G125" s="29"/>
      <c r="H125" s="29"/>
    </row>
    <row r="126" spans="1:8" ht="15" customHeight="1" x14ac:dyDescent="0.25">
      <c r="A126" s="27"/>
      <c r="B126" s="28" t="str">
        <f t="shared" si="3"/>
        <v/>
      </c>
      <c r="C126" s="29"/>
      <c r="D126" s="29"/>
      <c r="E126" s="29"/>
      <c r="F126" s="30"/>
      <c r="G126" s="29"/>
      <c r="H126" s="29"/>
    </row>
    <row r="127" spans="1:8" ht="15" customHeight="1" x14ac:dyDescent="0.25">
      <c r="A127" s="27"/>
      <c r="B127" s="28" t="str">
        <f t="shared" si="3"/>
        <v/>
      </c>
      <c r="C127" s="29"/>
      <c r="D127" s="29"/>
      <c r="E127" s="29"/>
      <c r="F127" s="30"/>
      <c r="G127" s="29"/>
      <c r="H127" s="29"/>
    </row>
    <row r="128" spans="1:8" ht="15" customHeight="1" x14ac:dyDescent="0.25">
      <c r="A128" s="27"/>
      <c r="B128" s="28" t="str">
        <f t="shared" si="3"/>
        <v/>
      </c>
      <c r="C128" s="29"/>
      <c r="D128" s="29"/>
      <c r="E128" s="29"/>
      <c r="F128" s="30"/>
      <c r="G128" s="29"/>
      <c r="H128" s="29"/>
    </row>
    <row r="129" spans="1:8" ht="15" customHeight="1" x14ac:dyDescent="0.25">
      <c r="A129" s="27"/>
      <c r="B129" s="28" t="str">
        <f t="shared" si="3"/>
        <v/>
      </c>
      <c r="C129" s="29"/>
      <c r="D129" s="29"/>
      <c r="E129" s="29"/>
      <c r="F129" s="30"/>
      <c r="G129" s="29"/>
      <c r="H129" s="29"/>
    </row>
    <row r="130" spans="1:8" ht="15" customHeight="1" x14ac:dyDescent="0.25">
      <c r="A130" s="27"/>
      <c r="B130" s="28" t="str">
        <f t="shared" si="3"/>
        <v/>
      </c>
      <c r="C130" s="29"/>
      <c r="D130" s="29"/>
      <c r="E130" s="29"/>
      <c r="F130" s="30"/>
      <c r="G130" s="29"/>
      <c r="H130" s="29"/>
    </row>
    <row r="131" spans="1:8" ht="15" customHeight="1" x14ac:dyDescent="0.25">
      <c r="A131" s="27"/>
      <c r="B131" s="28" t="str">
        <f t="shared" si="3"/>
        <v/>
      </c>
      <c r="C131" s="29"/>
      <c r="D131" s="29"/>
      <c r="E131" s="29"/>
      <c r="F131" s="30"/>
      <c r="G131" s="29"/>
      <c r="H131" s="29"/>
    </row>
    <row r="132" spans="1:8" ht="15" customHeight="1" x14ac:dyDescent="0.25">
      <c r="A132" s="27"/>
      <c r="B132" s="28" t="str">
        <f t="shared" si="3"/>
        <v/>
      </c>
      <c r="C132" s="29"/>
      <c r="D132" s="29"/>
      <c r="E132" s="29"/>
      <c r="F132" s="30"/>
      <c r="G132" s="29"/>
      <c r="H132" s="29"/>
    </row>
    <row r="133" spans="1:8" ht="15" customHeight="1" x14ac:dyDescent="0.25">
      <c r="A133" s="27"/>
      <c r="B133" s="28" t="str">
        <f t="shared" ref="B133:B164" si="4">IF(A133="","",MONTH(A133))</f>
        <v/>
      </c>
      <c r="C133" s="29"/>
      <c r="D133" s="29"/>
      <c r="E133" s="29"/>
      <c r="F133" s="30"/>
      <c r="G133" s="29"/>
      <c r="H133" s="29"/>
    </row>
    <row r="134" spans="1:8" ht="15" customHeight="1" x14ac:dyDescent="0.25">
      <c r="A134" s="27"/>
      <c r="B134" s="28" t="str">
        <f t="shared" si="4"/>
        <v/>
      </c>
      <c r="C134" s="29"/>
      <c r="D134" s="29"/>
      <c r="E134" s="29"/>
      <c r="F134" s="30"/>
      <c r="G134" s="29"/>
      <c r="H134" s="29"/>
    </row>
    <row r="135" spans="1:8" ht="15" customHeight="1" x14ac:dyDescent="0.25">
      <c r="A135" s="27"/>
      <c r="B135" s="28" t="str">
        <f t="shared" si="4"/>
        <v/>
      </c>
      <c r="C135" s="29"/>
      <c r="D135" s="29"/>
      <c r="E135" s="29"/>
      <c r="F135" s="30"/>
      <c r="G135" s="29"/>
      <c r="H135" s="29"/>
    </row>
    <row r="136" spans="1:8" ht="15" customHeight="1" x14ac:dyDescent="0.25">
      <c r="A136" s="27"/>
      <c r="B136" s="28" t="str">
        <f t="shared" si="4"/>
        <v/>
      </c>
      <c r="C136" s="29"/>
      <c r="D136" s="29"/>
      <c r="E136" s="29"/>
      <c r="F136" s="30"/>
      <c r="G136" s="29"/>
      <c r="H136" s="29"/>
    </row>
    <row r="137" spans="1:8" ht="15" customHeight="1" x14ac:dyDescent="0.25">
      <c r="A137" s="27"/>
      <c r="B137" s="28" t="str">
        <f t="shared" si="4"/>
        <v/>
      </c>
      <c r="C137" s="29"/>
      <c r="D137" s="29"/>
      <c r="E137" s="29"/>
      <c r="F137" s="30"/>
      <c r="G137" s="29"/>
      <c r="H137" s="29"/>
    </row>
    <row r="138" spans="1:8" ht="15" customHeight="1" x14ac:dyDescent="0.25">
      <c r="A138" s="27"/>
      <c r="B138" s="28" t="str">
        <f t="shared" si="4"/>
        <v/>
      </c>
      <c r="C138" s="29"/>
      <c r="D138" s="29"/>
      <c r="E138" s="29"/>
      <c r="F138" s="30"/>
      <c r="G138" s="29"/>
      <c r="H138" s="29"/>
    </row>
    <row r="139" spans="1:8" ht="15" customHeight="1" x14ac:dyDescent="0.25">
      <c r="A139" s="27"/>
      <c r="B139" s="28" t="str">
        <f t="shared" si="4"/>
        <v/>
      </c>
      <c r="C139" s="29"/>
      <c r="D139" s="29"/>
      <c r="E139" s="29"/>
      <c r="F139" s="30"/>
      <c r="G139" s="29"/>
      <c r="H139" s="29"/>
    </row>
    <row r="140" spans="1:8" ht="15" customHeight="1" x14ac:dyDescent="0.25">
      <c r="A140" s="27"/>
      <c r="B140" s="28" t="str">
        <f t="shared" si="4"/>
        <v/>
      </c>
      <c r="C140" s="29"/>
      <c r="D140" s="29"/>
      <c r="E140" s="29"/>
      <c r="F140" s="30"/>
      <c r="G140" s="29"/>
      <c r="H140" s="29"/>
    </row>
    <row r="141" spans="1:8" ht="15" customHeight="1" x14ac:dyDescent="0.25">
      <c r="A141" s="27"/>
      <c r="B141" s="28" t="str">
        <f t="shared" si="4"/>
        <v/>
      </c>
      <c r="C141" s="29"/>
      <c r="D141" s="29"/>
      <c r="E141" s="29"/>
      <c r="F141" s="30"/>
      <c r="G141" s="29"/>
      <c r="H141" s="29"/>
    </row>
    <row r="142" spans="1:8" ht="15" customHeight="1" x14ac:dyDescent="0.25">
      <c r="A142" s="27"/>
      <c r="B142" s="28" t="str">
        <f t="shared" si="4"/>
        <v/>
      </c>
      <c r="C142" s="29"/>
      <c r="D142" s="29"/>
      <c r="E142" s="29"/>
      <c r="F142" s="30"/>
      <c r="G142" s="29"/>
      <c r="H142" s="29"/>
    </row>
    <row r="143" spans="1:8" ht="15" customHeight="1" x14ac:dyDescent="0.25">
      <c r="A143" s="27"/>
      <c r="B143" s="28" t="str">
        <f t="shared" si="4"/>
        <v/>
      </c>
      <c r="C143" s="29"/>
      <c r="D143" s="29"/>
      <c r="E143" s="29"/>
      <c r="F143" s="30"/>
      <c r="G143" s="29"/>
      <c r="H143" s="29"/>
    </row>
    <row r="144" spans="1:8" ht="15" customHeight="1" x14ac:dyDescent="0.25">
      <c r="A144" s="27"/>
      <c r="B144" s="28" t="str">
        <f t="shared" si="4"/>
        <v/>
      </c>
      <c r="C144" s="29"/>
      <c r="D144" s="29"/>
      <c r="E144" s="29"/>
      <c r="F144" s="30"/>
      <c r="G144" s="29"/>
      <c r="H144" s="29"/>
    </row>
    <row r="145" spans="1:8" ht="15" customHeight="1" x14ac:dyDescent="0.25">
      <c r="A145" s="27"/>
      <c r="B145" s="28" t="str">
        <f t="shared" si="4"/>
        <v/>
      </c>
      <c r="C145" s="29"/>
      <c r="D145" s="29"/>
      <c r="E145" s="29"/>
      <c r="F145" s="30"/>
      <c r="G145" s="29"/>
      <c r="H145" s="29"/>
    </row>
    <row r="146" spans="1:8" ht="15" customHeight="1" x14ac:dyDescent="0.25">
      <c r="A146" s="27"/>
      <c r="B146" s="28" t="str">
        <f t="shared" si="4"/>
        <v/>
      </c>
      <c r="C146" s="29"/>
      <c r="D146" s="29"/>
      <c r="E146" s="29"/>
      <c r="F146" s="30"/>
      <c r="G146" s="29"/>
      <c r="H146" s="29"/>
    </row>
    <row r="147" spans="1:8" ht="15" customHeight="1" x14ac:dyDescent="0.25">
      <c r="A147" s="27"/>
      <c r="B147" s="28" t="str">
        <f t="shared" si="4"/>
        <v/>
      </c>
      <c r="C147" s="29"/>
      <c r="D147" s="29"/>
      <c r="E147" s="29"/>
      <c r="F147" s="30"/>
      <c r="G147" s="29"/>
      <c r="H147" s="29"/>
    </row>
    <row r="148" spans="1:8" ht="15" customHeight="1" x14ac:dyDescent="0.25">
      <c r="A148" s="27"/>
      <c r="B148" s="28" t="str">
        <f t="shared" si="4"/>
        <v/>
      </c>
      <c r="C148" s="29"/>
      <c r="D148" s="29"/>
      <c r="E148" s="29"/>
      <c r="F148" s="30"/>
      <c r="G148" s="29"/>
      <c r="H148" s="29"/>
    </row>
    <row r="149" spans="1:8" ht="15" customHeight="1" x14ac:dyDescent="0.25">
      <c r="A149" s="27"/>
      <c r="B149" s="28" t="str">
        <f t="shared" si="4"/>
        <v/>
      </c>
      <c r="C149" s="29"/>
      <c r="D149" s="29"/>
      <c r="E149" s="29"/>
      <c r="F149" s="30"/>
      <c r="G149" s="29"/>
      <c r="H149" s="29"/>
    </row>
    <row r="150" spans="1:8" ht="15" customHeight="1" x14ac:dyDescent="0.25">
      <c r="A150" s="27"/>
      <c r="B150" s="28" t="str">
        <f t="shared" si="4"/>
        <v/>
      </c>
      <c r="C150" s="29"/>
      <c r="D150" s="29"/>
      <c r="E150" s="29"/>
      <c r="F150" s="30"/>
      <c r="G150" s="29"/>
      <c r="H150" s="29"/>
    </row>
    <row r="151" spans="1:8" ht="15" customHeight="1" x14ac:dyDescent="0.25">
      <c r="A151" s="27"/>
      <c r="B151" s="28" t="str">
        <f t="shared" si="4"/>
        <v/>
      </c>
      <c r="C151" s="29"/>
      <c r="D151" s="29"/>
      <c r="E151" s="29"/>
      <c r="F151" s="30"/>
      <c r="G151" s="29"/>
      <c r="H151" s="29"/>
    </row>
    <row r="152" spans="1:8" ht="15" customHeight="1" x14ac:dyDescent="0.25">
      <c r="A152" s="27"/>
      <c r="B152" s="28" t="str">
        <f t="shared" si="4"/>
        <v/>
      </c>
      <c r="C152" s="29"/>
      <c r="D152" s="29"/>
      <c r="E152" s="29"/>
      <c r="F152" s="30"/>
      <c r="G152" s="29"/>
      <c r="H152" s="29"/>
    </row>
    <row r="153" spans="1:8" ht="15" customHeight="1" x14ac:dyDescent="0.25">
      <c r="A153" s="27"/>
      <c r="B153" s="28" t="str">
        <f t="shared" si="4"/>
        <v/>
      </c>
      <c r="C153" s="29"/>
      <c r="D153" s="29"/>
      <c r="E153" s="29"/>
      <c r="F153" s="30"/>
      <c r="G153" s="29"/>
      <c r="H153" s="29"/>
    </row>
    <row r="154" spans="1:8" ht="15" customHeight="1" x14ac:dyDescent="0.25">
      <c r="A154" s="27"/>
      <c r="B154" s="28" t="str">
        <f t="shared" si="4"/>
        <v/>
      </c>
      <c r="C154" s="29"/>
      <c r="D154" s="29"/>
      <c r="E154" s="29"/>
      <c r="F154" s="30"/>
      <c r="G154" s="29"/>
      <c r="H154" s="29"/>
    </row>
    <row r="155" spans="1:8" ht="15" customHeight="1" x14ac:dyDescent="0.25">
      <c r="A155" s="27"/>
      <c r="B155" s="28" t="str">
        <f t="shared" si="4"/>
        <v/>
      </c>
      <c r="C155" s="29"/>
      <c r="D155" s="29"/>
      <c r="E155" s="29"/>
      <c r="F155" s="30"/>
      <c r="G155" s="29"/>
      <c r="H155" s="29"/>
    </row>
    <row r="156" spans="1:8" ht="15" customHeight="1" x14ac:dyDescent="0.25">
      <c r="A156" s="27"/>
      <c r="B156" s="28" t="str">
        <f t="shared" si="4"/>
        <v/>
      </c>
      <c r="C156" s="29"/>
      <c r="D156" s="29"/>
      <c r="E156" s="29"/>
      <c r="F156" s="30"/>
      <c r="G156" s="29"/>
      <c r="H156" s="29"/>
    </row>
    <row r="157" spans="1:8" ht="15" customHeight="1" x14ac:dyDescent="0.25">
      <c r="A157" s="27"/>
      <c r="B157" s="28" t="str">
        <f t="shared" si="4"/>
        <v/>
      </c>
      <c r="C157" s="29"/>
      <c r="D157" s="29"/>
      <c r="E157" s="29"/>
      <c r="F157" s="30"/>
      <c r="G157" s="29"/>
      <c r="H157" s="29"/>
    </row>
    <row r="158" spans="1:8" ht="15" customHeight="1" x14ac:dyDescent="0.25">
      <c r="A158" s="27"/>
      <c r="B158" s="28" t="str">
        <f t="shared" si="4"/>
        <v/>
      </c>
      <c r="C158" s="29"/>
      <c r="D158" s="29"/>
      <c r="E158" s="29"/>
      <c r="F158" s="30"/>
      <c r="G158" s="29"/>
      <c r="H158" s="29"/>
    </row>
    <row r="159" spans="1:8" ht="15" customHeight="1" x14ac:dyDescent="0.25">
      <c r="A159" s="27"/>
      <c r="B159" s="28" t="str">
        <f t="shared" si="4"/>
        <v/>
      </c>
      <c r="C159" s="29"/>
      <c r="D159" s="29"/>
      <c r="E159" s="29"/>
      <c r="F159" s="30"/>
      <c r="G159" s="29"/>
      <c r="H159" s="29"/>
    </row>
    <row r="160" spans="1:8" ht="15" customHeight="1" x14ac:dyDescent="0.25">
      <c r="A160" s="27"/>
      <c r="B160" s="28" t="str">
        <f t="shared" si="4"/>
        <v/>
      </c>
      <c r="C160" s="29"/>
      <c r="D160" s="29"/>
      <c r="E160" s="29"/>
      <c r="F160" s="30"/>
      <c r="G160" s="29"/>
      <c r="H160" s="29"/>
    </row>
    <row r="161" spans="1:8" ht="15" customHeight="1" x14ac:dyDescent="0.25">
      <c r="A161" s="27"/>
      <c r="B161" s="28" t="str">
        <f t="shared" si="4"/>
        <v/>
      </c>
      <c r="C161" s="29"/>
      <c r="D161" s="29"/>
      <c r="E161" s="29"/>
      <c r="F161" s="30"/>
      <c r="G161" s="29"/>
      <c r="H161" s="29"/>
    </row>
    <row r="162" spans="1:8" ht="15" customHeight="1" x14ac:dyDescent="0.25">
      <c r="A162" s="27"/>
      <c r="B162" s="28" t="str">
        <f t="shared" si="4"/>
        <v/>
      </c>
      <c r="C162" s="29"/>
      <c r="D162" s="29"/>
      <c r="E162" s="29"/>
      <c r="F162" s="30"/>
      <c r="G162" s="29"/>
      <c r="H162" s="29"/>
    </row>
    <row r="163" spans="1:8" ht="15" customHeight="1" x14ac:dyDescent="0.25">
      <c r="A163" s="27"/>
      <c r="B163" s="28" t="str">
        <f t="shared" si="4"/>
        <v/>
      </c>
      <c r="C163" s="29"/>
      <c r="D163" s="29"/>
      <c r="E163" s="29"/>
      <c r="F163" s="30"/>
      <c r="G163" s="29"/>
      <c r="H163" s="29"/>
    </row>
    <row r="164" spans="1:8" ht="15" customHeight="1" x14ac:dyDescent="0.25">
      <c r="A164" s="27"/>
      <c r="B164" s="28" t="str">
        <f t="shared" si="4"/>
        <v/>
      </c>
      <c r="C164" s="29"/>
      <c r="D164" s="29"/>
      <c r="E164" s="29"/>
      <c r="F164" s="30"/>
      <c r="G164" s="29"/>
      <c r="H164" s="29"/>
    </row>
    <row r="165" spans="1:8" ht="15" customHeight="1" x14ac:dyDescent="0.25">
      <c r="A165" s="27"/>
      <c r="B165" s="28" t="str">
        <f t="shared" ref="B165:B196" si="5">IF(A165="","",MONTH(A165))</f>
        <v/>
      </c>
      <c r="C165" s="29"/>
      <c r="D165" s="29"/>
      <c r="E165" s="29"/>
      <c r="F165" s="30"/>
      <c r="G165" s="29"/>
      <c r="H165" s="29"/>
    </row>
  </sheetData>
  <autoFilter ref="A4:H105" xr:uid="{00000000-0009-0000-0000-000001000000}"/>
  <mergeCells count="2">
    <mergeCell ref="A1:H1"/>
    <mergeCell ref="A2:H2"/>
  </mergeCells>
  <dataValidations count="3">
    <dataValidation type="list" allowBlank="1" errorTitle="Tipo de movimiento" error="Tipo no válido" promptTitle="Tipo" prompt="Elige: Ingreso, Gasto fijo, Gasto variable o Aportación meta" sqref="C5:C165" xr:uid="{00000000-0002-0000-0100-000000000000}">
      <formula1>"Ingreso,Gasto fijo,Gasto variable,Aportación meta"</formula1>
      <formula2>0</formula2>
    </dataValidation>
    <dataValidation type="list" allowBlank="1" promptTitle="Categoría" prompt="Elige una categoría de la lista" sqref="D5:D165" xr:uid="{00000000-0002-0000-0100-000001000000}">
      <formula1>"Vivienda,Suministros,Alimentación,Transporte,Salud,Ocio,Ropa,Suscripciones,Formación,Hogar,Regalos,Salario,Extras,Aportación"</formula1>
      <formula2>0</formula2>
    </dataValidation>
    <dataValidation type="list" allowBlank="1" promptTitle="Meta asignada" prompt="Si es Aportación meta, asígnala aquí" sqref="G5:G165" xr:uid="{00000000-0002-0000-0100-000002000000}">
      <formula1>"Fondo de emergencia,Viaje a Japón 2027,Cambio de coche,Curso de fotografía"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13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26" customWidth="1"/>
    <col min="3" max="3" width="13" customWidth="1"/>
    <col min="4" max="5" width="12" customWidth="1"/>
    <col min="6" max="7" width="13" customWidth="1"/>
    <col min="8" max="8" width="11" customWidth="1"/>
    <col min="9" max="10" width="13" customWidth="1"/>
    <col min="11" max="11" width="22" customWidth="1"/>
    <col min="12" max="12" width="2" customWidth="1"/>
  </cols>
  <sheetData>
    <row r="2" spans="2:12" ht="31.5" customHeight="1" x14ac:dyDescent="0.25">
      <c r="B2" s="2" t="s">
        <v>120</v>
      </c>
      <c r="C2" s="2"/>
      <c r="D2" s="2"/>
      <c r="E2" s="2"/>
      <c r="F2" s="2"/>
      <c r="G2" s="2"/>
      <c r="H2" s="2"/>
      <c r="I2" s="2"/>
      <c r="J2" s="2"/>
      <c r="K2" s="2"/>
    </row>
    <row r="3" spans="2:12" ht="18" customHeight="1" x14ac:dyDescent="0.25">
      <c r="B3" s="1" t="s">
        <v>121</v>
      </c>
      <c r="C3" s="1"/>
      <c r="D3" s="1"/>
      <c r="E3" s="1"/>
      <c r="F3" s="1"/>
      <c r="G3" s="1"/>
      <c r="H3" s="1"/>
      <c r="I3" s="1"/>
      <c r="J3" s="1"/>
      <c r="K3" s="1"/>
    </row>
    <row r="5" spans="2:12" ht="36" customHeight="1" x14ac:dyDescent="0.25">
      <c r="B5" s="31" t="s">
        <v>122</v>
      </c>
      <c r="C5" s="31" t="s">
        <v>123</v>
      </c>
      <c r="D5" s="31" t="s">
        <v>124</v>
      </c>
      <c r="E5" s="31" t="s">
        <v>125</v>
      </c>
      <c r="F5" s="31" t="s">
        <v>126</v>
      </c>
      <c r="G5" s="31" t="s">
        <v>127</v>
      </c>
      <c r="H5" s="31" t="s">
        <v>128</v>
      </c>
      <c r="I5" s="31" t="s">
        <v>129</v>
      </c>
      <c r="J5" s="31" t="s">
        <v>130</v>
      </c>
      <c r="K5" s="31" t="s">
        <v>131</v>
      </c>
      <c r="L5" s="31" t="s">
        <v>132</v>
      </c>
    </row>
    <row r="6" spans="2:12" ht="24" customHeight="1" x14ac:dyDescent="0.25">
      <c r="B6" s="32" t="s">
        <v>87</v>
      </c>
      <c r="C6" s="23">
        <v>3000</v>
      </c>
      <c r="D6" s="20">
        <v>46023</v>
      </c>
      <c r="E6" s="20">
        <v>46387</v>
      </c>
      <c r="F6" s="33">
        <f ca="1">IFERROR(IF(E6&lt;TODAY(),0,DATEDIF(TODAY(),E6,"m")),0)</f>
        <v>6</v>
      </c>
      <c r="G6" s="23">
        <f>SUMIFS(Movimientos!F:F,Movimientos!C:C,"Aportación meta",Movimientos!G:G,B6)</f>
        <v>1900</v>
      </c>
      <c r="H6" s="23">
        <f>MAX(0,C6-G6)</f>
        <v>1100</v>
      </c>
      <c r="I6" s="34">
        <f>IFERROR(MIN(1,G6/C6),0)</f>
        <v>0.6333333333333333</v>
      </c>
      <c r="J6" s="23">
        <f ca="1">IF(I6&gt;=1,0,IF(F6=0,H6,H6/F6))</f>
        <v>183.33333333333334</v>
      </c>
      <c r="K6" s="35" t="str">
        <f ca="1">IF(I6&gt;=1,"✓ Conseguida",IF(TODAY()&gt;E6,"✗ Plazo vencido",IF(I6&gt;=0.66,"En ruta",IF(I6&gt;=0.33,"A medias","Inicio"))))</f>
        <v>A medias</v>
      </c>
      <c r="L6" s="36" t="str">
        <f>REPT("█",ROUND(I6*20,0))&amp;REPT("░",20-ROUND(I6*20,0))</f>
        <v>█████████████░░░░░░░</v>
      </c>
    </row>
    <row r="7" spans="2:12" ht="24" customHeight="1" x14ac:dyDescent="0.25">
      <c r="B7" s="32" t="s">
        <v>97</v>
      </c>
      <c r="C7" s="23">
        <v>2500</v>
      </c>
      <c r="D7" s="20">
        <v>46054</v>
      </c>
      <c r="E7" s="20">
        <v>46568</v>
      </c>
      <c r="F7" s="33">
        <f ca="1">IFERROR(IF(E7&lt;TODAY(),0,DATEDIF(TODAY(),E7,"m")),0)</f>
        <v>12</v>
      </c>
      <c r="G7" s="23">
        <f>SUMIFS(Movimientos!F:F,Movimientos!C:C,"Aportación meta",Movimientos!G:G,B7)</f>
        <v>800</v>
      </c>
      <c r="H7" s="23">
        <f>MAX(0,C7-G7)</f>
        <v>1700</v>
      </c>
      <c r="I7" s="34">
        <f>IFERROR(MIN(1,G7/C7),0)</f>
        <v>0.32</v>
      </c>
      <c r="J7" s="23">
        <f ca="1">IF(I7&gt;=1,0,IF(F7=0,H7,H7/F7))</f>
        <v>141.66666666666666</v>
      </c>
      <c r="K7" s="35" t="str">
        <f ca="1">IF(I7&gt;=1,"✓ Conseguida",IF(TODAY()&gt;E7,"✗ Plazo vencido",IF(I7&gt;=0.66,"En ruta",IF(I7&gt;=0.33,"A medias","Inicio"))))</f>
        <v>Inicio</v>
      </c>
      <c r="L7" s="36" t="str">
        <f>REPT("█",ROUND(I7*20,0))&amp;REPT("░",20-ROUND(I7*20,0))</f>
        <v>██████░░░░░░░░░░░░░░</v>
      </c>
    </row>
    <row r="8" spans="2:12" ht="24" customHeight="1" x14ac:dyDescent="0.25">
      <c r="B8" s="32" t="s">
        <v>113</v>
      </c>
      <c r="C8" s="23">
        <v>4000</v>
      </c>
      <c r="D8" s="20">
        <v>46143</v>
      </c>
      <c r="E8" s="20">
        <v>46752</v>
      </c>
      <c r="F8" s="33">
        <f ca="1">IFERROR(IF(E8&lt;TODAY(),0,DATEDIF(TODAY(),E8,"m")),0)</f>
        <v>18</v>
      </c>
      <c r="G8" s="23">
        <f>SUMIFS(Movimientos!F:F,Movimientos!C:C,"Aportación meta",Movimientos!G:G,B8)</f>
        <v>300</v>
      </c>
      <c r="H8" s="23">
        <f>MAX(0,C8-G8)</f>
        <v>3700</v>
      </c>
      <c r="I8" s="34">
        <f>IFERROR(MIN(1,G8/C8),0)</f>
        <v>7.4999999999999997E-2</v>
      </c>
      <c r="J8" s="23">
        <f ca="1">IF(I8&gt;=1,0,IF(F8=0,H8,H8/F8))</f>
        <v>205.55555555555554</v>
      </c>
      <c r="K8" s="35" t="str">
        <f ca="1">IF(I8&gt;=1,"✓ Conseguida",IF(TODAY()&gt;E8,"✗ Plazo vencido",IF(I8&gt;=0.66,"En ruta",IF(I8&gt;=0.33,"A medias","Inicio"))))</f>
        <v>Inicio</v>
      </c>
      <c r="L8" s="36" t="str">
        <f>REPT("█",ROUND(I8*20,0))&amp;REPT("░",20-ROUND(I8*20,0))</f>
        <v>██░░░░░░░░░░░░░░░░░░</v>
      </c>
    </row>
    <row r="9" spans="2:12" ht="24" customHeight="1" x14ac:dyDescent="0.25">
      <c r="B9" s="32" t="s">
        <v>133</v>
      </c>
      <c r="C9" s="23">
        <v>450</v>
      </c>
      <c r="D9" s="20">
        <v>46023</v>
      </c>
      <c r="E9" s="20">
        <v>46112</v>
      </c>
      <c r="F9" s="33">
        <f ca="1">IFERROR(IF(E9&lt;TODAY(),0,DATEDIF(TODAY(),E9,"m")),0)</f>
        <v>0</v>
      </c>
      <c r="G9" s="23">
        <f>SUMIFS(Movimientos!F:F,Movimientos!C:C,"Aportación meta",Movimientos!G:G,B9)</f>
        <v>0</v>
      </c>
      <c r="H9" s="23">
        <f>MAX(0,C9-G9)</f>
        <v>450</v>
      </c>
      <c r="I9" s="34">
        <f>IFERROR(MIN(1,G9/C9),0)</f>
        <v>0</v>
      </c>
      <c r="J9" s="23">
        <f ca="1">IF(I9&gt;=1,0,IF(F9=0,H9,H9/F9))</f>
        <v>450</v>
      </c>
      <c r="K9" s="35" t="str">
        <f ca="1">IF(I9&gt;=1,"✓ Conseguida",IF(TODAY()&gt;E9,"✗ Plazo vencido",IF(I9&gt;=0.66,"En ruta",IF(I9&gt;=0.33,"A medias","Inicio"))))</f>
        <v>✗ Plazo vencido</v>
      </c>
      <c r="L9" s="36" t="str">
        <f>REPT("█",ROUND(I9*20,0))&amp;REPT("░",20-ROUND(I9*20,0))</f>
        <v>░░░░░░░░░░░░░░░░░░░░</v>
      </c>
    </row>
    <row r="10" spans="2:12" ht="15" customHeight="1" x14ac:dyDescent="0.25">
      <c r="B10" s="18" t="s">
        <v>134</v>
      </c>
      <c r="C10" s="19">
        <f>SUM(C6:C9)</f>
        <v>9950</v>
      </c>
      <c r="D10" s="18"/>
      <c r="E10" s="18"/>
      <c r="F10" s="18"/>
      <c r="G10" s="19">
        <f>SUM(G6:G9)</f>
        <v>3000</v>
      </c>
      <c r="H10" s="19">
        <f>SUM(H6:H9)</f>
        <v>6950</v>
      </c>
      <c r="I10" s="14">
        <f>IFERROR(G10/C10,0)</f>
        <v>0.30150753768844218</v>
      </c>
      <c r="J10" s="18"/>
      <c r="K10" s="18"/>
      <c r="L10" s="18"/>
    </row>
    <row r="12" spans="2:12" ht="15" customHeight="1" x14ac:dyDescent="0.25">
      <c r="B12" s="4" t="s">
        <v>135</v>
      </c>
      <c r="C12" s="4"/>
      <c r="D12" s="4"/>
      <c r="E12" s="4"/>
      <c r="F12" s="4"/>
      <c r="G12" s="4"/>
      <c r="H12" s="4"/>
      <c r="I12" s="4"/>
      <c r="J12" s="4"/>
      <c r="K12" s="4"/>
    </row>
    <row r="13" spans="2:12" ht="25.5" customHeight="1" x14ac:dyDescent="0.25">
      <c r="B13" s="37" t="s">
        <v>136</v>
      </c>
      <c r="C13" s="38">
        <f>SUM(C6:C9)</f>
        <v>9950</v>
      </c>
      <c r="D13" s="37" t="s">
        <v>137</v>
      </c>
      <c r="E13" s="38">
        <f>SUM(G6:G9)</f>
        <v>3000</v>
      </c>
      <c r="F13" s="37" t="s">
        <v>138</v>
      </c>
      <c r="G13" s="38">
        <f>SUM(H6:H9)</f>
        <v>6950</v>
      </c>
      <c r="H13" s="37" t="s">
        <v>139</v>
      </c>
      <c r="I13" s="39">
        <f>IFERROR(SUM(G6:G9)/SUM(C6:C9),0)</f>
        <v>0.30150753768844218</v>
      </c>
      <c r="J13" s="37" t="s">
        <v>140</v>
      </c>
      <c r="K13" s="40">
        <f>COUNTIF(L6:L9,"*Conseguida*")</f>
        <v>0</v>
      </c>
    </row>
  </sheetData>
  <mergeCells count="3">
    <mergeCell ref="B2:K2"/>
    <mergeCell ref="B3:K3"/>
    <mergeCell ref="B12:K12"/>
  </mergeCells>
  <conditionalFormatting sqref="L6:L9">
    <cfRule type="expression" dxfId="4" priority="2">
      <formula>ISNUMBER(SEARCH("Conseguida",L6))</formula>
    </cfRule>
    <cfRule type="expression" dxfId="3" priority="3">
      <formula>ISNUMBER(SEARCH("En ruta",L6))</formula>
    </cfRule>
    <cfRule type="expression" dxfId="2" priority="4">
      <formula>ISNUMBER(SEARCH("A medias",L6))</formula>
    </cfRule>
    <cfRule type="expression" dxfId="1" priority="5">
      <formula>ISNUMBER(SEARCH("Inicio",L6))</formula>
    </cfRule>
    <cfRule type="expression" dxfId="0" priority="6">
      <formula>ISNUMBER(SEARCH("vencido",L6))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Panel</vt:lpstr>
      <vt:lpstr>Movimientos</vt:lpstr>
      <vt:lpstr>Metas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2026-06-11T08:38:02Z</dcterms:created>
  <dcterms:modified xsi:type="dcterms:W3CDTF">2026-06-11T10:02:54Z</dcterms:modified>
  <dc:language>en-US</dc:language>
</cp:coreProperties>
</file>