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illa de turnos de enfermería\"/>
    </mc:Choice>
  </mc:AlternateContent>
  <xr:revisionPtr revIDLastSave="0" documentId="13_ncr:1_{A6814F57-0A29-4C65-94F6-422362033B44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Dashboard" sheetId="5" r:id="rId1"/>
    <sheet name="Configuración" sheetId="1" r:id="rId2"/>
    <sheet name="Análisis FODA" sheetId="2" r:id="rId3"/>
    <sheet name="Objetivos y KPIs" sheetId="3" r:id="rId4"/>
    <sheet name="Plan de Acción" sheetId="4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3" i="5" l="1"/>
  <c r="J33" i="5" s="1"/>
  <c r="H33" i="5"/>
  <c r="I32" i="5"/>
  <c r="J32" i="5" s="1"/>
  <c r="H32" i="5"/>
  <c r="I31" i="5"/>
  <c r="J31" i="5" s="1"/>
  <c r="H31" i="5"/>
  <c r="I30" i="5"/>
  <c r="J30" i="5" s="1"/>
  <c r="H30" i="5"/>
  <c r="I29" i="5"/>
  <c r="J29" i="5" s="1"/>
  <c r="H29" i="5"/>
  <c r="I28" i="5"/>
  <c r="J28" i="5" s="1"/>
  <c r="H28" i="5"/>
  <c r="I27" i="5"/>
  <c r="J27" i="5" s="1"/>
  <c r="H27" i="5"/>
  <c r="I26" i="5"/>
  <c r="J26" i="5" s="1"/>
  <c r="H26" i="5"/>
  <c r="I25" i="5"/>
  <c r="J25" i="5" s="1"/>
  <c r="H25" i="5"/>
  <c r="E25" i="5"/>
  <c r="D25" i="5"/>
  <c r="C25" i="5"/>
  <c r="I24" i="5"/>
  <c r="J24" i="5" s="1"/>
  <c r="H24" i="5"/>
  <c r="E24" i="5"/>
  <c r="D24" i="5"/>
  <c r="C24" i="5"/>
  <c r="J23" i="5"/>
  <c r="I23" i="5"/>
  <c r="H23" i="5"/>
  <c r="E23" i="5"/>
  <c r="D23" i="5"/>
  <c r="C23" i="5"/>
  <c r="J22" i="5"/>
  <c r="I22" i="5"/>
  <c r="H22" i="5"/>
  <c r="E22" i="5"/>
  <c r="D22" i="5"/>
  <c r="C22" i="5"/>
  <c r="G8" i="5"/>
  <c r="K24" i="4"/>
  <c r="L24" i="4" s="1"/>
  <c r="J24" i="4"/>
  <c r="I24" i="4"/>
  <c r="H24" i="4"/>
  <c r="L23" i="4"/>
  <c r="I23" i="4"/>
  <c r="L22" i="4"/>
  <c r="I22" i="4"/>
  <c r="L21" i="4"/>
  <c r="I21" i="4"/>
  <c r="L20" i="4"/>
  <c r="I20" i="4"/>
  <c r="L19" i="4"/>
  <c r="I19" i="4"/>
  <c r="L18" i="4"/>
  <c r="I18" i="4"/>
  <c r="L17" i="4"/>
  <c r="I17" i="4"/>
  <c r="L16" i="4"/>
  <c r="I16" i="4"/>
  <c r="L15" i="4"/>
  <c r="I15" i="4"/>
  <c r="L14" i="4"/>
  <c r="I14" i="4"/>
  <c r="L13" i="4"/>
  <c r="I13" i="4"/>
  <c r="L12" i="4"/>
  <c r="I12" i="4"/>
  <c r="L11" i="4"/>
  <c r="I11" i="4"/>
  <c r="L10" i="4"/>
  <c r="I10" i="4"/>
  <c r="L9" i="4"/>
  <c r="I9" i="4"/>
  <c r="L8" i="4"/>
  <c r="I8" i="4"/>
  <c r="F29" i="3"/>
  <c r="D29" i="3"/>
  <c r="F28" i="3"/>
  <c r="D28" i="3"/>
  <c r="F27" i="3"/>
  <c r="D27" i="3"/>
  <c r="F26" i="3"/>
  <c r="D26" i="3"/>
  <c r="F25" i="3"/>
  <c r="D25" i="3"/>
  <c r="L19" i="3"/>
  <c r="L18" i="3"/>
  <c r="L17" i="3"/>
  <c r="L16" i="3"/>
  <c r="L15" i="3"/>
  <c r="L14" i="3"/>
  <c r="L13" i="3"/>
  <c r="L12" i="3"/>
  <c r="L11" i="3"/>
  <c r="L10" i="3"/>
  <c r="L9" i="3"/>
  <c r="L8" i="3"/>
  <c r="H26" i="3" s="1"/>
  <c r="H13" i="5" l="1"/>
  <c r="I13" i="5" s="1"/>
  <c r="L26" i="3"/>
  <c r="C13" i="5"/>
  <c r="E13" i="5" s="1"/>
  <c r="H14" i="5"/>
  <c r="I14" i="5" s="1"/>
  <c r="H15" i="5"/>
  <c r="I15" i="5" s="1"/>
  <c r="H27" i="3"/>
  <c r="H16" i="5"/>
  <c r="I16" i="5" s="1"/>
  <c r="H28" i="3"/>
  <c r="D8" i="5"/>
  <c r="H29" i="3"/>
  <c r="L21" i="3"/>
  <c r="B8" i="5" s="1"/>
  <c r="H17" i="5"/>
  <c r="I17" i="5" s="1"/>
  <c r="I8" i="5"/>
  <c r="H25" i="3"/>
  <c r="L25" i="3" l="1"/>
  <c r="C12" i="5"/>
  <c r="E12" i="5" s="1"/>
  <c r="L29" i="3"/>
  <c r="C16" i="5"/>
  <c r="E16" i="5" s="1"/>
  <c r="L28" i="3"/>
  <c r="C15" i="5"/>
  <c r="E15" i="5" s="1"/>
  <c r="C14" i="5"/>
  <c r="E14" i="5" s="1"/>
  <c r="L27" i="3"/>
</calcChain>
</file>

<file path=xl/sharedStrings.xml><?xml version="1.0" encoding="utf-8"?>
<sst xmlns="http://schemas.openxmlformats.org/spreadsheetml/2006/main" count="369" uniqueCount="255">
  <si>
    <t>PLAN ESTRATÉGICO ANUAL</t>
  </si>
  <si>
    <t>Configuración general · Identidad organizativa · Ejes estratégicos</t>
  </si>
  <si>
    <t xml:space="preserve">  1. DATOS DE LA ORGANIZACIÓN</t>
  </si>
  <si>
    <t>Nombre de la organización</t>
  </si>
  <si>
    <t>EcoEnvases Mediterránea SL</t>
  </si>
  <si>
    <t>Periodo del plan</t>
  </si>
  <si>
    <t>2026</t>
  </si>
  <si>
    <t>Sector</t>
  </si>
  <si>
    <t>Envases compostables y reutilizables</t>
  </si>
  <si>
    <t>Año de inicio</t>
  </si>
  <si>
    <t>Sede principal</t>
  </si>
  <si>
    <t>Valencia (España)</t>
  </si>
  <si>
    <t>Año de finalización</t>
  </si>
  <si>
    <t>Responsable del plan</t>
  </si>
  <si>
    <t>Mireia Castaño Bru</t>
  </si>
  <si>
    <t>Fecha de aprobación</t>
  </si>
  <si>
    <t>15/12/2025</t>
  </si>
  <si>
    <t>Email de contacto</t>
  </si>
  <si>
    <t>direccion@ejemplo.local</t>
  </si>
  <si>
    <t>Versión del documento</t>
  </si>
  <si>
    <t>1.0</t>
  </si>
  <si>
    <t>Nº empleados</t>
  </si>
  <si>
    <t>Próxima revisión</t>
  </si>
  <si>
    <t>30/06/2026</t>
  </si>
  <si>
    <t xml:space="preserve">  2. IDENTIDAD ORGANIZATIVA</t>
  </si>
  <si>
    <t>MISIÓN — ¿Quiénes somos y para qué existimos?</t>
  </si>
  <si>
    <t>Reducir la huella ambiental del sector alimentario en España fabricando y distribuyendo envases compostables certificados, accesibles en precio y diseñados para acompañar al pequeño productor, la restauración y el retail en su transición hacia un modelo circular.</t>
  </si>
  <si>
    <t>VISIÓN — ¿Hacia dónde queremos ir?</t>
  </si>
  <si>
    <t>Ser, en 2030, el referente del envase compostable en el sur de Europa, reconocidos por la calidad técnica de nuestros productos y por la transparencia con la que medimos y comunicamos nuestro impacto.</t>
  </si>
  <si>
    <t>VALORES — Principios que guían nuestras decisiones</t>
  </si>
  <si>
    <t>Sostenibilidad</t>
  </si>
  <si>
    <t>Innovación</t>
  </si>
  <si>
    <t>Cercanía</t>
  </si>
  <si>
    <t>Transparencia</t>
  </si>
  <si>
    <t>Excelencia</t>
  </si>
  <si>
    <t>Medimos el impacto de cada decisión: materias primas, energía, transporte.</t>
  </si>
  <si>
    <t>Reinvertimos el 6% de la facturación en I+D y prototipado de nuevos materiales.</t>
  </si>
  <si>
    <t>Acompañamos al cliente con asesoría técnica gratuita en cada pedido.</t>
  </si>
  <si>
    <t>Publicamos resultados, certificaciones y proveedores de forma abierta.</t>
  </si>
  <si>
    <t>Control de calidad en el 100% de los lotes y mejora continua.</t>
  </si>
  <si>
    <t xml:space="preserve">  3. EJES ESTRATÉGICOS DEL PERIODO</t>
  </si>
  <si>
    <t>Código</t>
  </si>
  <si>
    <t>Eje estratégico</t>
  </si>
  <si>
    <t>Descripción / Resultado esperado</t>
  </si>
  <si>
    <t>E1</t>
  </si>
  <si>
    <t>Crecimiento rentable</t>
  </si>
  <si>
    <t>Aumentar facturación y margen sin perder posicionamiento de marca artesanal.</t>
  </si>
  <si>
    <t>E2</t>
  </si>
  <si>
    <t>Expansión comercial</t>
  </si>
  <si>
    <t>Diversificar la base de clientes para reducir la concentración actual.</t>
  </si>
  <si>
    <t>E3</t>
  </si>
  <si>
    <t>Excelencia operativa</t>
  </si>
  <si>
    <t>Escalar capacidad productiva y reducir defectos manteniendo calidad.</t>
  </si>
  <si>
    <t>E4</t>
  </si>
  <si>
    <t>Talento y cultura</t>
  </si>
  <si>
    <t>Atraer y retener el equipo técnico necesario para sostener el crecimiento.</t>
  </si>
  <si>
    <t>Sugerencia: edita las celdas con fondo blanco. Los ejes estratégicos definidos aquí deben coincidir con los objetivos de la hoja «Objetivos y KPIs» para asegurar la trazabilidad del plan.</t>
  </si>
  <si>
    <t>ANÁLISIS FODA</t>
  </si>
  <si>
    <t>Diagnóstico interno (Fortalezas / Debilidades) y externo (Oportunidades / Amenazas)</t>
  </si>
  <si>
    <t>ANÁLISIS INTERNO</t>
  </si>
  <si>
    <t>ANÁLISIS EXTERNO</t>
  </si>
  <si>
    <t>FORTALEZAS (+)</t>
  </si>
  <si>
    <t>DEBILIDADES (–)</t>
  </si>
  <si>
    <t>OPORTUNIDADES (+)</t>
  </si>
  <si>
    <t>AMENAZAS (–)</t>
  </si>
  <si>
    <t>• Producto certificado EN 13432 y OK Compost Home.</t>
  </si>
  <si>
    <t>• Capacidad productiva limitada (un único turno).</t>
  </si>
  <si>
    <t>• Entrada en vigor de la PPWR de la UE en 2026.</t>
  </si>
  <si>
    <t>• Entrada de competidores asiáticos a bajo coste.</t>
  </si>
  <si>
    <t>• Equipo técnico con más de 10 años en bioplásticos.</t>
  </si>
  <si>
    <t>• Marca poco conocida fuera de la Comunidad Valenciana.</t>
  </si>
  <si>
    <t>• Crecimiento estimado del 18% anual en HORECA sostenible.</t>
  </si>
  <si>
    <t>• Volatilidad del precio del PLA y del almidón.</t>
  </si>
  <si>
    <t>• Acuerdos estables con productores locales de fibra vegetal.</t>
  </si>
  <si>
    <t>• Dependencia de 3 clientes (60% de la facturación).</t>
  </si>
  <si>
    <t>• Convocatorias Next Generation EU para industria verde.</t>
  </si>
  <si>
    <t>• Inflación que reduce el poder adquisitivo del cliente final.</t>
  </si>
  <si>
    <t>• Coste de producción 12% por debajo de la media del sector.</t>
  </si>
  <si>
    <t>• Presupuesto reducido para marketing digital.</t>
  </si>
  <si>
    <t>• Mayor exigencia del consumidor en sostenibilidad.</t>
  </si>
  <si>
    <t>• Retraso en aprobación de nuevas certificaciones europeas.</t>
  </si>
  <si>
    <t>• Sistema propio de control de calidad lote a lote.</t>
  </si>
  <si>
    <t>• Ausencia de equipo comercial dedicado al canal HORECA.</t>
  </si>
  <si>
    <t>• Expansión natural al mercado portugués y francés.</t>
  </si>
  <si>
    <t>• Aparición de tecnologías sustitutivas (envase reutilizable).</t>
  </si>
  <si>
    <t>• Cartera de 8 patentes de proceso registradas.</t>
  </si>
  <si>
    <t>• Procesos de logística inversa aún sin sistematizar.</t>
  </si>
  <si>
    <t>• Posibilidad de licenciar procesos a otros fabricantes.</t>
  </si>
  <si>
    <t>• Cambios en la fiscalidad de envases (impuesto al plástico).</t>
  </si>
  <si>
    <t>• Alta tasa de recompra (78%) en clientes activos.</t>
  </si>
  <si>
    <t>• Estructura de costes muy expuesta al precio del PLA.</t>
  </si>
  <si>
    <t>• Aumento de la presión regulatoria sobre el plástico de un solo uso.</t>
  </si>
  <si>
    <t>• Riesgo reputacional ante greenwashing del sector.</t>
  </si>
  <si>
    <t xml:space="preserve">  ESTRATEGIAS CAME (Corregir · Afrontar · Mantener · Explotar)</t>
  </si>
  <si>
    <t>CORREGIR debilidades</t>
  </si>
  <si>
    <t>AFRONTAR amenazas</t>
  </si>
  <si>
    <t>MANTENER fortalezas</t>
  </si>
  <si>
    <t>EXPLOTAR oportunidades</t>
  </si>
  <si>
    <t>• Diversificar la cartera de clientes captando 5 cadenas nuevas en 2026.</t>
  </si>
  <si>
    <t>• Cerrar contratos a 12 meses con proveedores de PLA para fijar precio.</t>
  </si>
  <si>
    <t>• Reinvertir el 6% de la facturación en I+D y prototipado.</t>
  </si>
  <si>
    <t>• Solicitar subvención Next Generation EU para ampliar planta.</t>
  </si>
  <si>
    <t>• Profesionalizar la fuerza comercial (incorporar key account manager HORECA).</t>
  </si>
  <si>
    <t>• Diseñar línea económica orientada a clientes sensibles al precio.</t>
  </si>
  <si>
    <t>• Renovar certificaciones OK Compost y EN 13432 sin interrupción.</t>
  </si>
  <si>
    <t>• Lanzar piloto comercial en Portugal en el segundo semestre.</t>
  </si>
  <si>
    <t>• Plan de marketing nacional con foco en 4 ferias del sector.</t>
  </si>
  <si>
    <t>• Auditar lenguaje en comunicación para evitar riesgo de greenwashing.</t>
  </si>
  <si>
    <t>• Programa de fidelización y asesoría técnica gratuita a clientes activos.</t>
  </si>
  <si>
    <t>• Co-crear nuevos formatos con grandes cadenas para anticipar PPWR.</t>
  </si>
  <si>
    <t>OBJETIVOS ESTRATÉGICOS Y KPIs</t>
  </si>
  <si>
    <t>Cuadro de mando integral · 4 perspectivas · Cálculo automático de cumplimiento y semáforo</t>
  </si>
  <si>
    <t>Perspectiva</t>
  </si>
  <si>
    <t>Objetivo estratégico</t>
  </si>
  <si>
    <t>KPI / Indicador</t>
  </si>
  <si>
    <t>Unidad</t>
  </si>
  <si>
    <t>Línea base</t>
  </si>
  <si>
    <t>Meta anual</t>
  </si>
  <si>
    <t>Valor actual</t>
  </si>
  <si>
    <t>Dirección</t>
  </si>
  <si>
    <t>Peso</t>
  </si>
  <si>
    <t>% Cumpl.</t>
  </si>
  <si>
    <t>Responsable</t>
  </si>
  <si>
    <t>F1</t>
  </si>
  <si>
    <t>Financiera</t>
  </si>
  <si>
    <t>Incrementar la facturación anual</t>
  </si>
  <si>
    <t>Facturación total</t>
  </si>
  <si>
    <t>€</t>
  </si>
  <si>
    <t>↑</t>
  </si>
  <si>
    <t>Mireia Castaño</t>
  </si>
  <si>
    <t>F2</t>
  </si>
  <si>
    <t>Mejorar el margen bruto</t>
  </si>
  <si>
    <t>Margen bruto</t>
  </si>
  <si>
    <t>%</t>
  </si>
  <si>
    <t>C1</t>
  </si>
  <si>
    <t>Cliente</t>
  </si>
  <si>
    <t>Aumentar la base de clientes recurrentes</t>
  </si>
  <si>
    <t>Clientes recurrentes activos</t>
  </si>
  <si>
    <t>Nº</t>
  </si>
  <si>
    <t>Javier Ortuño</t>
  </si>
  <si>
    <t>C2</t>
  </si>
  <si>
    <t>Mejorar la satisfacción del cliente</t>
  </si>
  <si>
    <t>NPS</t>
  </si>
  <si>
    <t>Puntos</t>
  </si>
  <si>
    <t>C3</t>
  </si>
  <si>
    <t>Reducir la concentración de cartera</t>
  </si>
  <si>
    <t>% facturación del top-3 clientes</t>
  </si>
  <si>
    <t>↓</t>
  </si>
  <si>
    <t>P1</t>
  </si>
  <si>
    <t>Procesos</t>
  </si>
  <si>
    <t>Aumentar la capacidad productiva</t>
  </si>
  <si>
    <t>Unidades producidas / mes</t>
  </si>
  <si>
    <t>Uds.</t>
  </si>
  <si>
    <t>Toni Llopis</t>
  </si>
  <si>
    <t>P2</t>
  </si>
  <si>
    <t>Reducir la tasa de defectos</t>
  </si>
  <si>
    <t>% lotes con defecto</t>
  </si>
  <si>
    <t>P3</t>
  </si>
  <si>
    <t>Aumentar la cuota de materia prima local</t>
  </si>
  <si>
    <t>% materias primas nacionales</t>
  </si>
  <si>
    <t>A1</t>
  </si>
  <si>
    <t>Aprendizaje</t>
  </si>
  <si>
    <t>Reforzar la formación del equipo</t>
  </si>
  <si>
    <t>Horas formación / empleado</t>
  </si>
  <si>
    <t>Horas</t>
  </si>
  <si>
    <t>Laia Esteve</t>
  </si>
  <si>
    <t>A2</t>
  </si>
  <si>
    <t>Retener el talento clave</t>
  </si>
  <si>
    <t>Rotación voluntaria</t>
  </si>
  <si>
    <t>A3</t>
  </si>
  <si>
    <t>Impulsar la diversidad en mandos</t>
  </si>
  <si>
    <t>% mujeres en mandos intermedios</t>
  </si>
  <si>
    <t>S1</t>
  </si>
  <si>
    <t>Sostenibil.</t>
  </si>
  <si>
    <t>Reducir emisiones por unidad producida</t>
  </si>
  <si>
    <t>kg CO₂e / 1.000 uds.</t>
  </si>
  <si>
    <t>kg</t>
  </si>
  <si>
    <t>CUMPLIMIENTO GLOBAL DEL PLAN (media ponderada por peso)</t>
  </si>
  <si>
    <t xml:space="preserve">  CUMPLIMIENTO POR PERSPECTIVA</t>
  </si>
  <si>
    <t>Nº objetivos</t>
  </si>
  <si>
    <t>Peso acumulado</t>
  </si>
  <si>
    <t>% Cumplimiento (ponderado)</t>
  </si>
  <si>
    <t>Estado</t>
  </si>
  <si>
    <t>Indicaciones: usa ↑ cuando un valor mayor sea mejor (facturación, NPS) y ↓ cuando un valor menor sea mejor (defectos, rotación, emisiones). El % de cumplimiento se calcula automáticamente respecto a la línea base y la meta. La suma de los pesos no tiene por qué ser exactamente 100%: el cuadro global se pondera con los pesos definidos.</t>
  </si>
  <si>
    <t>PLAN DE ACCIÓN</t>
  </si>
  <si>
    <t>Iniciativas concretas vinculadas a cada objetivo · Seguimiento de fechas, avance, estado y presupuesto</t>
  </si>
  <si>
    <t>ID</t>
  </si>
  <si>
    <t>Obj.</t>
  </si>
  <si>
    <t>Acción / Iniciativa</t>
  </si>
  <si>
    <t>Fecha inicio</t>
  </si>
  <si>
    <t>Fecha fin</t>
  </si>
  <si>
    <t>% Avance</t>
  </si>
  <si>
    <t>Pto. previsto (€)</t>
  </si>
  <si>
    <t>Pto. real (€)</t>
  </si>
  <si>
    <t>Desviación</t>
  </si>
  <si>
    <t>Prioridad</t>
  </si>
  <si>
    <t>A01</t>
  </si>
  <si>
    <t>Lanzar nueva línea Bandeja XL para retail</t>
  </si>
  <si>
    <t>Alta</t>
  </si>
  <si>
    <t>A02</t>
  </si>
  <si>
    <t>Negociar contratos con 5 cadenas de restauración</t>
  </si>
  <si>
    <t>A03</t>
  </si>
  <si>
    <t>Implementar segundo turno de producción</t>
  </si>
  <si>
    <t>A04</t>
  </si>
  <si>
    <t>Optimizar mix de materias primas (sustitución parcial PLA)</t>
  </si>
  <si>
    <t>Media</t>
  </si>
  <si>
    <t>A05</t>
  </si>
  <si>
    <t>Programa formación interna en bioplásticos</t>
  </si>
  <si>
    <t>A06</t>
  </si>
  <si>
    <t>Auditoría externa de control de calidad</t>
  </si>
  <si>
    <t>A07</t>
  </si>
  <si>
    <t>Campaña de marketing digital nacional</t>
  </si>
  <si>
    <t>A08</t>
  </si>
  <si>
    <t>Implementar encuesta NPS trimestral</t>
  </si>
  <si>
    <t>A09</t>
  </si>
  <si>
    <t>Plan de carrera y revisión salarial</t>
  </si>
  <si>
    <t>A10</t>
  </si>
  <si>
    <t>Solicitar subvención Next Generation EU</t>
  </si>
  <si>
    <t>A11</t>
  </si>
  <si>
    <t>Renovar certificación OK Compost Home</t>
  </si>
  <si>
    <t>A12</t>
  </si>
  <si>
    <t>Open day para clientes y prensa especializada</t>
  </si>
  <si>
    <t>Baja</t>
  </si>
  <si>
    <t>A13</t>
  </si>
  <si>
    <t>Plan de captación tienda online B2B</t>
  </si>
  <si>
    <t>A14</t>
  </si>
  <si>
    <t>Auditoría de proveedores nacionales de fibra</t>
  </si>
  <si>
    <t>A15</t>
  </si>
  <si>
    <t>Programa mentoría mujeres en mandos intermedios</t>
  </si>
  <si>
    <t>A16</t>
  </si>
  <si>
    <t>Estudio huella de carbono por producto</t>
  </si>
  <si>
    <t>TOTALES / RESUMEN</t>
  </si>
  <si>
    <t>El estado se calcula automáticamente comparando el avance declarado con el avance esperado por fechas. Para añadir nuevas acciones, basta con escribir bajo la última fila: las fórmulas y formatos se replicarán al copiar la fila previa.</t>
  </si>
  <si>
    <t>Datos calculados automáticamente desde las hojas «Objetivos y KPIs» y «Plan de Acción»</t>
  </si>
  <si>
    <t>% Cumplimiento global</t>
  </si>
  <si>
    <t>Acciones completadas</t>
  </si>
  <si>
    <t>Presupuesto consumido</t>
  </si>
  <si>
    <t>Acciones en riesgo/retraso</t>
  </si>
  <si>
    <t xml:space="preserve">  ESTADO DE LAS ACCIONES</t>
  </si>
  <si>
    <t>% Cumplimiento</t>
  </si>
  <si>
    <t>% sobre total</t>
  </si>
  <si>
    <t>Completada</t>
  </si>
  <si>
    <t>En curso</t>
  </si>
  <si>
    <t>En riesgo</t>
  </si>
  <si>
    <t>Retrasada</t>
  </si>
  <si>
    <t>Pendiente</t>
  </si>
  <si>
    <t xml:space="preserve">  ACCIONES POR RESPONSABLE</t>
  </si>
  <si>
    <t xml:space="preserve">  PRESUPUESTO POR OBJETIVO</t>
  </si>
  <si>
    <t>Acciones</t>
  </si>
  <si>
    <t>% Avance medio</t>
  </si>
  <si>
    <t>Pto. consumido</t>
  </si>
  <si>
    <t>Objetivo</t>
  </si>
  <si>
    <t>Pto. previsto</t>
  </si>
  <si>
    <t>% Ejecutado</t>
  </si>
  <si>
    <t>PLAN ESTRATÉGICO · RESUMEN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</si>
</sst>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€&quot;"/>
    <numFmt numFmtId="165" formatCode="0.0%"/>
    <numFmt numFmtId="166" formatCode="#,##0.0"/>
    <numFmt numFmtId="167" formatCode="\+0.0%;\-0.0%;0.0%"/>
  </numFmts>
  <fonts count="15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i/>
      <sz val="11"/>
      <color rgb="FFFFFFFF"/>
      <name val="Calibri"/>
      <charset val="1"/>
    </font>
    <font>
      <b/>
      <sz val="14"/>
      <color rgb="FFFFFFFF"/>
      <name val="Calibri"/>
      <charset val="1"/>
    </font>
    <font>
      <b/>
      <sz val="10"/>
      <color rgb="FF1F3A5F"/>
      <name val="Calibri"/>
      <charset val="1"/>
    </font>
    <font>
      <sz val="10"/>
      <color rgb="FF1A1A1A"/>
      <name val="Calibri"/>
      <charset val="1"/>
    </font>
    <font>
      <b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10"/>
      <color rgb="FF1A1A1A"/>
      <name val="Calibri"/>
      <charset val="1"/>
    </font>
    <font>
      <i/>
      <sz val="9"/>
      <color rgb="FF666666"/>
      <name val="Calibri"/>
      <charset val="1"/>
    </font>
    <font>
      <b/>
      <sz val="9"/>
      <color rgb="FF555555"/>
      <name val="Calibri"/>
      <charset val="1"/>
    </font>
    <font>
      <b/>
      <sz val="22"/>
      <color rgb="FF1F3A5F"/>
      <name val="Calibri"/>
      <charset val="1"/>
    </font>
    <font>
      <b/>
      <sz val="22"/>
      <color rgb="FF70AD47"/>
      <name val="Calibri"/>
      <charset val="1"/>
    </font>
    <font>
      <b/>
      <sz val="22"/>
      <color rgb="FFED7D31"/>
      <name val="Calibri"/>
      <charset val="1"/>
    </font>
    <font>
      <b/>
      <sz val="22"/>
      <color rgb="FFC00000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A5F"/>
        <bgColor rgb="FF1F4E79"/>
      </patternFill>
    </fill>
    <fill>
      <patternFill patternType="solid">
        <fgColor rgb="FF2E5984"/>
        <bgColor rgb="FF1F4E79"/>
      </patternFill>
    </fill>
    <fill>
      <patternFill patternType="solid">
        <fgColor rgb="FFD9E5F2"/>
        <bgColor rgb="FFDAE8FC"/>
      </patternFill>
    </fill>
    <fill>
      <patternFill patternType="solid">
        <fgColor rgb="FFFFFFFF"/>
        <bgColor rgb="FFF9F9F9"/>
      </patternFill>
    </fill>
    <fill>
      <patternFill patternType="solid">
        <fgColor rgb="FFED7D31"/>
        <bgColor rgb="FFFF8080"/>
      </patternFill>
    </fill>
    <fill>
      <patternFill patternType="solid">
        <fgColor rgb="FF70AD47"/>
        <bgColor rgb="FF9BBB59"/>
      </patternFill>
    </fill>
    <fill>
      <patternFill patternType="solid">
        <fgColor rgb="FFC00000"/>
        <bgColor rgb="FF800000"/>
      </patternFill>
    </fill>
    <fill>
      <patternFill patternType="solid">
        <fgColor rgb="FF4472C4"/>
        <bgColor rgb="FF4F81BD"/>
      </patternFill>
    </fill>
    <fill>
      <patternFill patternType="solid">
        <fgColor rgb="FFD5E8D4"/>
        <bgColor rgb="FFD9E5F2"/>
      </patternFill>
    </fill>
    <fill>
      <patternFill patternType="solid">
        <fgColor rgb="FFF8CECC"/>
        <bgColor rgb="FFF4CCCC"/>
      </patternFill>
    </fill>
    <fill>
      <patternFill patternType="solid">
        <fgColor rgb="FFDAE8FC"/>
        <bgColor rgb="FFD9E5F2"/>
      </patternFill>
    </fill>
    <fill>
      <patternFill patternType="solid">
        <fgColor rgb="FFFFE6CC"/>
        <bgColor rgb="FFFFF2CC"/>
      </patternFill>
    </fill>
    <fill>
      <patternFill patternType="solid">
        <fgColor rgb="FFF4F4F4"/>
        <bgColor rgb="FFF2F2F2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60">
    <xf numFmtId="0" fontId="0" fillId="0" borderId="0" xfId="0"/>
    <xf numFmtId="9" fontId="5" fillId="14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indent="1"/>
    </xf>
    <xf numFmtId="165" fontId="3" fillId="6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6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left" vertical="top" wrapText="1"/>
    </xf>
    <xf numFmtId="0" fontId="5" fillId="13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165" fontId="8" fillId="14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167" fontId="8" fillId="14" borderId="1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right"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9" fontId="8" fillId="14" borderId="1" xfId="0" applyNumberFormat="1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right" vertical="center" wrapText="1"/>
    </xf>
    <xf numFmtId="165" fontId="8" fillId="14" borderId="1" xfId="0" applyNumberFormat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19">
    <dxf>
      <fill>
        <patternFill>
          <bgColor rgb="FFD5E8D4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  <dxf>
      <font>
        <b/>
        <sz val="10"/>
        <color rgb="FF2E7D32"/>
        <name val="Calibri"/>
        <charset val="1"/>
      </font>
      <fill>
        <patternFill>
          <bgColor rgb="FFD5E8D4"/>
        </patternFill>
      </fill>
    </dxf>
    <dxf>
      <font>
        <b/>
        <sz val="10"/>
        <color rgb="FF996600"/>
        <name val="Calibri"/>
        <charset val="1"/>
      </font>
      <fill>
        <patternFill>
          <bgColor rgb="FFFFF2CC"/>
        </patternFill>
      </fill>
    </dxf>
    <dxf>
      <font>
        <b/>
        <sz val="10"/>
        <color rgb="FFC00000"/>
        <name val="Calibri"/>
        <charset val="1"/>
      </font>
      <fill>
        <patternFill>
          <bgColor rgb="FFF4CCCC"/>
        </patternFill>
      </fill>
    </dxf>
    <dxf>
      <font>
        <b/>
        <sz val="10"/>
        <color rgb="FF2E7D32"/>
        <name val="Calibri"/>
        <charset val="1"/>
      </font>
      <fill>
        <patternFill>
          <bgColor rgb="FFD5E8D4"/>
        </patternFill>
      </fill>
    </dxf>
    <dxf>
      <font>
        <b/>
        <sz val="10"/>
        <color rgb="FFC00000"/>
        <name val="Calibri"/>
        <charset val="1"/>
      </font>
      <fill>
        <patternFill>
          <bgColor rgb="FFF4CCCC"/>
        </patternFill>
      </fill>
    </dxf>
    <dxf>
      <font>
        <b/>
        <sz val="10"/>
        <color rgb="FF666666"/>
        <name val="Calibri"/>
        <charset val="1"/>
      </font>
      <fill>
        <patternFill>
          <bgColor rgb="FFF2F2F2"/>
        </patternFill>
      </fill>
    </dxf>
    <dxf>
      <font>
        <b/>
        <sz val="10"/>
        <color rgb="FFC00000"/>
        <name val="Calibri"/>
        <charset val="1"/>
      </font>
      <fill>
        <patternFill>
          <bgColor rgb="FFF4CCCC"/>
        </patternFill>
      </fill>
    </dxf>
    <dxf>
      <font>
        <b/>
        <sz val="10"/>
        <color rgb="FF996600"/>
        <name val="Calibri"/>
        <charset val="1"/>
      </font>
      <fill>
        <patternFill>
          <bgColor rgb="FFFFF2CC"/>
        </patternFill>
      </fill>
    </dxf>
    <dxf>
      <font>
        <b/>
        <sz val="10"/>
        <color rgb="FF1F4E79"/>
        <name val="Calibri"/>
        <charset val="1"/>
      </font>
      <fill>
        <patternFill>
          <bgColor rgb="FFDAE8FC"/>
        </patternFill>
      </fill>
    </dxf>
    <dxf>
      <font>
        <b/>
        <sz val="10"/>
        <color rgb="FF2E7D32"/>
        <name val="Calibri"/>
        <charset val="1"/>
      </font>
      <fill>
        <patternFill>
          <bgColor rgb="FFD5E8D4"/>
        </patternFill>
      </fill>
    </dxf>
    <dxf>
      <font>
        <b/>
        <sz val="10"/>
        <color rgb="FF2E7D32"/>
        <name val="Calibri"/>
        <charset val="1"/>
      </font>
      <fill>
        <patternFill>
          <bgColor rgb="FFD5E8D4"/>
        </patternFill>
      </fill>
    </dxf>
    <dxf>
      <font>
        <b/>
        <sz val="10"/>
        <color rgb="FF996600"/>
        <name val="Calibri"/>
        <charset val="1"/>
      </font>
      <fill>
        <patternFill>
          <bgColor rgb="FFFFF2CC"/>
        </patternFill>
      </fill>
    </dxf>
    <dxf>
      <font>
        <b/>
        <sz val="10"/>
        <color rgb="FFC00000"/>
        <name val="Calibri"/>
        <charset val="1"/>
      </font>
      <fill>
        <patternFill>
          <bgColor rgb="FFF4CCCC"/>
        </patternFill>
      </fill>
    </dxf>
    <dxf>
      <fill>
        <patternFill>
          <bgColor rgb="FFD5E8D4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9F9F9"/>
      <rgbColor rgb="FFFF00FF"/>
      <rgbColor rgb="FF00FFFF"/>
      <rgbColor rgb="FF800000"/>
      <rgbColor rgb="FF008000"/>
      <rgbColor rgb="FF000080"/>
      <rgbColor rgb="FF996600"/>
      <rgbColor rgb="FF800080"/>
      <rgbColor rgb="FF4F81BD"/>
      <rgbColor rgb="FFB0B0B0"/>
      <rgbColor rgb="FF878787"/>
      <rgbColor rgb="FF9999FF"/>
      <rgbColor rgb="FFC0504D"/>
      <rgbColor rgb="FFFFF2CC"/>
      <rgbColor rgb="FFDAE8FC"/>
      <rgbColor rgb="FF660066"/>
      <rgbColor rgb="FFFF8080"/>
      <rgbColor rgb="FF2E5984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5F2"/>
      <rgbColor rgb="FFD5E8D4"/>
      <rgbColor rgb="FFFFE6CC"/>
      <rgbColor rgb="FFF2F2F2"/>
      <rgbColor rgb="FFF4CCCC"/>
      <rgbColor rgb="FFF4F4F4"/>
      <rgbColor rgb="FFF8CECC"/>
      <rgbColor rgb="FF4472C4"/>
      <rgbColor rgb="FF4BACC6"/>
      <rgbColor rgb="FF9BBB59"/>
      <rgbColor rgb="FFFFCC00"/>
      <rgbColor rgb="FFFF9900"/>
      <rgbColor rgb="FFED7D31"/>
      <rgbColor rgb="FF8064A2"/>
      <rgbColor rgb="FF70AD47"/>
      <rgbColor rgb="FF1F3A5F"/>
      <rgbColor rgb="FF2E7D32"/>
      <rgbColor rgb="FF003300"/>
      <rgbColor rgb="FF555555"/>
      <rgbColor rgb="FF993300"/>
      <rgbColor rgb="FF666666"/>
      <rgbColor rgb="FF1F4E7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Cumplimiento por perspectiva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83212242935645"/>
          <c:y val="0.19036299034049314"/>
          <c:w val="0.59472908550914128"/>
          <c:h val="0.696024068420018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Dashboard!$C$11</c:f>
              <c:strCache>
                <c:ptCount val="1"/>
                <c:pt idx="0">
                  <c:v>% Cumplimiento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dLbl>
              <c:idx val="0"/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692695485731999"/>
                      <c:h val="0.235011337868480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45A-4533-9279-D6928D999076}"/>
                </c:ext>
              </c:extLst>
            </c:dLbl>
            <c:dLbl>
              <c:idx val="1"/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89189480636771"/>
                      <c:h val="0.179660042494688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45A-4533-9279-D6928D999076}"/>
                </c:ext>
              </c:extLst>
            </c:dLbl>
            <c:dLbl>
              <c:idx val="2"/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7401790969666743"/>
                      <c:h val="0.235011337868480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45A-4533-9279-D6928D999076}"/>
                </c:ext>
              </c:extLst>
            </c:dLbl>
            <c:dLbl>
              <c:idx val="3"/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163600091660262"/>
                      <c:h val="0.235011337868480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45A-4533-9279-D6928D999076}"/>
                </c:ext>
              </c:extLst>
            </c:dLbl>
            <c:dLbl>
              <c:idx val="4"/>
              <c:layout>
                <c:manualLayout>
                  <c:x val="3.1406782859530642E-2"/>
                  <c:y val="-2.0785852094726518E-17"/>
                </c:manualLayout>
              </c:layout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70191992307726"/>
                      <c:h val="0.235011337868480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45A-4533-9279-D6928D9990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Dashboard!$B$12:$B$16</c:f>
              <c:strCache>
                <c:ptCount val="5"/>
                <c:pt idx="0">
                  <c:v>Financiera</c:v>
                </c:pt>
                <c:pt idx="1">
                  <c:v>Cliente</c:v>
                </c:pt>
                <c:pt idx="2">
                  <c:v>Procesos</c:v>
                </c:pt>
                <c:pt idx="3">
                  <c:v>Aprendizaje</c:v>
                </c:pt>
                <c:pt idx="4">
                  <c:v>Sostenibil.</c:v>
                </c:pt>
              </c:strCache>
            </c:strRef>
          </c:cat>
          <c:val>
            <c:numRef>
              <c:f>Dashboard!$C$12:$C$16</c:f>
              <c:numCache>
                <c:formatCode>0.0%</c:formatCode>
                <c:ptCount val="5"/>
                <c:pt idx="0">
                  <c:v>0.73777777777777764</c:v>
                </c:pt>
                <c:pt idx="1">
                  <c:v>0.92063492063492069</c:v>
                </c:pt>
                <c:pt idx="2">
                  <c:v>0.7284615384615386</c:v>
                </c:pt>
                <c:pt idx="3">
                  <c:v>0.7851851851851851</c:v>
                </c:pt>
                <c:pt idx="4">
                  <c:v>0.78461538461538471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A-4533-9279-D6928D99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72174"/>
        <c:axId val="125388"/>
      </c:barChart>
      <c:catAx>
        <c:axId val="9007217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25388"/>
        <c:crosses val="autoZero"/>
        <c:auto val="1"/>
        <c:lblAlgn val="ctr"/>
        <c:lblOffset val="100"/>
        <c:noMultiLvlLbl val="0"/>
      </c:catAx>
      <c:valAx>
        <c:axId val="125388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007217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Distribución de acciones por estado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Dashboard!$H$12</c:f>
              <c:strCache>
                <c:ptCount val="1"/>
                <c:pt idx="0">
                  <c:v>Nº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ED-4FFB-8E20-80EE73FF744E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2-C6ED-4FFB-8E20-80EE73FF744E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4-C6ED-4FFB-8E20-80EE73FF744E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6-C6ED-4FFB-8E20-80EE73FF744E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8-C6ED-4FFB-8E20-80EE73FF744E}"/>
              </c:ext>
            </c:extLst>
          </c:dPt>
          <c:dLbls>
            <c:dLbl>
              <c:idx val="0"/>
              <c:layout>
                <c:manualLayout>
                  <c:x val="0.1440677966101695"/>
                  <c:y val="-5.545103082553367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ED-4FFB-8E20-80EE73FF744E}"/>
                </c:ext>
              </c:extLst>
            </c:dLbl>
            <c:dLbl>
              <c:idx val="1"/>
              <c:layout>
                <c:manualLayout>
                  <c:x val="0.1327683615819209"/>
                  <c:y val="0.12098406725570973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ED-4FFB-8E20-80EE73FF744E}"/>
                </c:ext>
              </c:extLst>
            </c:dLbl>
            <c:dLbl>
              <c:idx val="2"/>
              <c:layout>
                <c:manualLayout>
                  <c:x val="-0.2288135593220339"/>
                  <c:y val="6.049203362785491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ED-4FFB-8E20-80EE73FF744E}"/>
                </c:ext>
              </c:extLst>
            </c:dLbl>
            <c:dLbl>
              <c:idx val="3"/>
              <c:layout>
                <c:manualLayout>
                  <c:x val="-0.17694804039325593"/>
                  <c:y val="-6.049203362785496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ED-4FFB-8E20-80EE73FF744E}"/>
                </c:ext>
              </c:extLst>
            </c:dLbl>
            <c:dLbl>
              <c:idx val="4"/>
              <c:layout>
                <c:manualLayout>
                  <c:x val="-5.0847457627118647E-2"/>
                  <c:y val="-0.12098406725570983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ED-4FFB-8E20-80EE73FF74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Dashboard!$G$13:$G$17</c:f>
              <c:strCache>
                <c:ptCount val="5"/>
                <c:pt idx="0">
                  <c:v>Completada</c:v>
                </c:pt>
                <c:pt idx="1">
                  <c:v>En curso</c:v>
                </c:pt>
                <c:pt idx="2">
                  <c:v>En riesgo</c:v>
                </c:pt>
                <c:pt idx="3">
                  <c:v>Retrasada</c:v>
                </c:pt>
                <c:pt idx="4">
                  <c:v>Pendiente</c:v>
                </c:pt>
              </c:strCache>
            </c:strRef>
          </c:cat>
          <c:val>
            <c:numRef>
              <c:f>Dashboard!$H$13:$H$17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ED-4FFB-8E20-80EE73FF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19</xdr:row>
      <xdr:rowOff>9524</xdr:rowOff>
    </xdr:from>
    <xdr:to>
      <xdr:col>18</xdr:col>
      <xdr:colOff>574545</xdr:colOff>
      <xdr:row>32</xdr:row>
      <xdr:rowOff>171449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FFCD84D9-4EB7-4A84-9F5C-B56F07A5D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171450</xdr:colOff>
      <xdr:row>6</xdr:row>
      <xdr:rowOff>9525</xdr:rowOff>
    </xdr:from>
    <xdr:to>
      <xdr:col>19</xdr:col>
      <xdr:colOff>19050</xdr:colOff>
      <xdr:row>16</xdr:row>
      <xdr:rowOff>171451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68FCF28D-819E-47AA-ADD7-C4020B956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D7D31"/>
    <pageSetUpPr fitToPage="1"/>
  </sheetPr>
  <dimension ref="B2:S53"/>
  <sheetViews>
    <sheetView showGridLines="0" tabSelected="1" zoomScaleNormal="100" workbookViewId="0">
      <selection activeCell="V13" sqref="V13"/>
    </sheetView>
  </sheetViews>
  <sheetFormatPr baseColWidth="10" defaultColWidth="8.7109375" defaultRowHeight="15" x14ac:dyDescent="0.25"/>
  <cols>
    <col min="1" max="1" width="2" customWidth="1"/>
    <col min="2" max="5" width="14" customWidth="1"/>
    <col min="6" max="6" width="4" customWidth="1"/>
    <col min="7" max="10" width="14" customWidth="1"/>
    <col min="11" max="11" width="2" customWidth="1"/>
  </cols>
  <sheetData>
    <row r="2" spans="2:19" x14ac:dyDescent="0.25">
      <c r="B2" s="14" t="s">
        <v>254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2:19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2:19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2:19" ht="21.75" customHeight="1" x14ac:dyDescent="0.25">
      <c r="B5" s="13" t="s">
        <v>233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7" spans="2:19" ht="21.75" customHeight="1" x14ac:dyDescent="0.25">
      <c r="B7" s="55" t="s">
        <v>234</v>
      </c>
      <c r="C7" s="55"/>
      <c r="D7" s="55" t="s">
        <v>235</v>
      </c>
      <c r="E7" s="55"/>
      <c r="G7" s="55" t="s">
        <v>236</v>
      </c>
      <c r="H7" s="55"/>
      <c r="I7" s="55" t="s">
        <v>237</v>
      </c>
      <c r="J7" s="55"/>
    </row>
    <row r="8" spans="2:19" ht="45.75" customHeight="1" x14ac:dyDescent="0.25">
      <c r="B8" s="56">
        <f>'Objetivos y KPIs'!L21</f>
        <v>0.79061599511599479</v>
      </c>
      <c r="C8" s="56"/>
      <c r="D8" s="57" t="str">
        <f ca="1">COUNTIF('Plan de Acción'!I8:I23,"Completada")&amp;" / "&amp;COUNTA('Plan de Acción'!B8:B23)</f>
        <v>3 / 16</v>
      </c>
      <c r="E8" s="57"/>
      <c r="G8" s="58">
        <f>SUM('Plan de Acción'!K8:K23)</f>
        <v>83500</v>
      </c>
      <c r="H8" s="58"/>
      <c r="I8" s="59">
        <f ca="1">COUNTIF('Plan de Acción'!I8:I23,"En riesgo")+COUNTIF('Plan de Acción'!I8:I23,"Retrasada")</f>
        <v>9</v>
      </c>
      <c r="J8" s="59"/>
    </row>
    <row r="10" spans="2:19" ht="25.5" customHeight="1" x14ac:dyDescent="0.25">
      <c r="B10" s="12" t="s">
        <v>178</v>
      </c>
      <c r="C10" s="12"/>
      <c r="D10" s="12"/>
      <c r="E10" s="12"/>
      <c r="G10" s="12" t="s">
        <v>238</v>
      </c>
      <c r="H10" s="12"/>
      <c r="I10" s="12"/>
      <c r="J10" s="12"/>
    </row>
    <row r="11" spans="2:19" ht="24" customHeight="1" x14ac:dyDescent="0.25">
      <c r="B11" s="20" t="s">
        <v>112</v>
      </c>
      <c r="C11" s="9" t="s">
        <v>239</v>
      </c>
      <c r="D11" s="9"/>
      <c r="E11" s="20" t="s">
        <v>182</v>
      </c>
    </row>
    <row r="12" spans="2:19" x14ac:dyDescent="0.25">
      <c r="B12" s="48" t="s">
        <v>124</v>
      </c>
      <c r="C12" s="51">
        <f>'Objetivos y KPIs'!H25</f>
        <v>0.73777777777777764</v>
      </c>
      <c r="D12" s="51"/>
      <c r="E12" s="40" t="str">
        <f>IF(C12&gt;=0.9,"✔ En meta",IF(C12&gt;=0.7,"◆ En riesgo","✖ Crítico"))</f>
        <v>◆ En riesgo</v>
      </c>
      <c r="G12" s="20" t="s">
        <v>182</v>
      </c>
      <c r="H12" s="20" t="s">
        <v>138</v>
      </c>
      <c r="I12" s="9" t="s">
        <v>240</v>
      </c>
      <c r="J12" s="9"/>
    </row>
    <row r="13" spans="2:19" x14ac:dyDescent="0.25">
      <c r="B13" s="48" t="s">
        <v>135</v>
      </c>
      <c r="C13" s="51">
        <f>'Objetivos y KPIs'!H26</f>
        <v>0.92063492063492069</v>
      </c>
      <c r="D13" s="51"/>
      <c r="E13" s="40" t="str">
        <f>IF(C13&gt;=0.9,"✔ En meta",IF(C13&gt;=0.7,"◆ En riesgo","✖ Crítico"))</f>
        <v>✔ En meta</v>
      </c>
      <c r="G13" s="48" t="s">
        <v>241</v>
      </c>
      <c r="H13" s="39">
        <f ca="1">COUNTIF('Plan de Acción'!I8:I23,"Completada")</f>
        <v>3</v>
      </c>
      <c r="I13" s="51">
        <f ca="1">IFERROR(H13/COUNTA('Plan de Acción'!B8:B23),0)</f>
        <v>0.1875</v>
      </c>
      <c r="J13" s="51"/>
    </row>
    <row r="14" spans="2:19" x14ac:dyDescent="0.25">
      <c r="B14" s="48" t="s">
        <v>149</v>
      </c>
      <c r="C14" s="51">
        <f>'Objetivos y KPIs'!H27</f>
        <v>0.7284615384615386</v>
      </c>
      <c r="D14" s="51"/>
      <c r="E14" s="40" t="str">
        <f>IF(C14&gt;=0.9,"✔ En meta",IF(C14&gt;=0.7,"◆ En riesgo","✖ Crítico"))</f>
        <v>◆ En riesgo</v>
      </c>
      <c r="G14" s="48" t="s">
        <v>242</v>
      </c>
      <c r="H14" s="39">
        <f ca="1">COUNTIF('Plan de Acción'!I8:I23,"En curso")</f>
        <v>3</v>
      </c>
      <c r="I14" s="51">
        <f ca="1">IFERROR(H14/COUNTA('Plan de Acción'!B8:B23),0)</f>
        <v>0.1875</v>
      </c>
      <c r="J14" s="51"/>
    </row>
    <row r="15" spans="2:19" x14ac:dyDescent="0.25">
      <c r="B15" s="48" t="s">
        <v>161</v>
      </c>
      <c r="C15" s="51">
        <f>'Objetivos y KPIs'!H28</f>
        <v>0.7851851851851851</v>
      </c>
      <c r="D15" s="51"/>
      <c r="E15" s="40" t="str">
        <f>IF(C15&gt;=0.9,"✔ En meta",IF(C15&gt;=0.7,"◆ En riesgo","✖ Crítico"))</f>
        <v>◆ En riesgo</v>
      </c>
      <c r="G15" s="48" t="s">
        <v>243</v>
      </c>
      <c r="H15" s="39">
        <f ca="1">COUNTIF('Plan de Acción'!I8:I23,"En riesgo")</f>
        <v>6</v>
      </c>
      <c r="I15" s="51">
        <f ca="1">IFERROR(H15/COUNTA('Plan de Acción'!B8:B23),0)</f>
        <v>0.375</v>
      </c>
      <c r="J15" s="51"/>
    </row>
    <row r="16" spans="2:19" x14ac:dyDescent="0.25">
      <c r="B16" s="48" t="s">
        <v>173</v>
      </c>
      <c r="C16" s="51">
        <f>'Objetivos y KPIs'!H29</f>
        <v>0.78461538461538471</v>
      </c>
      <c r="D16" s="51"/>
      <c r="E16" s="40" t="str">
        <f>IF(C16&gt;=0.9,"✔ En meta",IF(C16&gt;=0.7,"◆ En riesgo","✖ Crítico"))</f>
        <v>◆ En riesgo</v>
      </c>
      <c r="G16" s="48" t="s">
        <v>244</v>
      </c>
      <c r="H16" s="39">
        <f ca="1">COUNTIF('Plan de Acción'!I8:I23,"Retrasada")</f>
        <v>3</v>
      </c>
      <c r="I16" s="51">
        <f ca="1">IFERROR(H16/COUNTA('Plan de Acción'!B8:B23),0)</f>
        <v>0.1875</v>
      </c>
      <c r="J16" s="51"/>
    </row>
    <row r="17" spans="2:10" x14ac:dyDescent="0.25">
      <c r="G17" s="48" t="s">
        <v>245</v>
      </c>
      <c r="H17" s="39">
        <f ca="1">COUNTIF('Plan de Acción'!I8:I23,"Pendiente")</f>
        <v>1</v>
      </c>
      <c r="I17" s="51">
        <f ca="1">IFERROR(H17/COUNTA('Plan de Acción'!B8:B23),0)</f>
        <v>6.25E-2</v>
      </c>
      <c r="J17" s="51"/>
    </row>
    <row r="20" spans="2:10" ht="25.5" customHeight="1" x14ac:dyDescent="0.25">
      <c r="B20" s="12" t="s">
        <v>246</v>
      </c>
      <c r="C20" s="12"/>
      <c r="D20" s="12"/>
      <c r="E20" s="12"/>
      <c r="G20" s="12" t="s">
        <v>247</v>
      </c>
      <c r="H20" s="12"/>
      <c r="I20" s="12"/>
      <c r="J20" s="12"/>
    </row>
    <row r="21" spans="2:10" ht="24" customHeight="1" x14ac:dyDescent="0.25">
      <c r="B21" s="20" t="s">
        <v>122</v>
      </c>
      <c r="C21" s="20" t="s">
        <v>248</v>
      </c>
      <c r="D21" s="20" t="s">
        <v>249</v>
      </c>
      <c r="E21" s="20" t="s">
        <v>250</v>
      </c>
      <c r="G21" s="20" t="s">
        <v>251</v>
      </c>
      <c r="H21" s="20" t="s">
        <v>252</v>
      </c>
      <c r="I21" s="20" t="s">
        <v>250</v>
      </c>
      <c r="J21" s="20" t="s">
        <v>253</v>
      </c>
    </row>
    <row r="22" spans="2:10" x14ac:dyDescent="0.25">
      <c r="B22" s="48" t="s">
        <v>129</v>
      </c>
      <c r="C22" s="39">
        <f>COUNTIF('Plan de Acción'!E8:E23,"Mireia Castaño")</f>
        <v>4</v>
      </c>
      <c r="D22" s="49">
        <f>IFERROR(AVERAGEIF('Plan de Acción'!E8:E23,"Mireia Castaño",'Plan de Acción'!H8:H23),0)</f>
        <v>0.4375</v>
      </c>
      <c r="E22" s="50">
        <f>SUMIF('Plan de Acción'!E8:E23,"Mireia Castaño",'Plan de Acción'!K8:K23)</f>
        <v>25000</v>
      </c>
      <c r="G22" s="21" t="s">
        <v>160</v>
      </c>
      <c r="H22" s="50">
        <f>SUMIF('Plan de Acción'!C8:C23,"A1",'Plan de Acción'!J8:J23)</f>
        <v>12000</v>
      </c>
      <c r="I22" s="50">
        <f>SUMIF('Plan de Acción'!C8:C23,"A1",'Plan de Acción'!K8:K23)</f>
        <v>3000</v>
      </c>
      <c r="J22" s="49">
        <f t="shared" ref="J22:J33" si="0">IFERROR(I22/H22,0)</f>
        <v>0.25</v>
      </c>
    </row>
    <row r="23" spans="2:10" x14ac:dyDescent="0.25">
      <c r="B23" s="48" t="s">
        <v>139</v>
      </c>
      <c r="C23" s="39">
        <f>COUNTIF('Plan de Acción'!E8:E23,"Javier Ortuño")</f>
        <v>3</v>
      </c>
      <c r="D23" s="49">
        <f>IFERROR(AVERAGEIF('Plan de Acción'!E8:E23,"Javier Ortuño",'Plan de Acción'!H8:H23),0)</f>
        <v>0.5</v>
      </c>
      <c r="E23" s="50">
        <f>SUMIF('Plan de Acción'!E8:E23,"Javier Ortuño",'Plan de Acción'!K8:K23)</f>
        <v>11200</v>
      </c>
      <c r="G23" s="21" t="s">
        <v>166</v>
      </c>
      <c r="H23" s="50">
        <f>SUMIF('Plan de Acción'!C8:C23,"A2",'Plan de Acción'!J8:J23)</f>
        <v>6000</v>
      </c>
      <c r="I23" s="50">
        <f>SUMIF('Plan de Acción'!C8:C23,"A2",'Plan de Acción'!K8:K23)</f>
        <v>3800</v>
      </c>
      <c r="J23" s="49">
        <f t="shared" si="0"/>
        <v>0.6333333333333333</v>
      </c>
    </row>
    <row r="24" spans="2:10" x14ac:dyDescent="0.25">
      <c r="B24" s="48" t="s">
        <v>153</v>
      </c>
      <c r="C24" s="39">
        <f>COUNTIF('Plan de Acción'!E8:E23,"Toni Llopis")</f>
        <v>6</v>
      </c>
      <c r="D24" s="49">
        <f>IFERROR(AVERAGEIF('Plan de Acción'!E8:E23,"Toni Llopis",'Plan de Acción'!H8:H23),0)</f>
        <v>0.51666666666666672</v>
      </c>
      <c r="E24" s="50">
        <f>SUMIF('Plan de Acción'!E8:E23,"Toni Llopis",'Plan de Acción'!K8:K23)</f>
        <v>38400</v>
      </c>
      <c r="G24" s="21" t="s">
        <v>169</v>
      </c>
      <c r="H24" s="50">
        <f>SUMIF('Plan de Acción'!C8:C23,"A3",'Plan de Acción'!J8:J23)</f>
        <v>5000</v>
      </c>
      <c r="I24" s="50">
        <f>SUMIF('Plan de Acción'!C8:C23,"A3",'Plan de Acción'!K8:K23)</f>
        <v>2100</v>
      </c>
      <c r="J24" s="49">
        <f t="shared" si="0"/>
        <v>0.42</v>
      </c>
    </row>
    <row r="25" spans="2:10" x14ac:dyDescent="0.25">
      <c r="B25" s="48" t="s">
        <v>165</v>
      </c>
      <c r="C25" s="39">
        <f>COUNTIF('Plan de Acción'!E8:E23,"Laia Esteve")</f>
        <v>3</v>
      </c>
      <c r="D25" s="49">
        <f>IFERROR(AVERAGEIF('Plan de Acción'!E8:E23,"Laia Esteve",'Plan de Acción'!H8:H23),0)</f>
        <v>0.3666666666666667</v>
      </c>
      <c r="E25" s="50">
        <f>SUMIF('Plan de Acción'!E8:E23,"Laia Esteve",'Plan de Acción'!K8:K23)</f>
        <v>8900</v>
      </c>
      <c r="G25" s="21" t="s">
        <v>134</v>
      </c>
      <c r="H25" s="50">
        <f>SUMIF('Plan de Acción'!C8:C23,"C1",'Plan de Acción'!J8:J23)</f>
        <v>8000</v>
      </c>
      <c r="I25" s="50">
        <f>SUMIF('Plan de Acción'!C8:C23,"C1",'Plan de Acción'!K8:K23)</f>
        <v>3200</v>
      </c>
      <c r="J25" s="49">
        <f t="shared" si="0"/>
        <v>0.4</v>
      </c>
    </row>
    <row r="26" spans="2:10" x14ac:dyDescent="0.25">
      <c r="G26" s="21" t="s">
        <v>140</v>
      </c>
      <c r="H26" s="50">
        <f>SUMIF('Plan de Acción'!C8:C23,"C2",'Plan de Acción'!J8:J23)</f>
        <v>11000</v>
      </c>
      <c r="I26" s="50">
        <f>SUMIF('Plan de Acción'!C8:C23,"C2",'Plan de Acción'!K8:K23)</f>
        <v>2300</v>
      </c>
      <c r="J26" s="49">
        <f t="shared" si="0"/>
        <v>0.20909090909090908</v>
      </c>
    </row>
    <row r="27" spans="2:10" x14ac:dyDescent="0.25">
      <c r="G27" s="21" t="s">
        <v>144</v>
      </c>
      <c r="H27" s="50">
        <f>SUMIF('Plan de Acción'!C8:C23,"C3",'Plan de Acción'!J8:J23)</f>
        <v>18000</v>
      </c>
      <c r="I27" s="50">
        <f>SUMIF('Plan de Acción'!C8:C23,"C3",'Plan de Acción'!K8:K23)</f>
        <v>4500</v>
      </c>
      <c r="J27" s="49">
        <f t="shared" si="0"/>
        <v>0.25</v>
      </c>
    </row>
    <row r="28" spans="2:10" x14ac:dyDescent="0.25">
      <c r="G28" s="21" t="s">
        <v>123</v>
      </c>
      <c r="H28" s="50">
        <f>SUMIF('Plan de Acción'!C8:C23,"F1",'Plan de Acción'!J8:J23)</f>
        <v>63500</v>
      </c>
      <c r="I28" s="50">
        <f>SUMIF('Plan de Acción'!C8:C23,"F1",'Plan de Acción'!K8:K23)</f>
        <v>22700</v>
      </c>
      <c r="J28" s="49">
        <f t="shared" si="0"/>
        <v>0.35748031496062993</v>
      </c>
    </row>
    <row r="29" spans="2:10" x14ac:dyDescent="0.25">
      <c r="G29" s="21" t="s">
        <v>130</v>
      </c>
      <c r="H29" s="50">
        <f>SUMIF('Plan de Acción'!C8:C23,"F2",'Plan de Acción'!J8:J23)</f>
        <v>5000</v>
      </c>
      <c r="I29" s="50">
        <f>SUMIF('Plan de Acción'!C8:C23,"F2",'Plan de Acción'!K8:K23)</f>
        <v>4800</v>
      </c>
      <c r="J29" s="49">
        <f t="shared" si="0"/>
        <v>0.96</v>
      </c>
    </row>
    <row r="30" spans="2:10" x14ac:dyDescent="0.25">
      <c r="G30" s="21" t="s">
        <v>148</v>
      </c>
      <c r="H30" s="50">
        <f>SUMIF('Plan de Acción'!C8:C23,"P1",'Plan de Acción'!J8:J23)</f>
        <v>64000</v>
      </c>
      <c r="I30" s="50">
        <f>SUMIF('Plan de Acción'!C8:C23,"P1",'Plan de Acción'!K8:K23)</f>
        <v>25500</v>
      </c>
      <c r="J30" s="49">
        <f t="shared" si="0"/>
        <v>0.3984375</v>
      </c>
    </row>
    <row r="31" spans="2:10" x14ac:dyDescent="0.25">
      <c r="G31" s="21" t="s">
        <v>154</v>
      </c>
      <c r="H31" s="50">
        <f>SUMIF('Plan de Acción'!C8:C23,"P2",'Plan de Acción'!J8:J23)</f>
        <v>9000</v>
      </c>
      <c r="I31" s="50">
        <f>SUMIF('Plan de Acción'!C8:C23,"P2",'Plan de Acción'!K8:K23)</f>
        <v>6500</v>
      </c>
      <c r="J31" s="49">
        <f t="shared" si="0"/>
        <v>0.72222222222222221</v>
      </c>
    </row>
    <row r="32" spans="2:10" x14ac:dyDescent="0.25">
      <c r="G32" s="21" t="s">
        <v>157</v>
      </c>
      <c r="H32" s="50">
        <f>SUMIF('Plan de Acción'!C8:C23,"P3",'Plan de Acción'!J8:J23)</f>
        <v>4500</v>
      </c>
      <c r="I32" s="50">
        <f>SUMIF('Plan de Acción'!C8:C23,"P3",'Plan de Acción'!K8:K23)</f>
        <v>3900</v>
      </c>
      <c r="J32" s="49">
        <f t="shared" si="0"/>
        <v>0.8666666666666667</v>
      </c>
    </row>
    <row r="33" spans="7:10" x14ac:dyDescent="0.25">
      <c r="G33" s="21" t="s">
        <v>172</v>
      </c>
      <c r="H33" s="50">
        <f>SUMIF('Plan de Acción'!C8:C23,"S1",'Plan de Acción'!J8:J23)</f>
        <v>7000</v>
      </c>
      <c r="I33" s="50">
        <f>SUMIF('Plan de Acción'!C8:C23,"S1",'Plan de Acción'!K8:K23)</f>
        <v>1200</v>
      </c>
      <c r="J33" s="49">
        <f t="shared" si="0"/>
        <v>0.17142857142857143</v>
      </c>
    </row>
    <row r="36" spans="7:10" ht="15" customHeight="1" x14ac:dyDescent="0.25"/>
    <row r="37" spans="7:10" ht="15" customHeight="1" x14ac:dyDescent="0.25"/>
    <row r="38" spans="7:10" ht="15" customHeight="1" x14ac:dyDescent="0.25"/>
    <row r="39" spans="7:10" ht="15" customHeight="1" x14ac:dyDescent="0.25"/>
    <row r="40" spans="7:10" ht="15" customHeight="1" x14ac:dyDescent="0.25"/>
    <row r="41" spans="7:10" ht="15" customHeight="1" x14ac:dyDescent="0.25"/>
    <row r="42" spans="7:10" ht="15" customHeight="1" x14ac:dyDescent="0.25"/>
    <row r="43" spans="7:10" ht="15" customHeight="1" x14ac:dyDescent="0.25"/>
    <row r="44" spans="7:10" ht="15" customHeight="1" x14ac:dyDescent="0.25"/>
    <row r="45" spans="7:10" ht="15" customHeight="1" x14ac:dyDescent="0.25"/>
    <row r="46" spans="7:10" ht="15" customHeight="1" x14ac:dyDescent="0.25"/>
    <row r="47" spans="7:10" ht="15" customHeight="1" x14ac:dyDescent="0.25"/>
    <row r="48" spans="7:1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mergeCells count="26">
    <mergeCell ref="I17:J17"/>
    <mergeCell ref="B20:E20"/>
    <mergeCell ref="G20:J20"/>
    <mergeCell ref="B2:S4"/>
    <mergeCell ref="B5:S5"/>
    <mergeCell ref="C14:D14"/>
    <mergeCell ref="I14:J14"/>
    <mergeCell ref="C15:D15"/>
    <mergeCell ref="I15:J15"/>
    <mergeCell ref="C16:D16"/>
    <mergeCell ref="I16:J16"/>
    <mergeCell ref="C11:D11"/>
    <mergeCell ref="C12:D12"/>
    <mergeCell ref="I12:J12"/>
    <mergeCell ref="C13:D13"/>
    <mergeCell ref="I13:J13"/>
    <mergeCell ref="B8:C8"/>
    <mergeCell ref="D8:E8"/>
    <mergeCell ref="G8:H8"/>
    <mergeCell ref="I8:J8"/>
    <mergeCell ref="B10:E10"/>
    <mergeCell ref="G10:J10"/>
    <mergeCell ref="B7:C7"/>
    <mergeCell ref="D7:E7"/>
    <mergeCell ref="G7:H7"/>
    <mergeCell ref="I7:J7"/>
  </mergeCells>
  <conditionalFormatting sqref="C12:D16">
    <cfRule type="cellIs" dxfId="2" priority="2" operator="lessThan">
      <formula>0.7</formula>
    </cfRule>
    <cfRule type="cellIs" dxfId="1" priority="3" operator="between">
      <formula>0.7</formula>
      <formula>0.9</formula>
    </cfRule>
    <cfRule type="cellIs" dxfId="0" priority="4" operator="greaterThanOrEqual">
      <formula>0.9</formula>
    </cfRule>
  </conditionalFormatting>
  <conditionalFormatting sqref="D22:D25">
    <cfRule type="dataBar" priority="6">
      <dataBar>
        <cfvo type="num" val="0"/>
        <cfvo type="num" val="1"/>
        <color rgb="FF70AD47"/>
      </dataBar>
      <extLst>
        <ext xmlns:x14="http://schemas.microsoft.com/office/spreadsheetml/2009/9/main" uri="{B025F937-C7B1-47D3-B67F-A62EFF666E3E}">
          <x14:id>{DB80A528-377E-4587-AB92-6C1A379510D4}</x14:id>
        </ext>
      </extLst>
    </cfRule>
  </conditionalFormatting>
  <conditionalFormatting sqref="E22:E25">
    <cfRule type="dataBar" priority="7">
      <dataBar>
        <cfvo type="min"/>
        <cfvo type="max"/>
        <color rgb="FFED7D31"/>
      </dataBar>
      <extLst>
        <ext xmlns:x14="http://schemas.microsoft.com/office/spreadsheetml/2009/9/main" uri="{B025F937-C7B1-47D3-B67F-A62EFF666E3E}">
          <x14:id>{7147575F-5B6F-4ED3-9493-58E850EDF299}</x14:id>
        </ext>
      </extLst>
    </cfRule>
  </conditionalFormatting>
  <conditionalFormatting sqref="H13:H17">
    <cfRule type="dataBar" priority="5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{6F7FAB8A-2F3D-4F98-A25E-60C470403481}</x14:id>
        </ext>
      </extLst>
    </cfRule>
  </conditionalFormatting>
  <conditionalFormatting sqref="J22:J33">
    <cfRule type="dataBar" priority="8">
      <dataBar>
        <cfvo type="num" val="0"/>
        <cfvo type="num" val="1.5"/>
        <color rgb="FF5B9BD5"/>
      </dataBar>
      <extLst>
        <ext xmlns:x14="http://schemas.microsoft.com/office/spreadsheetml/2009/9/main" uri="{B025F937-C7B1-47D3-B67F-A62EFF666E3E}">
          <x14:id>{407AE4AF-512F-4636-B25D-1E13D3323B9C}</x14:id>
        </ext>
      </extLst>
    </cfRule>
  </conditionalFormatting>
  <printOptions horizontalCentered="1"/>
  <pageMargins left="0.4" right="0.4" top="0.5" bottom="0.5" header="0.511811023622047" footer="0.511811023622047"/>
  <pageSetup paperSize="9" fitToHeight="0" orientation="landscape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0A528-377E-4587-AB92-6C1A379510D4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70AD47"/>
            </x14:dataBar>
          </x14:cfRule>
          <xm:sqref>D22:D25</xm:sqref>
        </x14:conditionalFormatting>
        <x14:conditionalFormatting xmlns:xm="http://schemas.microsoft.com/office/excel/2006/main">
          <x14:cfRule type="dataBar" id="{7147575F-5B6F-4ED3-9493-58E850EDF299}">
            <x14:dataBar axisPosition="none">
              <x14:cfvo type="min"/>
              <x14:cfvo type="max"/>
              <x14:negativeFillColor rgb="FFED7D31"/>
            </x14:dataBar>
          </x14:cfRule>
          <xm:sqref>E22:E25</xm:sqref>
        </x14:conditionalFormatting>
        <x14:conditionalFormatting xmlns:xm="http://schemas.microsoft.com/office/excel/2006/main">
          <x14:cfRule type="dataBar" id="{6F7FAB8A-2F3D-4F98-A25E-60C470403481}">
            <x14:dataBar axisPosition="none">
              <x14:cfvo type="min"/>
              <x14:cfvo type="max"/>
              <x14:negativeFillColor rgb="FF5B9BD5"/>
            </x14:dataBar>
          </x14:cfRule>
          <xm:sqref>H13:H17</xm:sqref>
        </x14:conditionalFormatting>
        <x14:conditionalFormatting xmlns:xm="http://schemas.microsoft.com/office/excel/2006/main">
          <x14:cfRule type="dataBar" id="{407AE4AF-512F-4636-B25D-1E13D3323B9C}">
            <x14:dataBar axisPosition="none">
              <x14:cfvo type="num">
                <xm:f>0</xm:f>
              </x14:cfvo>
              <x14:cfvo type="num">
                <xm:f>1.5</xm:f>
              </x14:cfvo>
              <x14:negativeFillColor rgb="FF5B9BD5"/>
            </x14:dataBar>
          </x14:cfRule>
          <xm:sqref>J22:J33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A5F"/>
    <pageSetUpPr fitToPage="1"/>
  </sheetPr>
  <dimension ref="B2:F33"/>
  <sheetViews>
    <sheetView showGridLines="0" zoomScaleNormal="100" workbookViewId="0">
      <selection activeCell="I20" sqref="I20"/>
    </sheetView>
  </sheetViews>
  <sheetFormatPr baseColWidth="10" defaultColWidth="8.7109375" defaultRowHeight="15" x14ac:dyDescent="0.25"/>
  <cols>
    <col min="1" max="1" width="2" customWidth="1"/>
    <col min="2" max="2" width="20" customWidth="1"/>
    <col min="3" max="3" width="24" customWidth="1"/>
    <col min="4" max="4" width="14" customWidth="1"/>
    <col min="5" max="5" width="20" customWidth="1"/>
    <col min="6" max="6" width="24" customWidth="1"/>
    <col min="7" max="7" width="2" customWidth="1"/>
  </cols>
  <sheetData>
    <row r="2" spans="2:6" ht="25.5" customHeight="1" x14ac:dyDescent="0.25">
      <c r="B2" s="14" t="s">
        <v>0</v>
      </c>
      <c r="C2" s="14"/>
      <c r="D2" s="14"/>
      <c r="E2" s="14"/>
      <c r="F2" s="14"/>
    </row>
    <row r="3" spans="2:6" ht="25.5" customHeight="1" x14ac:dyDescent="0.25">
      <c r="B3" s="14"/>
      <c r="C3" s="14"/>
      <c r="D3" s="14"/>
      <c r="E3" s="14"/>
      <c r="F3" s="14"/>
    </row>
    <row r="4" spans="2:6" ht="25.5" customHeight="1" x14ac:dyDescent="0.25">
      <c r="B4" s="14"/>
      <c r="C4" s="14"/>
      <c r="D4" s="14"/>
      <c r="E4" s="14"/>
      <c r="F4" s="14"/>
    </row>
    <row r="5" spans="2:6" ht="21.75" customHeight="1" x14ac:dyDescent="0.25">
      <c r="B5" s="13" t="s">
        <v>1</v>
      </c>
      <c r="C5" s="13"/>
      <c r="D5" s="13"/>
      <c r="E5" s="13"/>
      <c r="F5" s="13"/>
    </row>
    <row r="7" spans="2:6" ht="27.75" customHeight="1" x14ac:dyDescent="0.25">
      <c r="B7" s="12" t="s">
        <v>2</v>
      </c>
      <c r="C7" s="12"/>
      <c r="D7" s="12"/>
      <c r="E7" s="12"/>
      <c r="F7" s="12"/>
    </row>
    <row r="8" spans="2:6" ht="21.75" customHeight="1" x14ac:dyDescent="0.25">
      <c r="B8" s="15" t="s">
        <v>3</v>
      </c>
      <c r="C8" s="16" t="s">
        <v>4</v>
      </c>
      <c r="D8" s="17"/>
      <c r="E8" s="15" t="s">
        <v>5</v>
      </c>
      <c r="F8" s="16" t="s">
        <v>6</v>
      </c>
    </row>
    <row r="9" spans="2:6" ht="21.75" customHeight="1" x14ac:dyDescent="0.25">
      <c r="B9" s="15" t="s">
        <v>7</v>
      </c>
      <c r="C9" s="16" t="s">
        <v>8</v>
      </c>
      <c r="D9" s="17"/>
      <c r="E9" s="15" t="s">
        <v>9</v>
      </c>
      <c r="F9" s="16" t="s">
        <v>6</v>
      </c>
    </row>
    <row r="10" spans="2:6" ht="21.75" customHeight="1" x14ac:dyDescent="0.25">
      <c r="B10" s="15" t="s">
        <v>10</v>
      </c>
      <c r="C10" s="16" t="s">
        <v>11</v>
      </c>
      <c r="D10" s="17"/>
      <c r="E10" s="15" t="s">
        <v>12</v>
      </c>
      <c r="F10" s="16" t="s">
        <v>6</v>
      </c>
    </row>
    <row r="11" spans="2:6" ht="21.75" customHeight="1" x14ac:dyDescent="0.25">
      <c r="B11" s="15" t="s">
        <v>13</v>
      </c>
      <c r="C11" s="16" t="s">
        <v>14</v>
      </c>
      <c r="D11" s="17"/>
      <c r="E11" s="15" t="s">
        <v>15</v>
      </c>
      <c r="F11" s="16" t="s">
        <v>16</v>
      </c>
    </row>
    <row r="12" spans="2:6" ht="21.75" customHeight="1" x14ac:dyDescent="0.25">
      <c r="B12" s="15" t="s">
        <v>17</v>
      </c>
      <c r="C12" s="16" t="s">
        <v>18</v>
      </c>
      <c r="D12" s="17"/>
      <c r="E12" s="15" t="s">
        <v>19</v>
      </c>
      <c r="F12" s="16" t="s">
        <v>20</v>
      </c>
    </row>
    <row r="13" spans="2:6" ht="21.75" customHeight="1" x14ac:dyDescent="0.25">
      <c r="B13" s="15" t="s">
        <v>21</v>
      </c>
      <c r="C13" s="16">
        <v>45</v>
      </c>
      <c r="D13" s="17"/>
      <c r="E13" s="15" t="s">
        <v>22</v>
      </c>
      <c r="F13" s="16" t="s">
        <v>23</v>
      </c>
    </row>
    <row r="15" spans="2:6" ht="27.75" customHeight="1" x14ac:dyDescent="0.25">
      <c r="B15" s="12" t="s">
        <v>24</v>
      </c>
      <c r="C15" s="12"/>
      <c r="D15" s="12"/>
      <c r="E15" s="12"/>
      <c r="F15" s="12"/>
    </row>
    <row r="16" spans="2:6" ht="21.75" customHeight="1" x14ac:dyDescent="0.25">
      <c r="B16" s="11" t="s">
        <v>25</v>
      </c>
      <c r="C16" s="11"/>
      <c r="D16" s="11"/>
      <c r="E16" s="11"/>
      <c r="F16" s="11"/>
    </row>
    <row r="17" spans="2:6" ht="54.75" customHeight="1" x14ac:dyDescent="0.25">
      <c r="B17" s="10" t="s">
        <v>26</v>
      </c>
      <c r="C17" s="10"/>
      <c r="D17" s="10"/>
      <c r="E17" s="10"/>
      <c r="F17" s="10"/>
    </row>
    <row r="19" spans="2:6" ht="21.75" customHeight="1" x14ac:dyDescent="0.25">
      <c r="B19" s="11" t="s">
        <v>27</v>
      </c>
      <c r="C19" s="11"/>
      <c r="D19" s="11"/>
      <c r="E19" s="11"/>
      <c r="F19" s="11"/>
    </row>
    <row r="20" spans="2:6" ht="45" customHeight="1" x14ac:dyDescent="0.25">
      <c r="B20" s="10" t="s">
        <v>28</v>
      </c>
      <c r="C20" s="10"/>
      <c r="D20" s="10"/>
      <c r="E20" s="10"/>
      <c r="F20" s="10"/>
    </row>
    <row r="22" spans="2:6" ht="21.75" customHeight="1" x14ac:dyDescent="0.25">
      <c r="B22" s="11" t="s">
        <v>29</v>
      </c>
      <c r="C22" s="11"/>
      <c r="D22" s="11"/>
      <c r="E22" s="11"/>
      <c r="F22" s="11"/>
    </row>
    <row r="23" spans="2:6" ht="24" customHeight="1" x14ac:dyDescent="0.25">
      <c r="B23" s="18" t="s">
        <v>30</v>
      </c>
      <c r="C23" s="18" t="s">
        <v>31</v>
      </c>
      <c r="D23" s="18" t="s">
        <v>32</v>
      </c>
      <c r="E23" s="18" t="s">
        <v>33</v>
      </c>
      <c r="F23" s="18" t="s">
        <v>34</v>
      </c>
    </row>
    <row r="24" spans="2:6" ht="69.75" customHeight="1" x14ac:dyDescent="0.25">
      <c r="B24" s="19" t="s">
        <v>35</v>
      </c>
      <c r="C24" s="19" t="s">
        <v>36</v>
      </c>
      <c r="D24" s="19" t="s">
        <v>37</v>
      </c>
      <c r="E24" s="19" t="s">
        <v>38</v>
      </c>
      <c r="F24" s="19" t="s">
        <v>39</v>
      </c>
    </row>
    <row r="26" spans="2:6" ht="27.75" customHeight="1" x14ac:dyDescent="0.25">
      <c r="B26" s="12" t="s">
        <v>40</v>
      </c>
      <c r="C26" s="12"/>
      <c r="D26" s="12"/>
      <c r="E26" s="12"/>
      <c r="F26" s="12"/>
    </row>
    <row r="27" spans="2:6" ht="24" customHeight="1" x14ac:dyDescent="0.25">
      <c r="B27" s="20" t="s">
        <v>41</v>
      </c>
      <c r="C27" s="20" t="s">
        <v>42</v>
      </c>
      <c r="D27" s="9" t="s">
        <v>43</v>
      </c>
      <c r="E27" s="9"/>
      <c r="F27" s="9"/>
    </row>
    <row r="28" spans="2:6" ht="27.75" customHeight="1" x14ac:dyDescent="0.25">
      <c r="B28" s="21" t="s">
        <v>44</v>
      </c>
      <c r="C28" s="22" t="s">
        <v>45</v>
      </c>
      <c r="D28" s="8" t="s">
        <v>46</v>
      </c>
      <c r="E28" s="8"/>
      <c r="F28" s="8"/>
    </row>
    <row r="29" spans="2:6" ht="27.75" customHeight="1" x14ac:dyDescent="0.25">
      <c r="B29" s="21" t="s">
        <v>47</v>
      </c>
      <c r="C29" s="22" t="s">
        <v>48</v>
      </c>
      <c r="D29" s="8" t="s">
        <v>49</v>
      </c>
      <c r="E29" s="8"/>
      <c r="F29" s="8"/>
    </row>
    <row r="30" spans="2:6" ht="27.75" customHeight="1" x14ac:dyDescent="0.25">
      <c r="B30" s="21" t="s">
        <v>50</v>
      </c>
      <c r="C30" s="22" t="s">
        <v>51</v>
      </c>
      <c r="D30" s="8" t="s">
        <v>52</v>
      </c>
      <c r="E30" s="8"/>
      <c r="F30" s="8"/>
    </row>
    <row r="31" spans="2:6" ht="27.75" customHeight="1" x14ac:dyDescent="0.25">
      <c r="B31" s="21" t="s">
        <v>53</v>
      </c>
      <c r="C31" s="22" t="s">
        <v>54</v>
      </c>
      <c r="D31" s="8" t="s">
        <v>55</v>
      </c>
      <c r="E31" s="8"/>
      <c r="F31" s="8"/>
    </row>
    <row r="33" spans="2:6" ht="31.5" customHeight="1" x14ac:dyDescent="0.25">
      <c r="B33" s="7" t="s">
        <v>56</v>
      </c>
      <c r="C33" s="7"/>
      <c r="D33" s="7"/>
      <c r="E33" s="7"/>
      <c r="F33" s="7"/>
    </row>
  </sheetData>
  <mergeCells count="16">
    <mergeCell ref="B33:F33"/>
    <mergeCell ref="D27:F27"/>
    <mergeCell ref="D28:F28"/>
    <mergeCell ref="D29:F29"/>
    <mergeCell ref="D30:F30"/>
    <mergeCell ref="D31:F31"/>
    <mergeCell ref="B17:F17"/>
    <mergeCell ref="B19:F19"/>
    <mergeCell ref="B20:F20"/>
    <mergeCell ref="B22:F22"/>
    <mergeCell ref="B26:F26"/>
    <mergeCell ref="B2:F4"/>
    <mergeCell ref="B5:F5"/>
    <mergeCell ref="B7:F7"/>
    <mergeCell ref="B15:F15"/>
    <mergeCell ref="B16:F16"/>
  </mergeCells>
  <printOptions horizontalCentered="1"/>
  <pageMargins left="0.4" right="0.4" top="0.5" bottom="0.5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A5F"/>
    <pageSetUpPr fitToPage="1"/>
  </sheetPr>
  <dimension ref="B2:F21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3" width="26" customWidth="1"/>
    <col min="4" max="4" width="4" customWidth="1"/>
    <col min="5" max="6" width="26" customWidth="1"/>
    <col min="7" max="7" width="2" customWidth="1"/>
  </cols>
  <sheetData>
    <row r="2" spans="2:6" ht="25.5" customHeight="1" x14ac:dyDescent="0.25">
      <c r="B2" s="14" t="s">
        <v>57</v>
      </c>
      <c r="C2" s="14"/>
      <c r="D2" s="14"/>
      <c r="E2" s="14"/>
      <c r="F2" s="14"/>
    </row>
    <row r="3" spans="2:6" ht="25.5" customHeight="1" x14ac:dyDescent="0.25">
      <c r="B3" s="14"/>
      <c r="C3" s="14"/>
      <c r="D3" s="14"/>
      <c r="E3" s="14"/>
      <c r="F3" s="14"/>
    </row>
    <row r="4" spans="2:6" ht="25.5" customHeight="1" x14ac:dyDescent="0.25">
      <c r="B4" s="14"/>
      <c r="C4" s="14"/>
      <c r="D4" s="14"/>
      <c r="E4" s="14"/>
      <c r="F4" s="14"/>
    </row>
    <row r="5" spans="2:6" ht="21.75" customHeight="1" x14ac:dyDescent="0.25">
      <c r="B5" s="13" t="s">
        <v>58</v>
      </c>
      <c r="C5" s="13"/>
      <c r="D5" s="13"/>
      <c r="E5" s="13"/>
      <c r="F5" s="13"/>
    </row>
    <row r="7" spans="2:6" ht="24" customHeight="1" x14ac:dyDescent="0.25">
      <c r="B7" s="6" t="s">
        <v>59</v>
      </c>
      <c r="C7" s="6"/>
      <c r="E7" s="6" t="s">
        <v>60</v>
      </c>
      <c r="F7" s="6"/>
    </row>
    <row r="8" spans="2:6" ht="25.5" customHeight="1" x14ac:dyDescent="0.25">
      <c r="B8" s="23" t="s">
        <v>61</v>
      </c>
      <c r="C8" s="24" t="s">
        <v>62</v>
      </c>
      <c r="E8" s="25" t="s">
        <v>63</v>
      </c>
      <c r="F8" s="26" t="s">
        <v>64</v>
      </c>
    </row>
    <row r="9" spans="2:6" ht="27.75" customHeight="1" x14ac:dyDescent="0.25">
      <c r="B9" s="27" t="s">
        <v>65</v>
      </c>
      <c r="C9" s="28" t="s">
        <v>66</v>
      </c>
      <c r="E9" s="29" t="s">
        <v>67</v>
      </c>
      <c r="F9" s="30" t="s">
        <v>68</v>
      </c>
    </row>
    <row r="10" spans="2:6" ht="27.75" customHeight="1" x14ac:dyDescent="0.25">
      <c r="B10" s="27" t="s">
        <v>69</v>
      </c>
      <c r="C10" s="28" t="s">
        <v>70</v>
      </c>
      <c r="E10" s="29" t="s">
        <v>71</v>
      </c>
      <c r="F10" s="30" t="s">
        <v>72</v>
      </c>
    </row>
    <row r="11" spans="2:6" ht="27.75" customHeight="1" x14ac:dyDescent="0.25">
      <c r="B11" s="27" t="s">
        <v>73</v>
      </c>
      <c r="C11" s="28" t="s">
        <v>74</v>
      </c>
      <c r="E11" s="29" t="s">
        <v>75</v>
      </c>
      <c r="F11" s="30" t="s">
        <v>76</v>
      </c>
    </row>
    <row r="12" spans="2:6" ht="27.75" customHeight="1" x14ac:dyDescent="0.25">
      <c r="B12" s="27" t="s">
        <v>77</v>
      </c>
      <c r="C12" s="28" t="s">
        <v>78</v>
      </c>
      <c r="E12" s="29" t="s">
        <v>79</v>
      </c>
      <c r="F12" s="30" t="s">
        <v>80</v>
      </c>
    </row>
    <row r="13" spans="2:6" ht="27.75" customHeight="1" x14ac:dyDescent="0.25">
      <c r="B13" s="27" t="s">
        <v>81</v>
      </c>
      <c r="C13" s="28" t="s">
        <v>82</v>
      </c>
      <c r="E13" s="29" t="s">
        <v>83</v>
      </c>
      <c r="F13" s="30" t="s">
        <v>84</v>
      </c>
    </row>
    <row r="14" spans="2:6" ht="27.75" customHeight="1" x14ac:dyDescent="0.25">
      <c r="B14" s="27" t="s">
        <v>85</v>
      </c>
      <c r="C14" s="28" t="s">
        <v>86</v>
      </c>
      <c r="E14" s="29" t="s">
        <v>87</v>
      </c>
      <c r="F14" s="30" t="s">
        <v>88</v>
      </c>
    </row>
    <row r="15" spans="2:6" ht="27.75" customHeight="1" x14ac:dyDescent="0.25">
      <c r="B15" s="27" t="s">
        <v>89</v>
      </c>
      <c r="C15" s="28" t="s">
        <v>90</v>
      </c>
      <c r="E15" s="29" t="s">
        <v>91</v>
      </c>
      <c r="F15" s="30" t="s">
        <v>92</v>
      </c>
    </row>
    <row r="17" spans="2:6" ht="27.75" customHeight="1" x14ac:dyDescent="0.25">
      <c r="B17" s="12" t="s">
        <v>93</v>
      </c>
      <c r="C17" s="12"/>
      <c r="D17" s="12"/>
      <c r="E17" s="12"/>
      <c r="F17" s="12"/>
    </row>
    <row r="18" spans="2:6" ht="25.5" customHeight="1" x14ac:dyDescent="0.25">
      <c r="B18" s="24" t="s">
        <v>94</v>
      </c>
      <c r="C18" s="26" t="s">
        <v>95</v>
      </c>
      <c r="E18" s="23" t="s">
        <v>96</v>
      </c>
      <c r="F18" s="25" t="s">
        <v>97</v>
      </c>
    </row>
    <row r="19" spans="2:6" ht="31.5" customHeight="1" x14ac:dyDescent="0.25">
      <c r="B19" s="28" t="s">
        <v>98</v>
      </c>
      <c r="C19" s="30" t="s">
        <v>99</v>
      </c>
      <c r="E19" s="27" t="s">
        <v>100</v>
      </c>
      <c r="F19" s="29" t="s">
        <v>101</v>
      </c>
    </row>
    <row r="20" spans="2:6" ht="31.5" customHeight="1" x14ac:dyDescent="0.25">
      <c r="B20" s="28" t="s">
        <v>102</v>
      </c>
      <c r="C20" s="30" t="s">
        <v>103</v>
      </c>
      <c r="E20" s="27" t="s">
        <v>104</v>
      </c>
      <c r="F20" s="29" t="s">
        <v>105</v>
      </c>
    </row>
    <row r="21" spans="2:6" ht="31.5" customHeight="1" x14ac:dyDescent="0.25">
      <c r="B21" s="28" t="s">
        <v>106</v>
      </c>
      <c r="C21" s="30" t="s">
        <v>107</v>
      </c>
      <c r="E21" s="27" t="s">
        <v>108</v>
      </c>
      <c r="F21" s="29" t="s">
        <v>109</v>
      </c>
    </row>
  </sheetData>
  <mergeCells count="5">
    <mergeCell ref="B2:F4"/>
    <mergeCell ref="B5:F5"/>
    <mergeCell ref="B7:C7"/>
    <mergeCell ref="E7:F7"/>
    <mergeCell ref="B17:F17"/>
  </mergeCells>
  <printOptions horizontalCentered="1"/>
  <pageMargins left="0.4" right="0.4" top="0.5" bottom="0.5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3A5F"/>
    <pageSetUpPr fitToPage="1"/>
  </sheetPr>
  <dimension ref="B2:M32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baseColWidth="10" defaultColWidth="8.7109375" defaultRowHeight="15" x14ac:dyDescent="0.25"/>
  <cols>
    <col min="1" max="1" width="2" customWidth="1"/>
    <col min="2" max="2" width="8" customWidth="1"/>
    <col min="3" max="3" width="16" customWidth="1"/>
    <col min="4" max="4" width="28" customWidth="1"/>
    <col min="5" max="5" width="22" customWidth="1"/>
    <col min="6" max="6" width="9" customWidth="1"/>
    <col min="7" max="7" width="12" customWidth="1"/>
    <col min="8" max="9" width="11" customWidth="1"/>
    <col min="10" max="10" width="12" customWidth="1"/>
    <col min="11" max="11" width="7" customWidth="1"/>
    <col min="12" max="12" width="10" customWidth="1"/>
    <col min="13" max="13" width="16" customWidth="1"/>
    <col min="14" max="14" width="2" customWidth="1"/>
  </cols>
  <sheetData>
    <row r="2" spans="2:13" ht="25.5" customHeight="1" x14ac:dyDescent="0.25">
      <c r="B2" s="14" t="s">
        <v>110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25.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3" ht="25.5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ht="21.75" customHeight="1" x14ac:dyDescent="0.25">
      <c r="B5" s="13" t="s">
        <v>111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7" spans="2:13" ht="31.5" customHeight="1" x14ac:dyDescent="0.25">
      <c r="B7" s="20" t="s">
        <v>41</v>
      </c>
      <c r="C7" s="20" t="s">
        <v>112</v>
      </c>
      <c r="D7" s="20" t="s">
        <v>113</v>
      </c>
      <c r="E7" s="20" t="s">
        <v>114</v>
      </c>
      <c r="F7" s="20" t="s">
        <v>115</v>
      </c>
      <c r="G7" s="20" t="s">
        <v>116</v>
      </c>
      <c r="H7" s="20" t="s">
        <v>117</v>
      </c>
      <c r="I7" s="20" t="s">
        <v>118</v>
      </c>
      <c r="J7" s="20" t="s">
        <v>119</v>
      </c>
      <c r="K7" s="20" t="s">
        <v>120</v>
      </c>
      <c r="L7" s="20" t="s">
        <v>121</v>
      </c>
      <c r="M7" s="20" t="s">
        <v>122</v>
      </c>
    </row>
    <row r="8" spans="2:13" ht="30" customHeight="1" x14ac:dyDescent="0.25">
      <c r="B8" s="21" t="s">
        <v>123</v>
      </c>
      <c r="C8" s="16" t="s">
        <v>124</v>
      </c>
      <c r="D8" s="16" t="s">
        <v>125</v>
      </c>
      <c r="E8" s="16" t="s">
        <v>126</v>
      </c>
      <c r="F8" s="31" t="s">
        <v>127</v>
      </c>
      <c r="G8" s="32">
        <v>1750000</v>
      </c>
      <c r="H8" s="32">
        <v>2500000</v>
      </c>
      <c r="I8" s="32">
        <v>2280000</v>
      </c>
      <c r="J8" s="33" t="s">
        <v>128</v>
      </c>
      <c r="K8" s="34">
        <v>0.2</v>
      </c>
      <c r="L8" s="35">
        <f t="shared" ref="L8:L19" si="0">IFERROR(IF(J8="↑",MAX(0,MIN(1.5,(I8-G8)/(H8-G8))),MAX(0,MIN(1.5,(G8-I8)/(G8-H8)))),0)</f>
        <v>0.70666666666666667</v>
      </c>
      <c r="M8" s="16" t="s">
        <v>129</v>
      </c>
    </row>
    <row r="9" spans="2:13" ht="30" customHeight="1" x14ac:dyDescent="0.25">
      <c r="B9" s="21" t="s">
        <v>130</v>
      </c>
      <c r="C9" s="16" t="s">
        <v>124</v>
      </c>
      <c r="D9" s="16" t="s">
        <v>131</v>
      </c>
      <c r="E9" s="16" t="s">
        <v>132</v>
      </c>
      <c r="F9" s="31" t="s">
        <v>133</v>
      </c>
      <c r="G9" s="36">
        <v>0.32</v>
      </c>
      <c r="H9" s="36">
        <v>0.38</v>
      </c>
      <c r="I9" s="36">
        <v>0.36799999999999999</v>
      </c>
      <c r="J9" s="33" t="s">
        <v>128</v>
      </c>
      <c r="K9" s="34">
        <v>0.1</v>
      </c>
      <c r="L9" s="35">
        <f t="shared" si="0"/>
        <v>0.79999999999999982</v>
      </c>
      <c r="M9" s="16" t="s">
        <v>129</v>
      </c>
    </row>
    <row r="10" spans="2:13" ht="30" customHeight="1" x14ac:dyDescent="0.25">
      <c r="B10" s="21" t="s">
        <v>134</v>
      </c>
      <c r="C10" s="16" t="s">
        <v>135</v>
      </c>
      <c r="D10" s="16" t="s">
        <v>136</v>
      </c>
      <c r="E10" s="16" t="s">
        <v>137</v>
      </c>
      <c r="F10" s="31" t="s">
        <v>138</v>
      </c>
      <c r="G10" s="37">
        <v>85</v>
      </c>
      <c r="H10" s="37">
        <v>120</v>
      </c>
      <c r="I10" s="37">
        <v>115</v>
      </c>
      <c r="J10" s="33" t="s">
        <v>128</v>
      </c>
      <c r="K10" s="34">
        <v>0.1</v>
      </c>
      <c r="L10" s="35">
        <f t="shared" si="0"/>
        <v>0.8571428571428571</v>
      </c>
      <c r="M10" s="16" t="s">
        <v>139</v>
      </c>
    </row>
    <row r="11" spans="2:13" ht="30" customHeight="1" x14ac:dyDescent="0.25">
      <c r="B11" s="21" t="s">
        <v>140</v>
      </c>
      <c r="C11" s="16" t="s">
        <v>135</v>
      </c>
      <c r="D11" s="16" t="s">
        <v>141</v>
      </c>
      <c r="E11" s="16" t="s">
        <v>142</v>
      </c>
      <c r="F11" s="31" t="s">
        <v>143</v>
      </c>
      <c r="G11" s="38">
        <v>42</v>
      </c>
      <c r="H11" s="38">
        <v>60</v>
      </c>
      <c r="I11" s="38">
        <v>62</v>
      </c>
      <c r="J11" s="33" t="s">
        <v>128</v>
      </c>
      <c r="K11" s="34">
        <v>0.1</v>
      </c>
      <c r="L11" s="35">
        <f t="shared" si="0"/>
        <v>1.1111111111111112</v>
      </c>
      <c r="M11" s="16" t="s">
        <v>139</v>
      </c>
    </row>
    <row r="12" spans="2:13" ht="30" customHeight="1" x14ac:dyDescent="0.25">
      <c r="B12" s="21" t="s">
        <v>144</v>
      </c>
      <c r="C12" s="16" t="s">
        <v>135</v>
      </c>
      <c r="D12" s="16" t="s">
        <v>145</v>
      </c>
      <c r="E12" s="16" t="s">
        <v>146</v>
      </c>
      <c r="F12" s="31" t="s">
        <v>133</v>
      </c>
      <c r="G12" s="36">
        <v>0.6</v>
      </c>
      <c r="H12" s="36">
        <v>0.45</v>
      </c>
      <c r="I12" s="36">
        <v>0.5</v>
      </c>
      <c r="J12" s="33" t="s">
        <v>147</v>
      </c>
      <c r="K12" s="34">
        <v>0.05</v>
      </c>
      <c r="L12" s="35">
        <f t="shared" si="0"/>
        <v>0.66666666666666663</v>
      </c>
      <c r="M12" s="16" t="s">
        <v>139</v>
      </c>
    </row>
    <row r="13" spans="2:13" ht="30" customHeight="1" x14ac:dyDescent="0.25">
      <c r="B13" s="21" t="s">
        <v>148</v>
      </c>
      <c r="C13" s="16" t="s">
        <v>149</v>
      </c>
      <c r="D13" s="16" t="s">
        <v>150</v>
      </c>
      <c r="E13" s="16" t="s">
        <v>151</v>
      </c>
      <c r="F13" s="31" t="s">
        <v>152</v>
      </c>
      <c r="G13" s="37">
        <v>220000</v>
      </c>
      <c r="H13" s="37">
        <v>350000</v>
      </c>
      <c r="I13" s="37">
        <v>308000</v>
      </c>
      <c r="J13" s="33" t="s">
        <v>128</v>
      </c>
      <c r="K13" s="34">
        <v>0.1</v>
      </c>
      <c r="L13" s="35">
        <f t="shared" si="0"/>
        <v>0.67692307692307696</v>
      </c>
      <c r="M13" s="16" t="s">
        <v>153</v>
      </c>
    </row>
    <row r="14" spans="2:13" ht="30" customHeight="1" x14ac:dyDescent="0.25">
      <c r="B14" s="21" t="s">
        <v>154</v>
      </c>
      <c r="C14" s="16" t="s">
        <v>149</v>
      </c>
      <c r="D14" s="16" t="s">
        <v>155</v>
      </c>
      <c r="E14" s="16" t="s">
        <v>156</v>
      </c>
      <c r="F14" s="31" t="s">
        <v>133</v>
      </c>
      <c r="G14" s="36">
        <v>2.8000000000000001E-2</v>
      </c>
      <c r="H14" s="36">
        <v>1.4999999999999999E-2</v>
      </c>
      <c r="I14" s="36">
        <v>1.7999999999999999E-2</v>
      </c>
      <c r="J14" s="33" t="s">
        <v>147</v>
      </c>
      <c r="K14" s="34">
        <v>0.1</v>
      </c>
      <c r="L14" s="35">
        <f t="shared" si="0"/>
        <v>0.76923076923076927</v>
      </c>
      <c r="M14" s="16" t="s">
        <v>153</v>
      </c>
    </row>
    <row r="15" spans="2:13" ht="30" customHeight="1" x14ac:dyDescent="0.25">
      <c r="B15" s="21" t="s">
        <v>157</v>
      </c>
      <c r="C15" s="16" t="s">
        <v>149</v>
      </c>
      <c r="D15" s="16" t="s">
        <v>158</v>
      </c>
      <c r="E15" s="16" t="s">
        <v>159</v>
      </c>
      <c r="F15" s="31" t="s">
        <v>133</v>
      </c>
      <c r="G15" s="36">
        <v>0.4</v>
      </c>
      <c r="H15" s="36">
        <v>0.6</v>
      </c>
      <c r="I15" s="36">
        <v>0.55000000000000004</v>
      </c>
      <c r="J15" s="33" t="s">
        <v>128</v>
      </c>
      <c r="K15" s="34">
        <v>0.05</v>
      </c>
      <c r="L15" s="35">
        <f t="shared" si="0"/>
        <v>0.75000000000000022</v>
      </c>
      <c r="M15" s="16" t="s">
        <v>153</v>
      </c>
    </row>
    <row r="16" spans="2:13" ht="30" customHeight="1" x14ac:dyDescent="0.25">
      <c r="B16" s="21" t="s">
        <v>160</v>
      </c>
      <c r="C16" s="16" t="s">
        <v>161</v>
      </c>
      <c r="D16" s="16" t="s">
        <v>162</v>
      </c>
      <c r="E16" s="16" t="s">
        <v>163</v>
      </c>
      <c r="F16" s="31" t="s">
        <v>164</v>
      </c>
      <c r="G16" s="38">
        <v>22</v>
      </c>
      <c r="H16" s="38">
        <v>40</v>
      </c>
      <c r="I16" s="38">
        <v>35</v>
      </c>
      <c r="J16" s="33" t="s">
        <v>128</v>
      </c>
      <c r="K16" s="34">
        <v>0.05</v>
      </c>
      <c r="L16" s="35">
        <f t="shared" si="0"/>
        <v>0.72222222222222221</v>
      </c>
      <c r="M16" s="16" t="s">
        <v>165</v>
      </c>
    </row>
    <row r="17" spans="2:13" ht="30" customHeight="1" x14ac:dyDescent="0.25">
      <c r="B17" s="21" t="s">
        <v>166</v>
      </c>
      <c r="C17" s="16" t="s">
        <v>161</v>
      </c>
      <c r="D17" s="16" t="s">
        <v>167</v>
      </c>
      <c r="E17" s="16" t="s">
        <v>168</v>
      </c>
      <c r="F17" s="31" t="s">
        <v>133</v>
      </c>
      <c r="G17" s="36">
        <v>0.14000000000000001</v>
      </c>
      <c r="H17" s="36">
        <v>0.08</v>
      </c>
      <c r="I17" s="36">
        <v>0.09</v>
      </c>
      <c r="J17" s="33" t="s">
        <v>147</v>
      </c>
      <c r="K17" s="34">
        <v>0.05</v>
      </c>
      <c r="L17" s="35">
        <f t="shared" si="0"/>
        <v>0.83333333333333348</v>
      </c>
      <c r="M17" s="16" t="s">
        <v>165</v>
      </c>
    </row>
    <row r="18" spans="2:13" ht="30" customHeight="1" x14ac:dyDescent="0.25">
      <c r="B18" s="21" t="s">
        <v>169</v>
      </c>
      <c r="C18" s="16" t="s">
        <v>161</v>
      </c>
      <c r="D18" s="16" t="s">
        <v>170</v>
      </c>
      <c r="E18" s="16" t="s">
        <v>171</v>
      </c>
      <c r="F18" s="31" t="s">
        <v>133</v>
      </c>
      <c r="G18" s="36">
        <v>0.3</v>
      </c>
      <c r="H18" s="36">
        <v>0.45</v>
      </c>
      <c r="I18" s="36">
        <v>0.42</v>
      </c>
      <c r="J18" s="33" t="s">
        <v>128</v>
      </c>
      <c r="K18" s="34">
        <v>0.05</v>
      </c>
      <c r="L18" s="35">
        <f t="shared" si="0"/>
        <v>0.79999999999999982</v>
      </c>
      <c r="M18" s="16" t="s">
        <v>165</v>
      </c>
    </row>
    <row r="19" spans="2:13" ht="30" customHeight="1" x14ac:dyDescent="0.25">
      <c r="B19" s="21" t="s">
        <v>172</v>
      </c>
      <c r="C19" s="16" t="s">
        <v>173</v>
      </c>
      <c r="D19" s="16" t="s">
        <v>174</v>
      </c>
      <c r="E19" s="16" t="s">
        <v>175</v>
      </c>
      <c r="F19" s="31" t="s">
        <v>176</v>
      </c>
      <c r="G19" s="38">
        <v>18.5</v>
      </c>
      <c r="H19" s="38">
        <v>12</v>
      </c>
      <c r="I19" s="38">
        <v>13.4</v>
      </c>
      <c r="J19" s="33" t="s">
        <v>147</v>
      </c>
      <c r="K19" s="34">
        <v>0.05</v>
      </c>
      <c r="L19" s="35">
        <f t="shared" si="0"/>
        <v>0.7846153846153846</v>
      </c>
      <c r="M19" s="16" t="s">
        <v>153</v>
      </c>
    </row>
    <row r="21" spans="2:13" ht="27.75" customHeight="1" x14ac:dyDescent="0.25">
      <c r="B21" s="5" t="s">
        <v>177</v>
      </c>
      <c r="C21" s="5"/>
      <c r="D21" s="5"/>
      <c r="E21" s="5"/>
      <c r="F21" s="5"/>
      <c r="G21" s="5"/>
      <c r="H21" s="5"/>
      <c r="I21" s="5"/>
      <c r="J21" s="5"/>
      <c r="K21" s="5"/>
      <c r="L21" s="4">
        <f>SUMPRODUCT(K8:K19,L8:L19)/SUM(K8:K19)</f>
        <v>0.79061599511599479</v>
      </c>
      <c r="M21" s="4"/>
    </row>
    <row r="23" spans="2:13" ht="24" customHeight="1" x14ac:dyDescent="0.25">
      <c r="B23" s="12" t="s">
        <v>178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24" customHeight="1" x14ac:dyDescent="0.25">
      <c r="B24" s="9" t="s">
        <v>112</v>
      </c>
      <c r="C24" s="9"/>
      <c r="D24" s="9" t="s">
        <v>179</v>
      </c>
      <c r="E24" s="9"/>
      <c r="F24" s="9" t="s">
        <v>180</v>
      </c>
      <c r="G24" s="9"/>
      <c r="H24" s="9" t="s">
        <v>181</v>
      </c>
      <c r="I24" s="9"/>
      <c r="J24" s="9"/>
      <c r="K24" s="9"/>
      <c r="L24" s="9" t="s">
        <v>182</v>
      </c>
      <c r="M24" s="9"/>
    </row>
    <row r="25" spans="2:13" ht="24" customHeight="1" x14ac:dyDescent="0.25">
      <c r="B25" s="3" t="s">
        <v>124</v>
      </c>
      <c r="C25" s="3"/>
      <c r="D25" s="2">
        <f>COUNTIF($C$8:$C$19,"Financiera")</f>
        <v>2</v>
      </c>
      <c r="E25" s="2"/>
      <c r="F25" s="1">
        <f>SUMIF($C$8:$C$19,"Financiera",$K$8:$K$19)</f>
        <v>0.30000000000000004</v>
      </c>
      <c r="G25" s="1"/>
      <c r="H25" s="51">
        <f>IFERROR(SUMPRODUCT(($C$8:$C$19="Financiera")*$K$8:$K$19*$L$8:$L$19)/SUMIF($C$8:$C$19,"Financiera",$K$8:$K$19),0)</f>
        <v>0.73777777777777764</v>
      </c>
      <c r="I25" s="51"/>
      <c r="J25" s="51"/>
      <c r="K25" s="51"/>
      <c r="L25" s="52" t="str">
        <f>IF(H25&gt;=0.9,"✔ En meta",IF(H25&gt;=0.7,"◆ En riesgo","✖ Crítico"))</f>
        <v>◆ En riesgo</v>
      </c>
      <c r="M25" s="52"/>
    </row>
    <row r="26" spans="2:13" ht="24" customHeight="1" x14ac:dyDescent="0.25">
      <c r="B26" s="3" t="s">
        <v>135</v>
      </c>
      <c r="C26" s="3"/>
      <c r="D26" s="2">
        <f>COUNTIF($C$8:$C$19,"Cliente")</f>
        <v>3</v>
      </c>
      <c r="E26" s="2"/>
      <c r="F26" s="1">
        <f>SUMIF($C$8:$C$19,"Cliente",$K$8:$K$19)</f>
        <v>0.25</v>
      </c>
      <c r="G26" s="1"/>
      <c r="H26" s="51">
        <f>IFERROR(SUMPRODUCT(($C$8:$C$19="Cliente")*$K$8:$K$19*$L$8:$L$19)/SUMIF($C$8:$C$19,"Cliente",$K$8:$K$19),0)</f>
        <v>0.92063492063492069</v>
      </c>
      <c r="I26" s="51"/>
      <c r="J26" s="51"/>
      <c r="K26" s="51"/>
      <c r="L26" s="52" t="str">
        <f>IF(H26&gt;=0.9,"✔ En meta",IF(H26&gt;=0.7,"◆ En riesgo","✖ Crítico"))</f>
        <v>✔ En meta</v>
      </c>
      <c r="M26" s="52"/>
    </row>
    <row r="27" spans="2:13" ht="24" customHeight="1" x14ac:dyDescent="0.25">
      <c r="B27" s="3" t="s">
        <v>149</v>
      </c>
      <c r="C27" s="3"/>
      <c r="D27" s="2">
        <f>COUNTIF($C$8:$C$19,"Procesos")</f>
        <v>3</v>
      </c>
      <c r="E27" s="2"/>
      <c r="F27" s="1">
        <f>SUMIF($C$8:$C$19,"Procesos",$K$8:$K$19)</f>
        <v>0.25</v>
      </c>
      <c r="G27" s="1"/>
      <c r="H27" s="51">
        <f>IFERROR(SUMPRODUCT(($C$8:$C$19="Procesos")*$K$8:$K$19*$L$8:$L$19)/SUMIF($C$8:$C$19,"Procesos",$K$8:$K$19),0)</f>
        <v>0.7284615384615386</v>
      </c>
      <c r="I27" s="51"/>
      <c r="J27" s="51"/>
      <c r="K27" s="51"/>
      <c r="L27" s="52" t="str">
        <f>IF(H27&gt;=0.9,"✔ En meta",IF(H27&gt;=0.7,"◆ En riesgo","✖ Crítico"))</f>
        <v>◆ En riesgo</v>
      </c>
      <c r="M27" s="52"/>
    </row>
    <row r="28" spans="2:13" ht="24" customHeight="1" x14ac:dyDescent="0.25">
      <c r="B28" s="3" t="s">
        <v>161</v>
      </c>
      <c r="C28" s="3"/>
      <c r="D28" s="2">
        <f>COUNTIF($C$8:$C$19,"Aprendizaje")</f>
        <v>3</v>
      </c>
      <c r="E28" s="2"/>
      <c r="F28" s="1">
        <f>SUMIF($C$8:$C$19,"Aprendizaje",$K$8:$K$19)</f>
        <v>0.15000000000000002</v>
      </c>
      <c r="G28" s="1"/>
      <c r="H28" s="51">
        <f>IFERROR(SUMPRODUCT(($C$8:$C$19="Aprendizaje")*$K$8:$K$19*$L$8:$L$19)/SUMIF($C$8:$C$19,"Aprendizaje",$K$8:$K$19),0)</f>
        <v>0.7851851851851851</v>
      </c>
      <c r="I28" s="51"/>
      <c r="J28" s="51"/>
      <c r="K28" s="51"/>
      <c r="L28" s="52" t="str">
        <f>IF(H28&gt;=0.9,"✔ En meta",IF(H28&gt;=0.7,"◆ En riesgo","✖ Crítico"))</f>
        <v>◆ En riesgo</v>
      </c>
      <c r="M28" s="52"/>
    </row>
    <row r="29" spans="2:13" ht="24" customHeight="1" x14ac:dyDescent="0.25">
      <c r="B29" s="3" t="s">
        <v>173</v>
      </c>
      <c r="C29" s="3"/>
      <c r="D29" s="2">
        <f>COUNTIF($C$8:$C$19,"Sostenibil.")</f>
        <v>1</v>
      </c>
      <c r="E29" s="2"/>
      <c r="F29" s="1">
        <f>SUMIF($C$8:$C$19,"Sostenibil.",$K$8:$K$19)</f>
        <v>0.05</v>
      </c>
      <c r="G29" s="1"/>
      <c r="H29" s="51">
        <f>IFERROR(SUMPRODUCT(($C$8:$C$19="Sostenibil.")*$K$8:$K$19*$L$8:$L$19)/SUMIF($C$8:$C$19,"Sostenibil.",$K$8:$K$19),0)</f>
        <v>0.78461538461538471</v>
      </c>
      <c r="I29" s="51"/>
      <c r="J29" s="51"/>
      <c r="K29" s="51"/>
      <c r="L29" s="52" t="str">
        <f>IF(H29&gt;=0.9,"✔ En meta",IF(H29&gt;=0.7,"◆ En riesgo","✖ Crítico"))</f>
        <v>◆ En riesgo</v>
      </c>
      <c r="M29" s="52"/>
    </row>
    <row r="31" spans="2:13" ht="36" customHeight="1" x14ac:dyDescent="0.25">
      <c r="B31" s="53" t="s">
        <v>183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2:13" ht="13.5" customHeight="1" x14ac:dyDescent="0.25"/>
  </sheetData>
  <mergeCells count="36">
    <mergeCell ref="B31:M31"/>
    <mergeCell ref="B29:C29"/>
    <mergeCell ref="D29:E29"/>
    <mergeCell ref="F29:G29"/>
    <mergeCell ref="H29:K29"/>
    <mergeCell ref="L29:M29"/>
    <mergeCell ref="B28:C28"/>
    <mergeCell ref="D28:E28"/>
    <mergeCell ref="F28:G28"/>
    <mergeCell ref="H28:K28"/>
    <mergeCell ref="L28:M28"/>
    <mergeCell ref="B27:C27"/>
    <mergeCell ref="D27:E27"/>
    <mergeCell ref="F27:G27"/>
    <mergeCell ref="H27:K27"/>
    <mergeCell ref="L27:M27"/>
    <mergeCell ref="B26:C26"/>
    <mergeCell ref="D26:E26"/>
    <mergeCell ref="F26:G26"/>
    <mergeCell ref="H26:K26"/>
    <mergeCell ref="L26:M26"/>
    <mergeCell ref="B25:C25"/>
    <mergeCell ref="D25:E25"/>
    <mergeCell ref="F25:G25"/>
    <mergeCell ref="H25:K25"/>
    <mergeCell ref="L25:M25"/>
    <mergeCell ref="B24:C24"/>
    <mergeCell ref="D24:E24"/>
    <mergeCell ref="F24:G24"/>
    <mergeCell ref="H24:K24"/>
    <mergeCell ref="L24:M24"/>
    <mergeCell ref="B2:M4"/>
    <mergeCell ref="B5:M5"/>
    <mergeCell ref="B21:K21"/>
    <mergeCell ref="L21:M21"/>
    <mergeCell ref="B23:M23"/>
  </mergeCells>
  <conditionalFormatting sqref="H25:K29">
    <cfRule type="cellIs" dxfId="18" priority="5" operator="lessThan">
      <formula>0.7</formula>
    </cfRule>
    <cfRule type="cellIs" dxfId="17" priority="6" operator="between">
      <formula>0.7</formula>
      <formula>0.9</formula>
    </cfRule>
    <cfRule type="cellIs" dxfId="16" priority="7" operator="greaterThanOrEqual">
      <formula>0.9</formula>
    </cfRule>
  </conditionalFormatting>
  <conditionalFormatting sqref="L8:L19">
    <cfRule type="cellIs" dxfId="15" priority="2" operator="lessThan">
      <formula>0.7</formula>
    </cfRule>
    <cfRule type="cellIs" dxfId="14" priority="3" operator="between">
      <formula>0.7</formula>
      <formula>0.9</formula>
    </cfRule>
    <cfRule type="cellIs" dxfId="13" priority="4" operator="greaterThanOrEqual">
      <formula>0.9</formula>
    </cfRule>
  </conditionalFormatting>
  <dataValidations count="2">
    <dataValidation type="list" allowBlank="1" sqref="C8:C48" xr:uid="{00000000-0002-0000-0200-000000000000}">
      <formula1>"Financiera,Cliente,Procesos,Aprendizaje,Sostenibil."</formula1>
      <formula2>0</formula2>
    </dataValidation>
    <dataValidation type="list" allowBlank="1" sqref="J8:J48" xr:uid="{00000000-0002-0000-0200-000001000000}">
      <formula1>"↑,↓"</formula1>
      <formula2>0</formula2>
    </dataValidation>
  </dataValidations>
  <printOptions horizontalCentered="1"/>
  <pageMargins left="0.4" right="0.4" top="0.5" bottom="0.5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A5F"/>
    <pageSetUpPr fitToPage="1"/>
  </sheetPr>
  <dimension ref="B2:M26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baseColWidth="10" defaultColWidth="8.7109375" defaultRowHeight="15" x14ac:dyDescent="0.25"/>
  <cols>
    <col min="1" max="1" width="2" customWidth="1"/>
    <col min="2" max="2" width="8" customWidth="1"/>
    <col min="3" max="3" width="9" customWidth="1"/>
    <col min="4" max="4" width="32" customWidth="1"/>
    <col min="5" max="5" width="16" customWidth="1"/>
    <col min="6" max="7" width="11" customWidth="1"/>
    <col min="8" max="8" width="9" customWidth="1"/>
    <col min="9" max="11" width="13" customWidth="1"/>
    <col min="12" max="12" width="9" customWidth="1"/>
    <col min="13" max="13" width="25" customWidth="1"/>
    <col min="14" max="14" width="2" customWidth="1"/>
  </cols>
  <sheetData>
    <row r="2" spans="2:13" ht="25.5" customHeight="1" x14ac:dyDescent="0.25">
      <c r="B2" s="14" t="s">
        <v>184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25.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3" ht="25.5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ht="21.75" customHeight="1" x14ac:dyDescent="0.25">
      <c r="B5" s="13" t="s">
        <v>185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7" spans="2:13" ht="30" x14ac:dyDescent="0.25">
      <c r="B7" s="20" t="s">
        <v>186</v>
      </c>
      <c r="C7" s="20" t="s">
        <v>187</v>
      </c>
      <c r="D7" s="20" t="s">
        <v>188</v>
      </c>
      <c r="E7" s="20" t="s">
        <v>122</v>
      </c>
      <c r="F7" s="20" t="s">
        <v>189</v>
      </c>
      <c r="G7" s="20" t="s">
        <v>190</v>
      </c>
      <c r="H7" s="20" t="s">
        <v>191</v>
      </c>
      <c r="I7" s="20" t="s">
        <v>182</v>
      </c>
      <c r="J7" s="20" t="s">
        <v>192</v>
      </c>
      <c r="K7" s="20" t="s">
        <v>193</v>
      </c>
      <c r="L7" s="20" t="s">
        <v>194</v>
      </c>
      <c r="M7" s="20" t="s">
        <v>195</v>
      </c>
    </row>
    <row r="8" spans="2:13" ht="27.75" customHeight="1" x14ac:dyDescent="0.25">
      <c r="B8" s="21" t="s">
        <v>196</v>
      </c>
      <c r="C8" s="33" t="s">
        <v>123</v>
      </c>
      <c r="D8" s="16" t="s">
        <v>197</v>
      </c>
      <c r="E8" s="16" t="s">
        <v>129</v>
      </c>
      <c r="F8" s="41">
        <v>46037</v>
      </c>
      <c r="G8" s="41">
        <v>46142</v>
      </c>
      <c r="H8" s="42">
        <v>0.65</v>
      </c>
      <c r="I8" s="40" t="str">
        <f t="shared" ref="I8:I23" ca="1" si="0">IF(H8&gt;=1,"Completada",IF(TODAY()&gt;G8,"Retrasada",IF(TODAY()&lt;F8,"Pendiente",IF(IFERROR(H8+0.15&lt;(TODAY()-F8)/(G8-F8),FALSE()),"En riesgo","En curso"))))</f>
        <v>Retrasada</v>
      </c>
      <c r="J8" s="43">
        <v>25000</v>
      </c>
      <c r="K8" s="43">
        <v>18500</v>
      </c>
      <c r="L8" s="44">
        <f t="shared" ref="L8:L24" si="1">IFERROR((K8-J8)/J8,0)</f>
        <v>-0.26</v>
      </c>
      <c r="M8" s="31" t="s">
        <v>198</v>
      </c>
    </row>
    <row r="9" spans="2:13" ht="27.75" customHeight="1" x14ac:dyDescent="0.25">
      <c r="B9" s="21" t="s">
        <v>199</v>
      </c>
      <c r="C9" s="33" t="s">
        <v>134</v>
      </c>
      <c r="D9" s="16" t="s">
        <v>200</v>
      </c>
      <c r="E9" s="16" t="s">
        <v>139</v>
      </c>
      <c r="F9" s="41">
        <v>46054</v>
      </c>
      <c r="G9" s="41">
        <v>46234</v>
      </c>
      <c r="H9" s="42">
        <v>0.3</v>
      </c>
      <c r="I9" s="40" t="str">
        <f t="shared" ca="1" si="0"/>
        <v>En riesgo</v>
      </c>
      <c r="J9" s="43">
        <v>8000</v>
      </c>
      <c r="K9" s="43">
        <v>3200</v>
      </c>
      <c r="L9" s="44">
        <f t="shared" si="1"/>
        <v>-0.6</v>
      </c>
      <c r="M9" s="31" t="s">
        <v>198</v>
      </c>
    </row>
    <row r="10" spans="2:13" ht="27.75" customHeight="1" x14ac:dyDescent="0.25">
      <c r="B10" s="21" t="s">
        <v>201</v>
      </c>
      <c r="C10" s="33" t="s">
        <v>148</v>
      </c>
      <c r="D10" s="16" t="s">
        <v>202</v>
      </c>
      <c r="E10" s="16" t="s">
        <v>153</v>
      </c>
      <c r="F10" s="41">
        <v>46082</v>
      </c>
      <c r="G10" s="41">
        <v>46203</v>
      </c>
      <c r="H10" s="42">
        <v>0.45</v>
      </c>
      <c r="I10" s="40" t="str">
        <f t="shared" ca="1" si="0"/>
        <v>En riesgo</v>
      </c>
      <c r="J10" s="43">
        <v>60000</v>
      </c>
      <c r="K10" s="43">
        <v>22000</v>
      </c>
      <c r="L10" s="44">
        <f t="shared" si="1"/>
        <v>-0.6333333333333333</v>
      </c>
      <c r="M10" s="31" t="s">
        <v>198</v>
      </c>
    </row>
    <row r="11" spans="2:13" ht="27.75" customHeight="1" x14ac:dyDescent="0.25">
      <c r="B11" s="21" t="s">
        <v>203</v>
      </c>
      <c r="C11" s="33" t="s">
        <v>130</v>
      </c>
      <c r="D11" s="16" t="s">
        <v>204</v>
      </c>
      <c r="E11" s="16" t="s">
        <v>153</v>
      </c>
      <c r="F11" s="41">
        <v>46032</v>
      </c>
      <c r="G11" s="41">
        <v>46081</v>
      </c>
      <c r="H11" s="42">
        <v>1</v>
      </c>
      <c r="I11" s="40" t="str">
        <f t="shared" ca="1" si="0"/>
        <v>Completada</v>
      </c>
      <c r="J11" s="43">
        <v>5000</v>
      </c>
      <c r="K11" s="43">
        <v>4800</v>
      </c>
      <c r="L11" s="44">
        <f t="shared" si="1"/>
        <v>-0.04</v>
      </c>
      <c r="M11" s="31" t="s">
        <v>205</v>
      </c>
    </row>
    <row r="12" spans="2:13" ht="27.75" customHeight="1" x14ac:dyDescent="0.25">
      <c r="B12" s="21" t="s">
        <v>206</v>
      </c>
      <c r="C12" s="33" t="s">
        <v>160</v>
      </c>
      <c r="D12" s="16" t="s">
        <v>207</v>
      </c>
      <c r="E12" s="16" t="s">
        <v>165</v>
      </c>
      <c r="F12" s="41">
        <v>46054</v>
      </c>
      <c r="G12" s="41">
        <v>46371</v>
      </c>
      <c r="H12" s="42">
        <v>0.25</v>
      </c>
      <c r="I12" s="40" t="str">
        <f t="shared" ca="1" si="0"/>
        <v>En curso</v>
      </c>
      <c r="J12" s="43">
        <v>12000</v>
      </c>
      <c r="K12" s="43">
        <v>3000</v>
      </c>
      <c r="L12" s="44">
        <f t="shared" si="1"/>
        <v>-0.75</v>
      </c>
      <c r="M12" s="31" t="s">
        <v>205</v>
      </c>
    </row>
    <row r="13" spans="2:13" ht="27.75" customHeight="1" x14ac:dyDescent="0.25">
      <c r="B13" s="21" t="s">
        <v>208</v>
      </c>
      <c r="C13" s="33" t="s">
        <v>154</v>
      </c>
      <c r="D13" s="16" t="s">
        <v>209</v>
      </c>
      <c r="E13" s="16" t="s">
        <v>153</v>
      </c>
      <c r="F13" s="41">
        <v>46096</v>
      </c>
      <c r="G13" s="41">
        <v>46157</v>
      </c>
      <c r="H13" s="42">
        <v>0.7</v>
      </c>
      <c r="I13" s="40" t="str">
        <f t="shared" ca="1" si="0"/>
        <v>Retrasada</v>
      </c>
      <c r="J13" s="43">
        <v>9000</v>
      </c>
      <c r="K13" s="43">
        <v>6500</v>
      </c>
      <c r="L13" s="44">
        <f t="shared" si="1"/>
        <v>-0.27777777777777779</v>
      </c>
      <c r="M13" s="31" t="s">
        <v>198</v>
      </c>
    </row>
    <row r="14" spans="2:13" ht="27.75" customHeight="1" x14ac:dyDescent="0.25">
      <c r="B14" s="21" t="s">
        <v>210</v>
      </c>
      <c r="C14" s="33" t="s">
        <v>123</v>
      </c>
      <c r="D14" s="16" t="s">
        <v>211</v>
      </c>
      <c r="E14" s="16" t="s">
        <v>129</v>
      </c>
      <c r="F14" s="41">
        <v>46113</v>
      </c>
      <c r="G14" s="41">
        <v>46295</v>
      </c>
      <c r="H14" s="42">
        <v>0.1</v>
      </c>
      <c r="I14" s="40" t="str">
        <f t="shared" ca="1" si="0"/>
        <v>En riesgo</v>
      </c>
      <c r="J14" s="43">
        <v>35000</v>
      </c>
      <c r="K14" s="43">
        <v>4200</v>
      </c>
      <c r="L14" s="44">
        <f t="shared" si="1"/>
        <v>-0.88</v>
      </c>
      <c r="M14" s="31" t="s">
        <v>205</v>
      </c>
    </row>
    <row r="15" spans="2:13" ht="27.75" customHeight="1" x14ac:dyDescent="0.25">
      <c r="B15" s="21" t="s">
        <v>212</v>
      </c>
      <c r="C15" s="33" t="s">
        <v>140</v>
      </c>
      <c r="D15" s="16" t="s">
        <v>213</v>
      </c>
      <c r="E15" s="16" t="s">
        <v>129</v>
      </c>
      <c r="F15" s="41">
        <v>46054</v>
      </c>
      <c r="G15" s="41">
        <v>46096</v>
      </c>
      <c r="H15" s="42">
        <v>1</v>
      </c>
      <c r="I15" s="40" t="str">
        <f t="shared" ca="1" si="0"/>
        <v>Completada</v>
      </c>
      <c r="J15" s="43">
        <v>2500</v>
      </c>
      <c r="K15" s="43">
        <v>2300</v>
      </c>
      <c r="L15" s="44">
        <f t="shared" si="1"/>
        <v>-0.08</v>
      </c>
      <c r="M15" s="31" t="s">
        <v>205</v>
      </c>
    </row>
    <row r="16" spans="2:13" ht="27.75" customHeight="1" x14ac:dyDescent="0.25">
      <c r="B16" s="21" t="s">
        <v>214</v>
      </c>
      <c r="C16" s="33" t="s">
        <v>166</v>
      </c>
      <c r="D16" s="16" t="s">
        <v>215</v>
      </c>
      <c r="E16" s="16" t="s">
        <v>165</v>
      </c>
      <c r="F16" s="41">
        <v>46113</v>
      </c>
      <c r="G16" s="41">
        <v>46203</v>
      </c>
      <c r="H16" s="42">
        <v>0.5</v>
      </c>
      <c r="I16" s="40" t="str">
        <f t="shared" ca="1" si="0"/>
        <v>En curso</v>
      </c>
      <c r="J16" s="43">
        <v>6000</v>
      </c>
      <c r="K16" s="43">
        <v>3800</v>
      </c>
      <c r="L16" s="44">
        <f t="shared" si="1"/>
        <v>-0.36666666666666664</v>
      </c>
      <c r="M16" s="31" t="s">
        <v>205</v>
      </c>
    </row>
    <row r="17" spans="2:13" ht="27.75" customHeight="1" x14ac:dyDescent="0.25">
      <c r="B17" s="21" t="s">
        <v>216</v>
      </c>
      <c r="C17" s="33" t="s">
        <v>148</v>
      </c>
      <c r="D17" s="16" t="s">
        <v>217</v>
      </c>
      <c r="E17" s="16" t="s">
        <v>139</v>
      </c>
      <c r="F17" s="41">
        <v>46037</v>
      </c>
      <c r="G17" s="41">
        <v>46081</v>
      </c>
      <c r="H17" s="42">
        <v>1</v>
      </c>
      <c r="I17" s="40" t="str">
        <f t="shared" ca="1" si="0"/>
        <v>Completada</v>
      </c>
      <c r="J17" s="43">
        <v>4000</v>
      </c>
      <c r="K17" s="43">
        <v>3500</v>
      </c>
      <c r="L17" s="44">
        <f t="shared" si="1"/>
        <v>-0.125</v>
      </c>
      <c r="M17" s="31" t="s">
        <v>198</v>
      </c>
    </row>
    <row r="18" spans="2:13" ht="27.75" customHeight="1" x14ac:dyDescent="0.25">
      <c r="B18" s="21" t="s">
        <v>218</v>
      </c>
      <c r="C18" s="33" t="s">
        <v>123</v>
      </c>
      <c r="D18" s="16" t="s">
        <v>219</v>
      </c>
      <c r="E18" s="16" t="s">
        <v>153</v>
      </c>
      <c r="F18" s="41">
        <v>46157</v>
      </c>
      <c r="G18" s="41">
        <v>46203</v>
      </c>
      <c r="H18" s="42">
        <v>0</v>
      </c>
      <c r="I18" s="40" t="str">
        <f t="shared" ca="1" si="0"/>
        <v>En riesgo</v>
      </c>
      <c r="J18" s="43">
        <v>3500</v>
      </c>
      <c r="K18" s="43">
        <v>0</v>
      </c>
      <c r="L18" s="44">
        <f t="shared" si="1"/>
        <v>-1</v>
      </c>
      <c r="M18" s="31" t="s">
        <v>198</v>
      </c>
    </row>
    <row r="19" spans="2:13" ht="27.75" customHeight="1" x14ac:dyDescent="0.25">
      <c r="B19" s="21" t="s">
        <v>220</v>
      </c>
      <c r="C19" s="33" t="s">
        <v>140</v>
      </c>
      <c r="D19" s="16" t="s">
        <v>221</v>
      </c>
      <c r="E19" s="16" t="s">
        <v>129</v>
      </c>
      <c r="F19" s="41">
        <v>46174</v>
      </c>
      <c r="G19" s="41">
        <v>46188</v>
      </c>
      <c r="H19" s="42">
        <v>0</v>
      </c>
      <c r="I19" s="40" t="str">
        <f t="shared" ca="1" si="0"/>
        <v>Pendiente</v>
      </c>
      <c r="J19" s="43">
        <v>8500</v>
      </c>
      <c r="K19" s="43">
        <v>0</v>
      </c>
      <c r="L19" s="44">
        <f t="shared" si="1"/>
        <v>-1</v>
      </c>
      <c r="M19" s="31" t="s">
        <v>222</v>
      </c>
    </row>
    <row r="20" spans="2:13" ht="27.75" customHeight="1" x14ac:dyDescent="0.25">
      <c r="B20" s="21" t="s">
        <v>223</v>
      </c>
      <c r="C20" s="33" t="s">
        <v>144</v>
      </c>
      <c r="D20" s="16" t="s">
        <v>224</v>
      </c>
      <c r="E20" s="16" t="s">
        <v>139</v>
      </c>
      <c r="F20" s="41">
        <v>46082</v>
      </c>
      <c r="G20" s="41">
        <v>46265</v>
      </c>
      <c r="H20" s="42">
        <v>0.2</v>
      </c>
      <c r="I20" s="40" t="str">
        <f t="shared" ca="1" si="0"/>
        <v>En riesgo</v>
      </c>
      <c r="J20" s="43">
        <v>18000</v>
      </c>
      <c r="K20" s="43">
        <v>4500</v>
      </c>
      <c r="L20" s="44">
        <f t="shared" si="1"/>
        <v>-0.75</v>
      </c>
      <c r="M20" s="31" t="s">
        <v>205</v>
      </c>
    </row>
    <row r="21" spans="2:13" ht="27.75" customHeight="1" x14ac:dyDescent="0.25">
      <c r="B21" s="21" t="s">
        <v>225</v>
      </c>
      <c r="C21" s="33" t="s">
        <v>157</v>
      </c>
      <c r="D21" s="16" t="s">
        <v>226</v>
      </c>
      <c r="E21" s="16" t="s">
        <v>153</v>
      </c>
      <c r="F21" s="41">
        <v>46068</v>
      </c>
      <c r="G21" s="41">
        <v>46127</v>
      </c>
      <c r="H21" s="42">
        <v>0.8</v>
      </c>
      <c r="I21" s="40" t="str">
        <f t="shared" ca="1" si="0"/>
        <v>Retrasada</v>
      </c>
      <c r="J21" s="43">
        <v>4500</v>
      </c>
      <c r="K21" s="43">
        <v>3900</v>
      </c>
      <c r="L21" s="44">
        <f t="shared" si="1"/>
        <v>-0.13333333333333333</v>
      </c>
      <c r="M21" s="31" t="s">
        <v>205</v>
      </c>
    </row>
    <row r="22" spans="2:13" ht="27.75" customHeight="1" x14ac:dyDescent="0.25">
      <c r="B22" s="21" t="s">
        <v>227</v>
      </c>
      <c r="C22" s="33" t="s">
        <v>169</v>
      </c>
      <c r="D22" s="16" t="s">
        <v>228</v>
      </c>
      <c r="E22" s="16" t="s">
        <v>165</v>
      </c>
      <c r="F22" s="41">
        <v>46082</v>
      </c>
      <c r="G22" s="41">
        <v>46371</v>
      </c>
      <c r="H22" s="42">
        <v>0.35</v>
      </c>
      <c r="I22" s="40" t="str">
        <f t="shared" ca="1" si="0"/>
        <v>En curso</v>
      </c>
      <c r="J22" s="43">
        <v>5000</v>
      </c>
      <c r="K22" s="43">
        <v>2100</v>
      </c>
      <c r="L22" s="44">
        <f t="shared" si="1"/>
        <v>-0.57999999999999996</v>
      </c>
      <c r="M22" s="31" t="s">
        <v>205</v>
      </c>
    </row>
    <row r="23" spans="2:13" ht="27.75" customHeight="1" x14ac:dyDescent="0.25">
      <c r="B23" s="21" t="s">
        <v>229</v>
      </c>
      <c r="C23" s="33" t="s">
        <v>172</v>
      </c>
      <c r="D23" s="16" t="s">
        <v>230</v>
      </c>
      <c r="E23" s="16" t="s">
        <v>153</v>
      </c>
      <c r="F23" s="41">
        <v>46113</v>
      </c>
      <c r="G23" s="41">
        <v>46234</v>
      </c>
      <c r="H23" s="42">
        <v>0.15</v>
      </c>
      <c r="I23" s="40" t="str">
        <f t="shared" ca="1" si="0"/>
        <v>En riesgo</v>
      </c>
      <c r="J23" s="43">
        <v>7000</v>
      </c>
      <c r="K23" s="43">
        <v>1200</v>
      </c>
      <c r="L23" s="44">
        <f t="shared" si="1"/>
        <v>-0.82857142857142863</v>
      </c>
      <c r="M23" s="31" t="s">
        <v>205</v>
      </c>
    </row>
    <row r="24" spans="2:13" ht="27.75" customHeight="1" x14ac:dyDescent="0.25">
      <c r="B24" s="54" t="s">
        <v>231</v>
      </c>
      <c r="C24" s="54"/>
      <c r="D24" s="54"/>
      <c r="E24" s="54"/>
      <c r="F24" s="54"/>
      <c r="G24" s="54"/>
      <c r="H24" s="45">
        <f>AVERAGE(H8:H23)</f>
        <v>0.46562499999999996</v>
      </c>
      <c r="I24" s="21" t="str">
        <f>COUNTA(B8:B23)&amp;" acciones"</f>
        <v>16 acciones</v>
      </c>
      <c r="J24" s="46">
        <f>SUM(J8:J23)</f>
        <v>213000</v>
      </c>
      <c r="K24" s="46">
        <f>SUM(K8:K23)</f>
        <v>83500</v>
      </c>
      <c r="L24" s="47">
        <f t="shared" si="1"/>
        <v>-0.607981220657277</v>
      </c>
      <c r="M24" s="17"/>
    </row>
    <row r="26" spans="2:13" ht="31.5" customHeight="1" x14ac:dyDescent="0.25">
      <c r="B26" s="53" t="s">
        <v>232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</sheetData>
  <mergeCells count="4">
    <mergeCell ref="B2:M4"/>
    <mergeCell ref="B5:M5"/>
    <mergeCell ref="B24:G24"/>
    <mergeCell ref="B26:M26"/>
  </mergeCells>
  <conditionalFormatting sqref="H8:H23">
    <cfRule type="dataBar" priority="7">
      <dataBar>
        <cfvo type="num" val="0"/>
        <cfvo type="num" val="1"/>
        <color rgb="FF5B9BD5"/>
      </dataBar>
      <extLst>
        <ext xmlns:x14="http://schemas.microsoft.com/office/spreadsheetml/2009/9/main" uri="{B025F937-C7B1-47D3-B67F-A62EFF666E3E}">
          <x14:id>{00A540DF-5C4A-4430-886B-4A10E5E558DF}</x14:id>
        </ext>
      </extLst>
    </cfRule>
  </conditionalFormatting>
  <conditionalFormatting sqref="I8:I23">
    <cfRule type="expression" dxfId="12" priority="2">
      <formula>I8="Completada"</formula>
    </cfRule>
    <cfRule type="expression" dxfId="11" priority="3">
      <formula>I8="En curso"</formula>
    </cfRule>
    <cfRule type="expression" dxfId="10" priority="4">
      <formula>I8="En riesgo"</formula>
    </cfRule>
    <cfRule type="expression" dxfId="9" priority="5">
      <formula>I8="Retrasada"</formula>
    </cfRule>
    <cfRule type="expression" dxfId="8" priority="6">
      <formula>I8="Pendiente"</formula>
    </cfRule>
  </conditionalFormatting>
  <conditionalFormatting sqref="L8:L23">
    <cfRule type="cellIs" dxfId="7" priority="8" operator="greaterThan">
      <formula>0.1</formula>
    </cfRule>
    <cfRule type="cellIs" dxfId="6" priority="9" operator="lessThan">
      <formula>-0.1</formula>
    </cfRule>
  </conditionalFormatting>
  <conditionalFormatting sqref="M8:M23">
    <cfRule type="expression" dxfId="5" priority="10">
      <formula>M8="Alta"</formula>
    </cfRule>
    <cfRule type="expression" dxfId="4" priority="11">
      <formula>M8="Media"</formula>
    </cfRule>
    <cfRule type="expression" dxfId="3" priority="12">
      <formula>M8="Baja"</formula>
    </cfRule>
  </conditionalFormatting>
  <dataValidations count="3">
    <dataValidation type="list" allowBlank="1" sqref="C8:C58" xr:uid="{00000000-0002-0000-0300-000000000000}">
      <formula1>"F1,F2,C1,C2,C3,P1,P2,P3,A1,A2,A3,S1"</formula1>
      <formula2>0</formula2>
    </dataValidation>
    <dataValidation type="list" allowBlank="1" sqref="M8:M58" xr:uid="{00000000-0002-0000-0300-000001000000}">
      <formula1>"Alta,Media,Baja"</formula1>
      <formula2>0</formula2>
    </dataValidation>
    <dataValidation type="decimal" allowBlank="1" errorTitle="Valor fuera de rango" error="El avance debe estar entre 0% y 100%" sqref="H8:H58" xr:uid="{00000000-0002-0000-0300-000002000000}">
      <formula1>0</formula1>
      <formula2>1</formula2>
    </dataValidation>
  </dataValidations>
  <printOptions horizontalCentered="1"/>
  <pageMargins left="0.4" right="0.4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A540DF-5C4A-4430-886B-4A10E5E558DF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5B9BD5"/>
            </x14:dataBar>
          </x14:cfRule>
          <xm:sqref>H8:H23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Dashboard</vt:lpstr>
      <vt:lpstr>Configuración</vt:lpstr>
      <vt:lpstr>Análisis FODA</vt:lpstr>
      <vt:lpstr>Objetivos y KPIs</vt:lpstr>
      <vt:lpstr>Plan de Acción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2026-05-29T10:54:46Z</dcterms:created>
  <dcterms:modified xsi:type="dcterms:W3CDTF">2026-05-29T12:46:19Z</dcterms:modified>
  <dc:language>en-US</dc:language>
</cp:coreProperties>
</file>