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arketing\"/>
    </mc:Choice>
  </mc:AlternateContent>
  <xr:revisionPtr revIDLastSave="0" documentId="8_{EFC207DE-97FA-4887-8551-A59664CEAE6B}" xr6:coauthVersionLast="47" xr6:coauthVersionMax="47" xr10:uidLastSave="{00000000-0000-0000-0000-000000000000}"/>
  <bookViews>
    <workbookView xWindow="22932" yWindow="-108" windowWidth="23256" windowHeight="12456" activeTab="5" xr2:uid="{00000000-000D-0000-FFFF-FFFF00000000}"/>
  </bookViews>
  <sheets>
    <sheet name="Resumen" sheetId="1" r:id="rId1"/>
    <sheet name="Listas" sheetId="2" r:id="rId2"/>
    <sheet name="Acciones" sheetId="3" r:id="rId3"/>
    <sheet name="Calendario" sheetId="4" r:id="rId4"/>
    <sheet name="Presupuesto" sheetId="5" r:id="rId5"/>
    <sheet name="KPIs" sheetId="6" r:id="rId6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6" i="6" l="1"/>
  <c r="L26" i="6"/>
  <c r="K26" i="6"/>
  <c r="J26" i="6"/>
  <c r="I26" i="6"/>
  <c r="H26" i="6"/>
  <c r="G26" i="6"/>
  <c r="F26" i="6"/>
  <c r="E26" i="6"/>
  <c r="D26" i="6"/>
  <c r="C26" i="6"/>
  <c r="B26" i="6"/>
  <c r="M25" i="6"/>
  <c r="L25" i="6"/>
  <c r="K25" i="6"/>
  <c r="J25" i="6"/>
  <c r="I25" i="6"/>
  <c r="H25" i="6"/>
  <c r="G25" i="6"/>
  <c r="F25" i="6"/>
  <c r="E25" i="6"/>
  <c r="D25" i="6"/>
  <c r="C25" i="6"/>
  <c r="B25" i="6"/>
  <c r="M24" i="6"/>
  <c r="L24" i="6"/>
  <c r="K24" i="6"/>
  <c r="J24" i="6"/>
  <c r="I24" i="6"/>
  <c r="H24" i="6"/>
  <c r="G24" i="6"/>
  <c r="F24" i="6"/>
  <c r="E24" i="6"/>
  <c r="D24" i="6"/>
  <c r="C24" i="6"/>
  <c r="B24" i="6"/>
  <c r="M23" i="6"/>
  <c r="L23" i="6"/>
  <c r="K23" i="6"/>
  <c r="J23" i="6"/>
  <c r="I23" i="6"/>
  <c r="H23" i="6"/>
  <c r="G23" i="6"/>
  <c r="F23" i="6"/>
  <c r="E23" i="6"/>
  <c r="D23" i="6"/>
  <c r="C23" i="6"/>
  <c r="B23" i="6"/>
  <c r="I18" i="6"/>
  <c r="J18" i="6" s="1"/>
  <c r="L6" i="1" s="1"/>
  <c r="H18" i="6"/>
  <c r="E18" i="6"/>
  <c r="C18" i="6"/>
  <c r="H9" i="1" s="1"/>
  <c r="B18" i="6"/>
  <c r="I17" i="6"/>
  <c r="J17" i="6" s="1"/>
  <c r="H17" i="6"/>
  <c r="L17" i="6" s="1"/>
  <c r="G17" i="6"/>
  <c r="F17" i="6"/>
  <c r="C17" i="6"/>
  <c r="D17" i="6" s="1"/>
  <c r="M17" i="6" s="1"/>
  <c r="L16" i="6"/>
  <c r="K16" i="6"/>
  <c r="J16" i="6"/>
  <c r="I16" i="6"/>
  <c r="H16" i="6"/>
  <c r="F16" i="6"/>
  <c r="G16" i="6" s="1"/>
  <c r="D16" i="6"/>
  <c r="C16" i="6"/>
  <c r="I15" i="6"/>
  <c r="J15" i="6" s="1"/>
  <c r="H15" i="6"/>
  <c r="L15" i="6" s="1"/>
  <c r="G15" i="6"/>
  <c r="F15" i="6"/>
  <c r="C15" i="6"/>
  <c r="D15" i="6" s="1"/>
  <c r="M15" i="6" s="1"/>
  <c r="L14" i="6"/>
  <c r="K14" i="6"/>
  <c r="J14" i="6"/>
  <c r="I14" i="6"/>
  <c r="H14" i="6"/>
  <c r="F14" i="6"/>
  <c r="G14" i="6" s="1"/>
  <c r="D14" i="6"/>
  <c r="M14" i="6" s="1"/>
  <c r="C14" i="6"/>
  <c r="I13" i="6"/>
  <c r="J13" i="6" s="1"/>
  <c r="H13" i="6"/>
  <c r="L13" i="6" s="1"/>
  <c r="G13" i="6"/>
  <c r="F13" i="6"/>
  <c r="C13" i="6"/>
  <c r="D13" i="6" s="1"/>
  <c r="M13" i="6" s="1"/>
  <c r="L12" i="6"/>
  <c r="K12" i="6"/>
  <c r="J12" i="6"/>
  <c r="I12" i="6"/>
  <c r="H12" i="6"/>
  <c r="F12" i="6"/>
  <c r="G12" i="6" s="1"/>
  <c r="D12" i="6"/>
  <c r="M12" i="6" s="1"/>
  <c r="C12" i="6"/>
  <c r="I11" i="6"/>
  <c r="J11" i="6" s="1"/>
  <c r="H11" i="6"/>
  <c r="L11" i="6" s="1"/>
  <c r="G11" i="6"/>
  <c r="F11" i="6"/>
  <c r="C11" i="6"/>
  <c r="D11" i="6" s="1"/>
  <c r="M11" i="6" s="1"/>
  <c r="L10" i="6"/>
  <c r="K10" i="6"/>
  <c r="J10" i="6"/>
  <c r="I10" i="6"/>
  <c r="E5" i="6" s="1"/>
  <c r="F5" i="6" s="1"/>
  <c r="H10" i="6"/>
  <c r="F10" i="6"/>
  <c r="D5" i="6" s="1"/>
  <c r="D10" i="6"/>
  <c r="C10" i="6"/>
  <c r="C5" i="6"/>
  <c r="B5" i="6"/>
  <c r="A5" i="6"/>
  <c r="C17" i="5"/>
  <c r="H17" i="5" s="1"/>
  <c r="B17" i="5"/>
  <c r="D16" i="5"/>
  <c r="E16" i="5" s="1"/>
  <c r="C16" i="5"/>
  <c r="H16" i="5" s="1"/>
  <c r="B16" i="5"/>
  <c r="C15" i="5"/>
  <c r="H15" i="5" s="1"/>
  <c r="B15" i="5"/>
  <c r="B18" i="5" s="1"/>
  <c r="G6" i="1" s="1"/>
  <c r="D14" i="5"/>
  <c r="E14" i="5" s="1"/>
  <c r="C14" i="5"/>
  <c r="H14" i="5" s="1"/>
  <c r="B14" i="5"/>
  <c r="E13" i="5"/>
  <c r="D13" i="5"/>
  <c r="C13" i="5"/>
  <c r="H13" i="5" s="1"/>
  <c r="B13" i="5"/>
  <c r="C12" i="5"/>
  <c r="H10" i="5" s="1"/>
  <c r="B12" i="5"/>
  <c r="E11" i="5"/>
  <c r="D11" i="5"/>
  <c r="C11" i="5"/>
  <c r="H11" i="5" s="1"/>
  <c r="B11" i="5"/>
  <c r="F10" i="5"/>
  <c r="G10" i="5" s="1"/>
  <c r="E10" i="5"/>
  <c r="D10" i="5"/>
  <c r="C10" i="5"/>
  <c r="B10" i="5"/>
  <c r="S9" i="5"/>
  <c r="R9" i="5"/>
  <c r="Q9" i="5"/>
  <c r="L9" i="5"/>
  <c r="K9" i="5"/>
  <c r="S8" i="5"/>
  <c r="R8" i="5"/>
  <c r="Q8" i="5"/>
  <c r="L8" i="5"/>
  <c r="J8" i="5"/>
  <c r="U7" i="5"/>
  <c r="U8" i="5" s="1"/>
  <c r="T7" i="5"/>
  <c r="S7" i="5"/>
  <c r="R7" i="5"/>
  <c r="Q7" i="5"/>
  <c r="P7" i="5"/>
  <c r="P8" i="5" s="1"/>
  <c r="O7" i="5"/>
  <c r="O8" i="5" s="1"/>
  <c r="N7" i="5"/>
  <c r="N8" i="5" s="1"/>
  <c r="M7" i="5"/>
  <c r="L7" i="5"/>
  <c r="K7" i="5"/>
  <c r="K8" i="5" s="1"/>
  <c r="J7" i="5"/>
  <c r="J9" i="5" s="1"/>
  <c r="U6" i="5"/>
  <c r="T6" i="5"/>
  <c r="T8" i="5" s="1"/>
  <c r="S6" i="5"/>
  <c r="R6" i="5"/>
  <c r="Q6" i="5"/>
  <c r="P6" i="5"/>
  <c r="O6" i="5"/>
  <c r="N6" i="5"/>
  <c r="M6" i="5"/>
  <c r="M8" i="5" s="1"/>
  <c r="L6" i="5"/>
  <c r="K6" i="5"/>
  <c r="J6" i="5"/>
  <c r="B6" i="5"/>
  <c r="F11" i="5" s="1"/>
  <c r="B5" i="5"/>
  <c r="G19" i="4"/>
  <c r="F19" i="4"/>
  <c r="S19" i="4" s="1"/>
  <c r="E19" i="4"/>
  <c r="R19" i="4" s="1"/>
  <c r="D19" i="4"/>
  <c r="C19" i="4"/>
  <c r="B19" i="4"/>
  <c r="A19" i="4"/>
  <c r="G18" i="4"/>
  <c r="F18" i="4"/>
  <c r="S18" i="4" s="1"/>
  <c r="E18" i="4"/>
  <c r="R18" i="4" s="1"/>
  <c r="D18" i="4"/>
  <c r="C18" i="4"/>
  <c r="B18" i="4"/>
  <c r="A18" i="4"/>
  <c r="G17" i="4"/>
  <c r="F17" i="4"/>
  <c r="S17" i="4" s="1"/>
  <c r="E17" i="4"/>
  <c r="R17" i="4" s="1"/>
  <c r="D17" i="4"/>
  <c r="C17" i="4"/>
  <c r="B17" i="4"/>
  <c r="A17" i="4"/>
  <c r="G16" i="4"/>
  <c r="F16" i="4"/>
  <c r="S16" i="4" s="1"/>
  <c r="E16" i="4"/>
  <c r="R16" i="4" s="1"/>
  <c r="D16" i="4"/>
  <c r="C16" i="4"/>
  <c r="B16" i="4"/>
  <c r="A16" i="4"/>
  <c r="G15" i="4"/>
  <c r="F15" i="4"/>
  <c r="S15" i="4" s="1"/>
  <c r="E15" i="4"/>
  <c r="R15" i="4" s="1"/>
  <c r="D15" i="4"/>
  <c r="C15" i="4"/>
  <c r="B15" i="4"/>
  <c r="A15" i="4"/>
  <c r="G14" i="4"/>
  <c r="F14" i="4"/>
  <c r="S14" i="4" s="1"/>
  <c r="E14" i="4"/>
  <c r="R14" i="4" s="1"/>
  <c r="D14" i="4"/>
  <c r="C14" i="4"/>
  <c r="B14" i="4"/>
  <c r="A14" i="4"/>
  <c r="G13" i="4"/>
  <c r="F13" i="4"/>
  <c r="S13" i="4" s="1"/>
  <c r="E13" i="4"/>
  <c r="R13" i="4" s="1"/>
  <c r="D13" i="4"/>
  <c r="C13" i="4"/>
  <c r="B13" i="4"/>
  <c r="A13" i="4"/>
  <c r="G12" i="4"/>
  <c r="F12" i="4"/>
  <c r="S12" i="4" s="1"/>
  <c r="E12" i="4"/>
  <c r="R12" i="4" s="1"/>
  <c r="D12" i="4"/>
  <c r="C12" i="4"/>
  <c r="B12" i="4"/>
  <c r="A12" i="4"/>
  <c r="G11" i="4"/>
  <c r="F11" i="4"/>
  <c r="S11" i="4" s="1"/>
  <c r="E11" i="4"/>
  <c r="R11" i="4" s="1"/>
  <c r="D11" i="4"/>
  <c r="C11" i="4"/>
  <c r="B11" i="4"/>
  <c r="A11" i="4"/>
  <c r="G10" i="4"/>
  <c r="F10" i="4"/>
  <c r="S10" i="4" s="1"/>
  <c r="E10" i="4"/>
  <c r="R10" i="4" s="1"/>
  <c r="D10" i="4"/>
  <c r="C10" i="4"/>
  <c r="B10" i="4"/>
  <c r="A10" i="4"/>
  <c r="G9" i="4"/>
  <c r="F9" i="4"/>
  <c r="S9" i="4" s="1"/>
  <c r="E9" i="4"/>
  <c r="R9" i="4" s="1"/>
  <c r="D9" i="4"/>
  <c r="C9" i="4"/>
  <c r="B9" i="4"/>
  <c r="A9" i="4"/>
  <c r="G8" i="4"/>
  <c r="F8" i="4"/>
  <c r="S8" i="4" s="1"/>
  <c r="E8" i="4"/>
  <c r="R8" i="4" s="1"/>
  <c r="D8" i="4"/>
  <c r="C8" i="4"/>
  <c r="B8" i="4"/>
  <c r="A8" i="4"/>
  <c r="G7" i="4"/>
  <c r="F7" i="4"/>
  <c r="S7" i="4" s="1"/>
  <c r="E7" i="4"/>
  <c r="R7" i="4" s="1"/>
  <c r="D7" i="4"/>
  <c r="C7" i="4"/>
  <c r="B7" i="4"/>
  <c r="A7" i="4"/>
  <c r="G6" i="4"/>
  <c r="F6" i="4"/>
  <c r="S6" i="4" s="1"/>
  <c r="E6" i="4"/>
  <c r="R6" i="4" s="1"/>
  <c r="D6" i="4"/>
  <c r="C6" i="4"/>
  <c r="B6" i="4"/>
  <c r="A6" i="4"/>
  <c r="Z19" i="3"/>
  <c r="Y19" i="3"/>
  <c r="X19" i="3"/>
  <c r="W19" i="3"/>
  <c r="V19" i="3"/>
  <c r="U19" i="3"/>
  <c r="H19" i="4" s="1"/>
  <c r="J19" i="3"/>
  <c r="Z18" i="3"/>
  <c r="Y18" i="3"/>
  <c r="X18" i="3"/>
  <c r="W18" i="3"/>
  <c r="V18" i="3"/>
  <c r="U18" i="3"/>
  <c r="H18" i="4" s="1"/>
  <c r="J18" i="3"/>
  <c r="Z17" i="3"/>
  <c r="Y17" i="3"/>
  <c r="X17" i="3"/>
  <c r="W17" i="3"/>
  <c r="V17" i="3"/>
  <c r="U17" i="3"/>
  <c r="H17" i="4" s="1"/>
  <c r="J17" i="3"/>
  <c r="Z16" i="3"/>
  <c r="Y16" i="3"/>
  <c r="X16" i="3"/>
  <c r="W16" i="3"/>
  <c r="V16" i="3"/>
  <c r="U16" i="3"/>
  <c r="H16" i="4" s="1"/>
  <c r="J16" i="3"/>
  <c r="Z15" i="3"/>
  <c r="Y15" i="3"/>
  <c r="X15" i="3"/>
  <c r="W15" i="3"/>
  <c r="V15" i="3"/>
  <c r="U15" i="3"/>
  <c r="H15" i="4" s="1"/>
  <c r="J15" i="3"/>
  <c r="Z14" i="3"/>
  <c r="Y14" i="3"/>
  <c r="X14" i="3"/>
  <c r="W14" i="3"/>
  <c r="V14" i="3"/>
  <c r="U14" i="3"/>
  <c r="H14" i="4" s="1"/>
  <c r="J14" i="3"/>
  <c r="Z13" i="3"/>
  <c r="Y13" i="3"/>
  <c r="X13" i="3"/>
  <c r="W13" i="3"/>
  <c r="V13" i="3"/>
  <c r="U13" i="3"/>
  <c r="H13" i="4" s="1"/>
  <c r="J13" i="3"/>
  <c r="Z12" i="3"/>
  <c r="Y12" i="3"/>
  <c r="X12" i="3"/>
  <c r="W12" i="3"/>
  <c r="V12" i="3"/>
  <c r="U12" i="3"/>
  <c r="H12" i="4" s="1"/>
  <c r="J12" i="3"/>
  <c r="Z11" i="3"/>
  <c r="Y11" i="3"/>
  <c r="X11" i="3"/>
  <c r="W11" i="3"/>
  <c r="V11" i="3"/>
  <c r="U11" i="3"/>
  <c r="H11" i="4" s="1"/>
  <c r="J11" i="3"/>
  <c r="Z10" i="3"/>
  <c r="Y10" i="3"/>
  <c r="X10" i="3"/>
  <c r="W10" i="3"/>
  <c r="V10" i="3"/>
  <c r="U10" i="3"/>
  <c r="H10" i="4" s="1"/>
  <c r="J10" i="3"/>
  <c r="Z9" i="3"/>
  <c r="Y9" i="3"/>
  <c r="X9" i="3"/>
  <c r="W9" i="3"/>
  <c r="V9" i="3"/>
  <c r="U9" i="3"/>
  <c r="H9" i="4" s="1"/>
  <c r="J9" i="3"/>
  <c r="Z8" i="3"/>
  <c r="Y8" i="3"/>
  <c r="X8" i="3"/>
  <c r="W8" i="3"/>
  <c r="V8" i="3"/>
  <c r="U8" i="3"/>
  <c r="H8" i="4" s="1"/>
  <c r="J8" i="3"/>
  <c r="Z7" i="3"/>
  <c r="Y7" i="3"/>
  <c r="X7" i="3"/>
  <c r="W7" i="3"/>
  <c r="V7" i="3"/>
  <c r="U7" i="3"/>
  <c r="H7" i="4" s="1"/>
  <c r="J7" i="3"/>
  <c r="Z6" i="3"/>
  <c r="Y6" i="3"/>
  <c r="X6" i="3"/>
  <c r="W6" i="3"/>
  <c r="V6" i="3"/>
  <c r="U6" i="3"/>
  <c r="H6" i="4" s="1"/>
  <c r="J6" i="3"/>
  <c r="G9" i="1"/>
  <c r="I6" i="1"/>
  <c r="M16" i="6" l="1"/>
  <c r="R3" i="4"/>
  <c r="S3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N9" i="5"/>
  <c r="G11" i="5"/>
  <c r="F14" i="5"/>
  <c r="G10" i="6"/>
  <c r="M10" i="6" s="1"/>
  <c r="O9" i="5"/>
  <c r="G14" i="5"/>
  <c r="F17" i="5"/>
  <c r="F18" i="6"/>
  <c r="M9" i="5"/>
  <c r="D17" i="5"/>
  <c r="E17" i="5" s="1"/>
  <c r="D18" i="6"/>
  <c r="K6" i="1"/>
  <c r="P9" i="5"/>
  <c r="G17" i="5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J7" i="4"/>
  <c r="J16" i="4"/>
  <c r="D15" i="5"/>
  <c r="E15" i="5" s="1"/>
  <c r="C18" i="5"/>
  <c r="I6" i="4"/>
  <c r="T9" i="5"/>
  <c r="F12" i="5"/>
  <c r="F18" i="5" s="1"/>
  <c r="K18" i="6"/>
  <c r="K9" i="1" s="1"/>
  <c r="J6" i="4"/>
  <c r="J8" i="4"/>
  <c r="J9" i="4"/>
  <c r="J10" i="4"/>
  <c r="J11" i="4"/>
  <c r="J12" i="4"/>
  <c r="J13" i="4"/>
  <c r="J14" i="4"/>
  <c r="J15" i="4"/>
  <c r="J17" i="4"/>
  <c r="J18" i="4"/>
  <c r="J19" i="4"/>
  <c r="U9" i="5"/>
  <c r="F15" i="5"/>
  <c r="G15" i="5" s="1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H12" i="5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D12" i="5"/>
  <c r="E12" i="5" s="1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6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F13" i="5"/>
  <c r="G13" i="5" s="1"/>
  <c r="Q6" i="4"/>
  <c r="Q3" i="4" s="1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F16" i="5"/>
  <c r="K11" i="6"/>
  <c r="K13" i="6"/>
  <c r="K15" i="6"/>
  <c r="K17" i="6"/>
  <c r="G16" i="5"/>
  <c r="N3" i="4" l="1"/>
  <c r="H6" i="1"/>
  <c r="J9" i="1"/>
  <c r="H18" i="5"/>
  <c r="D18" i="5"/>
  <c r="E18" i="5" s="1"/>
  <c r="L3" i="4"/>
  <c r="I9" i="1"/>
  <c r="G18" i="6"/>
  <c r="J6" i="1"/>
  <c r="T3" i="4"/>
  <c r="J3" i="4"/>
  <c r="M18" i="6"/>
  <c r="G12" i="5"/>
  <c r="G18" i="5" s="1"/>
  <c r="K3" i="4"/>
  <c r="O3" i="4"/>
  <c r="P3" i="4"/>
  <c r="I3" i="4"/>
  <c r="M3" i="4"/>
  <c r="L18" i="6"/>
  <c r="L9" i="1" s="1"/>
</calcChain>
</file>

<file path=xl/sharedStrings.xml><?xml version="1.0" encoding="utf-8"?>
<sst xmlns="http://schemas.openxmlformats.org/spreadsheetml/2006/main" count="336" uniqueCount="197">
  <si>
    <t>Plantilla plan de marketing</t>
  </si>
  <si>
    <t>Ejemplo funcional en español con estrategia, acciones, calendario, presupuesto y KPIs.</t>
  </si>
  <si>
    <t>Configuración del plan</t>
  </si>
  <si>
    <t>Vista ejecutiva</t>
  </si>
  <si>
    <t>Año del plan</t>
  </si>
  <si>
    <t>Presupuesto plan</t>
  </si>
  <si>
    <t>Gasto real</t>
  </si>
  <si>
    <t>Leads reales</t>
  </si>
  <si>
    <t>Ventas reales</t>
  </si>
  <si>
    <t>Ingresos reales</t>
  </si>
  <si>
    <t>ROAS real</t>
  </si>
  <si>
    <t>Fecha inicio</t>
  </si>
  <si>
    <t>Fecha fin</t>
  </si>
  <si>
    <t>IVA estándar</t>
  </si>
  <si>
    <t>Acciones activas</t>
  </si>
  <si>
    <t>Cumpl. leads</t>
  </si>
  <si>
    <t>Cumpl. ventas</t>
  </si>
  <si>
    <t>Desvío gasto</t>
  </si>
  <si>
    <t>CPL real</t>
  </si>
  <si>
    <t>CPA real</t>
  </si>
  <si>
    <t>Ficha de negocio</t>
  </si>
  <si>
    <t>Marca</t>
  </si>
  <si>
    <t>Huerto Nómada</t>
  </si>
  <si>
    <t>Buyer personas prioritarios</t>
  </si>
  <si>
    <t>Oferta</t>
  </si>
  <si>
    <t>Suscripción de kits de huerto urbano para balcones</t>
  </si>
  <si>
    <t>Paula balcón verde</t>
  </si>
  <si>
    <t>29-40 años; vive en ciudad; quiere cultivar sin experiencia; valora diseño y sostenibilidad.</t>
  </si>
  <si>
    <t>Mercado principal</t>
  </si>
  <si>
    <t>España</t>
  </si>
  <si>
    <t>Javier regalo útil</t>
  </si>
  <si>
    <t>30-45 años; compra kits como regalo y experiencia compartida; sensible a packs y temporadas.</t>
  </si>
  <si>
    <t>LTV objetivo</t>
  </si>
  <si>
    <t>Comunidad living</t>
  </si>
  <si>
    <t>Gestores de colivings y oficinas flexibles que buscan actividades de bienestar y marca empleadora.</t>
  </si>
  <si>
    <t>Meta de ingresos</t>
  </si>
  <si>
    <t>Propuesta de valor</t>
  </si>
  <si>
    <t>Cultivar en casa sin experiencia, con kits guiados, semillas estacionales y reposición mensual.</t>
  </si>
  <si>
    <t>Objetivos SMART del ejemplo</t>
  </si>
  <si>
    <t>Objetivo</t>
  </si>
  <si>
    <t>KPI principal</t>
  </si>
  <si>
    <t>Base</t>
  </si>
  <si>
    <t>Meta</t>
  </si>
  <si>
    <t>Fecha límite</t>
  </si>
  <si>
    <t>Canal dominante</t>
  </si>
  <si>
    <t>Observación</t>
  </si>
  <si>
    <t>Generar demanda cualificada</t>
  </si>
  <si>
    <t>Leads</t>
  </si>
  <si>
    <t>SEO + Social Ads</t>
  </si>
  <si>
    <t>Apoyado por lead magnet y colaboraciones.</t>
  </si>
  <si>
    <t>Cerrar primeras suscripciones</t>
  </si>
  <si>
    <t>Ventas</t>
  </si>
  <si>
    <t>SEM + Email</t>
  </si>
  <si>
    <t>Prioridad a campañas con intención alta.</t>
  </si>
  <si>
    <t>Sostener rentabilidad</t>
  </si>
  <si>
    <t>ROAS</t>
  </si>
  <si>
    <t>SEM + Afiliación</t>
  </si>
  <si>
    <t>Mantener inversión solo si supera 3,5x.</t>
  </si>
  <si>
    <t>Construir base propia</t>
  </si>
  <si>
    <t>Suscriptores email</t>
  </si>
  <si>
    <t>SEO + Influencers</t>
  </si>
  <si>
    <t>Menor dependencia de medios pagados.</t>
  </si>
  <si>
    <t>Cómo usar la plantilla</t>
  </si>
  <si>
    <t>1. Edita primero las celdas azules de Resumen.</t>
  </si>
  <si>
    <t>2. En Acciones añade o ajusta campañas; las métricas derivadas se calculan solas.</t>
  </si>
  <si>
    <t>3. El Calendario pinta automáticamente los meses activos de cada acción.</t>
  </si>
  <si>
    <t>4. Presupuesto resume plan vs real por canal y por mes, con IVA configurable.</t>
  </si>
  <si>
    <t>5. KPIs compara objetivos y resultados y actualiza los gráficos.</t>
  </si>
  <si>
    <t>Captación</t>
  </si>
  <si>
    <t>SEO</t>
  </si>
  <si>
    <t>Planificada</t>
  </si>
  <si>
    <t>Alta</t>
  </si>
  <si>
    <t>Alba Ruiz</t>
  </si>
  <si>
    <t>Conversión</t>
  </si>
  <si>
    <t>SEM</t>
  </si>
  <si>
    <t>En curso</t>
  </si>
  <si>
    <t>Media</t>
  </si>
  <si>
    <t>Diego Mena</t>
  </si>
  <si>
    <t>Fidelización</t>
  </si>
  <si>
    <t>Social Ads</t>
  </si>
  <si>
    <t>Optimización</t>
  </si>
  <si>
    <t>Baja</t>
  </si>
  <si>
    <t>Sara Lobo</t>
  </si>
  <si>
    <t>Email</t>
  </si>
  <si>
    <t>Completada</t>
  </si>
  <si>
    <t>Lucía Rey</t>
  </si>
  <si>
    <t>Influencers</t>
  </si>
  <si>
    <t>Pausada</t>
  </si>
  <si>
    <t>PR</t>
  </si>
  <si>
    <t>Eventos</t>
  </si>
  <si>
    <t>Afiliación</t>
  </si>
  <si>
    <t>Plan de acciones tácticas</t>
  </si>
  <si>
    <t>Las columnas U:Z son automáticas. Filtra por canal, estado o responsable.</t>
  </si>
  <si>
    <t>ID</t>
  </si>
  <si>
    <t>Área</t>
  </si>
  <si>
    <t>Canal</t>
  </si>
  <si>
    <t>Campaña / acción</t>
  </si>
  <si>
    <t>Buyer persona</t>
  </si>
  <si>
    <t>Responsable</t>
  </si>
  <si>
    <t>Inicio</t>
  </si>
  <si>
    <t>Fin</t>
  </si>
  <si>
    <t>Mes</t>
  </si>
  <si>
    <t>Estado</t>
  </si>
  <si>
    <t>Prioridad</t>
  </si>
  <si>
    <t>Presupuesto real</t>
  </si>
  <si>
    <t>Leads plan</t>
  </si>
  <si>
    <t>Ventas plan</t>
  </si>
  <si>
    <t>Ingresos plan</t>
  </si>
  <si>
    <t>% avance</t>
  </si>
  <si>
    <t>Desv. gasto</t>
  </si>
  <si>
    <t>Duración</t>
  </si>
  <si>
    <t>Notas</t>
  </si>
  <si>
    <t>A-01</t>
  </si>
  <si>
    <t>Cluster de contenidos 'Huerto en balcón'</t>
  </si>
  <si>
    <t>12 artículos + lead magnet</t>
  </si>
  <si>
    <t>A-02</t>
  </si>
  <si>
    <t>Lead magnet 'Calendario de siembra urbana'</t>
  </si>
  <si>
    <t>Suscriptores</t>
  </si>
  <si>
    <t>Automatización de bienvenida</t>
  </si>
  <si>
    <t>A-03</t>
  </si>
  <si>
    <t>Google Ads búsqueda marca + intención alta</t>
  </si>
  <si>
    <t>Campañas separadas por intención</t>
  </si>
  <si>
    <t>A-04</t>
  </si>
  <si>
    <t>Microcreadores de decoración y sostenibilidad</t>
  </si>
  <si>
    <t>Alcance cualificado</t>
  </si>
  <si>
    <t>6 colaboraciones</t>
  </si>
  <si>
    <t>A-05</t>
  </si>
  <si>
    <t>Meta Ads para captación de lead magnet</t>
  </si>
  <si>
    <t>Creatividades por estación</t>
  </si>
  <si>
    <t>A-06</t>
  </si>
  <si>
    <t>Flujos de recuperación de carrito</t>
  </si>
  <si>
    <t>3 secuencias activas</t>
  </si>
  <si>
    <t>A-07</t>
  </si>
  <si>
    <t>Notas de prensa en medios lifestyle</t>
  </si>
  <si>
    <t>Menciones</t>
  </si>
  <si>
    <t>Foco en prensa local y diseño</t>
  </si>
  <si>
    <t>A-08</t>
  </si>
  <si>
    <t>Taller pop-up en mercados urbanos</t>
  </si>
  <si>
    <t>2 eventos presenciales</t>
  </si>
  <si>
    <t>A-09</t>
  </si>
  <si>
    <t>Programa con blogs de hogar sostenible</t>
  </si>
  <si>
    <t>Comisión variable por venta</t>
  </si>
  <si>
    <t>A-10</t>
  </si>
  <si>
    <t>Programa de recompra estacional</t>
  </si>
  <si>
    <t>Repetición</t>
  </si>
  <si>
    <t>Ofertas otoño e invierno</t>
  </si>
  <si>
    <t>A-11</t>
  </si>
  <si>
    <t>Campaña vídeo 'del balcón a la mesa'</t>
  </si>
  <si>
    <t>Visualizaciones</t>
  </si>
  <si>
    <t>Vídeo vertical para reels y shorts</t>
  </si>
  <si>
    <t>A-12</t>
  </si>
  <si>
    <t>Landing SEO B2B para colivings</t>
  </si>
  <si>
    <t>Leads B2B</t>
  </si>
  <si>
    <t>Captación corporate wellbeing</t>
  </si>
  <si>
    <t>A-13</t>
  </si>
  <si>
    <t>Campaña Black Friday kits regalo</t>
  </si>
  <si>
    <t>Empuje comercial de noviembre</t>
  </si>
  <si>
    <t>A-14</t>
  </si>
  <si>
    <t>Calendario de adviento para clientes</t>
  </si>
  <si>
    <t>Retención</t>
  </si>
  <si>
    <t>Serie de 12 envíos</t>
  </si>
  <si>
    <t>Calendario anual de campañas</t>
  </si>
  <si>
    <t>La banda se colorea automáticamente cuando la acción está activa en ese mes.</t>
  </si>
  <si>
    <t>Campañas activas por mes</t>
  </si>
  <si>
    <t>Acción</t>
  </si>
  <si>
    <t>Control presupuestario</t>
  </si>
  <si>
    <t>Resumen automático por canal y evolución mensual.</t>
  </si>
  <si>
    <t>Supuestos</t>
  </si>
  <si>
    <t>Plan y real por mes</t>
  </si>
  <si>
    <t>Año</t>
  </si>
  <si>
    <t>IVA</t>
  </si>
  <si>
    <t>Plan total</t>
  </si>
  <si>
    <t>Real total</t>
  </si>
  <si>
    <t>Resumen por canal</t>
  </si>
  <si>
    <t>Desvío €</t>
  </si>
  <si>
    <t>Plan neto</t>
  </si>
  <si>
    <t>Real neto</t>
  </si>
  <si>
    <t>Desvío %</t>
  </si>
  <si>
    <t>IVA real</t>
  </si>
  <si>
    <t>Real con IVA</t>
  </si>
  <si>
    <t>Peso real</t>
  </si>
  <si>
    <t>Cumplimiento</t>
  </si>
  <si>
    <t>TOTAL</t>
  </si>
  <si>
    <t>Cuadro de mando de marketing</t>
  </si>
  <si>
    <t>Seguimiento comparativo de objetivos y resultados.</t>
  </si>
  <si>
    <t>Leads objetivo</t>
  </si>
  <si>
    <t>Ventas objetivo</t>
  </si>
  <si>
    <t>ROAS global</t>
  </si>
  <si>
    <t>Rendimiento por canal</t>
  </si>
  <si>
    <t>Leads obj.</t>
  </si>
  <si>
    <t>Leads real.</t>
  </si>
  <si>
    <t>Ventas obj.</t>
  </si>
  <si>
    <t>Ventas real.</t>
  </si>
  <si>
    <t>Ingresos real</t>
  </si>
  <si>
    <t>CPL</t>
  </si>
  <si>
    <t>CPA</t>
  </si>
  <si>
    <t>Tendencia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</si>
</sst>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[$€-C0A];[Red]\(#,##0.00\ [$€-C0A]\)"/>
    <numFmt numFmtId="165" formatCode="0.0\x"/>
    <numFmt numFmtId="166" formatCode="0.0%"/>
    <numFmt numFmtId="167" formatCode="mmm"/>
  </numFmts>
  <fonts count="1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9"/>
      <color rgb="FF6B7280"/>
      <name val="Calibri"/>
    </font>
    <font>
      <b/>
      <sz val="10"/>
      <color rgb="FF6B7280"/>
      <name val="Calibri"/>
    </font>
    <font>
      <sz val="10"/>
      <color rgb="FF0000FF"/>
      <name val="Calibri"/>
    </font>
    <font>
      <b/>
      <sz val="9"/>
      <color rgb="FFFFFFFF"/>
      <name val="Calibri"/>
    </font>
    <font>
      <b/>
      <sz val="16"/>
      <color rgb="FF1F7A8C"/>
      <name val="Calibri"/>
    </font>
    <font>
      <b/>
      <sz val="16"/>
      <color rgb="FF6B4EFF"/>
      <name val="Calibri"/>
    </font>
    <font>
      <b/>
      <sz val="10"/>
      <color rgb="FF1F7A8C"/>
      <name val="Calibri"/>
    </font>
    <font>
      <sz val="10"/>
      <color rgb="FF111111"/>
      <name val="Calibri"/>
    </font>
    <font>
      <b/>
      <sz val="10"/>
      <color rgb="FF16324F"/>
      <name val="Calibri"/>
    </font>
    <font>
      <b/>
      <sz val="10"/>
      <color rgb="FFFFFFFF"/>
      <name val="Calibri"/>
    </font>
    <font>
      <sz val="11"/>
      <color theme="1"/>
      <name val="Calibri"/>
      <family val="2"/>
      <scheme val="minor"/>
    </font>
    <font>
      <b/>
      <sz val="13"/>
      <color rgb="FF1F7A8C"/>
      <name val="Calibri"/>
      <family val="2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6324F"/>
      </patternFill>
    </fill>
    <fill>
      <patternFill patternType="solid">
        <fgColor rgb="FFF8FAFC"/>
      </patternFill>
    </fill>
    <fill>
      <patternFill patternType="solid">
        <fgColor rgb="FFEDF6FF"/>
      </patternFill>
    </fill>
    <fill>
      <patternFill patternType="solid">
        <fgColor rgb="FF1F7A8C"/>
      </patternFill>
    </fill>
    <fill>
      <patternFill patternType="solid">
        <fgColor rgb="FFF6FBFC"/>
      </patternFill>
    </fill>
    <fill>
      <patternFill patternType="solid">
        <fgColor rgb="FF6B4EFF"/>
      </patternFill>
    </fill>
    <fill>
      <patternFill patternType="solid">
        <fgColor rgb="FFE8EEF5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/>
      <diagonal/>
    </border>
  </borders>
  <cellStyleXfs count="2">
    <xf numFmtId="0" fontId="0" fillId="0" borderId="0"/>
    <xf numFmtId="0" fontId="12" fillId="0" borderId="0"/>
  </cellStyleXfs>
  <cellXfs count="62">
    <xf numFmtId="0" fontId="0" fillId="0" borderId="0" xfId="0"/>
    <xf numFmtId="0" fontId="3" fillId="3" borderId="1" xfId="1" applyFont="1" applyFill="1" applyBorder="1" applyAlignment="1">
      <alignment vertical="center" wrapText="1"/>
    </xf>
    <xf numFmtId="3" fontId="4" fillId="4" borderId="1" xfId="1" applyNumberFormat="1" applyFont="1" applyFill="1" applyBorder="1" applyAlignment="1">
      <alignment vertical="top" wrapText="1"/>
    </xf>
    <xf numFmtId="0" fontId="5" fillId="5" borderId="1" xfId="1" applyFont="1" applyFill="1" applyBorder="1" applyAlignment="1">
      <alignment horizontal="center" vertical="center"/>
    </xf>
    <xf numFmtId="14" fontId="4" fillId="4" borderId="1" xfId="1" applyNumberFormat="1" applyFont="1" applyFill="1" applyBorder="1" applyAlignment="1">
      <alignment vertical="top" wrapText="1"/>
    </xf>
    <xf numFmtId="164" fontId="6" fillId="6" borderId="1" xfId="1" applyNumberFormat="1" applyFont="1" applyFill="1" applyBorder="1" applyAlignment="1">
      <alignment horizontal="center" vertical="center"/>
    </xf>
    <xf numFmtId="3" fontId="6" fillId="6" borderId="1" xfId="1" applyNumberFormat="1" applyFont="1" applyFill="1" applyBorder="1" applyAlignment="1">
      <alignment horizontal="center" vertical="center"/>
    </xf>
    <xf numFmtId="165" fontId="6" fillId="6" borderId="1" xfId="1" applyNumberFormat="1" applyFont="1" applyFill="1" applyBorder="1" applyAlignment="1">
      <alignment horizontal="center" vertical="center"/>
    </xf>
    <xf numFmtId="0" fontId="5" fillId="7" borderId="1" xfId="1" applyFont="1" applyFill="1" applyBorder="1" applyAlignment="1">
      <alignment horizontal="center" vertical="center"/>
    </xf>
    <xf numFmtId="3" fontId="7" fillId="6" borderId="1" xfId="1" applyNumberFormat="1" applyFont="1" applyFill="1" applyBorder="1" applyAlignment="1">
      <alignment horizontal="center" vertical="center"/>
    </xf>
    <xf numFmtId="166" fontId="7" fillId="6" borderId="1" xfId="1" applyNumberFormat="1" applyFont="1" applyFill="1" applyBorder="1" applyAlignment="1">
      <alignment horizontal="center" vertical="center"/>
    </xf>
    <xf numFmtId="164" fontId="7" fillId="6" borderId="1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vertical="top" wrapText="1"/>
    </xf>
    <xf numFmtId="164" fontId="4" fillId="4" borderId="1" xfId="1" applyNumberFormat="1" applyFont="1" applyFill="1" applyBorder="1" applyAlignment="1">
      <alignment vertical="top" wrapText="1"/>
    </xf>
    <xf numFmtId="0" fontId="10" fillId="8" borderId="1" xfId="1" applyFont="1" applyFill="1" applyBorder="1" applyAlignment="1">
      <alignment horizontal="center" wrapText="1"/>
    </xf>
    <xf numFmtId="165" fontId="4" fillId="4" borderId="1" xfId="1" applyNumberFormat="1" applyFont="1" applyFill="1" applyBorder="1" applyAlignment="1">
      <alignment vertical="top" wrapText="1"/>
    </xf>
    <xf numFmtId="0" fontId="10" fillId="8" borderId="1" xfId="1" applyFont="1" applyFill="1" applyBorder="1" applyAlignment="1">
      <alignment horizontal="center" vertical="center" wrapText="1"/>
    </xf>
    <xf numFmtId="0" fontId="9" fillId="9" borderId="1" xfId="1" applyFont="1" applyFill="1" applyBorder="1" applyAlignment="1">
      <alignment vertical="center" wrapText="1"/>
    </xf>
    <xf numFmtId="166" fontId="9" fillId="9" borderId="1" xfId="1" applyNumberFormat="1" applyFont="1" applyFill="1" applyBorder="1" applyAlignment="1">
      <alignment vertical="center" wrapText="1"/>
    </xf>
    <xf numFmtId="164" fontId="9" fillId="9" borderId="1" xfId="1" applyNumberFormat="1" applyFont="1" applyFill="1" applyBorder="1" applyAlignment="1">
      <alignment vertical="center" wrapText="1"/>
    </xf>
    <xf numFmtId="165" fontId="9" fillId="9" borderId="1" xfId="1" applyNumberFormat="1" applyFont="1" applyFill="1" applyBorder="1" applyAlignment="1">
      <alignment vertical="center" wrapText="1"/>
    </xf>
    <xf numFmtId="3" fontId="9" fillId="9" borderId="1" xfId="1" applyNumberFormat="1" applyFont="1" applyFill="1" applyBorder="1" applyAlignment="1">
      <alignment vertical="center" wrapText="1"/>
    </xf>
    <xf numFmtId="0" fontId="10" fillId="0" borderId="0" xfId="1" applyFont="1"/>
    <xf numFmtId="0" fontId="8" fillId="0" borderId="0" xfId="1" applyFont="1" applyAlignment="1">
      <alignment horizontal="center"/>
    </xf>
    <xf numFmtId="167" fontId="11" fillId="5" borderId="1" xfId="1" applyNumberFormat="1" applyFont="1" applyFill="1" applyBorder="1" applyAlignment="1">
      <alignment horizontal="center"/>
    </xf>
    <xf numFmtId="14" fontId="9" fillId="9" borderId="1" xfId="1" applyNumberFormat="1" applyFont="1" applyFill="1" applyBorder="1" applyAlignment="1">
      <alignment vertical="center" wrapText="1"/>
    </xf>
    <xf numFmtId="0" fontId="9" fillId="9" borderId="1" xfId="1" applyFont="1" applyFill="1" applyBorder="1" applyAlignment="1">
      <alignment horizontal="center"/>
    </xf>
    <xf numFmtId="167" fontId="10" fillId="8" borderId="1" xfId="1" applyNumberFormat="1" applyFont="1" applyFill="1" applyBorder="1" applyAlignment="1">
      <alignment horizontal="center"/>
    </xf>
    <xf numFmtId="164" fontId="10" fillId="9" borderId="1" xfId="1" applyNumberFormat="1" applyFont="1" applyFill="1" applyBorder="1" applyAlignment="1">
      <alignment vertical="center" wrapText="1"/>
    </xf>
    <xf numFmtId="166" fontId="10" fillId="9" borderId="1" xfId="1" applyNumberFormat="1" applyFont="1" applyFill="1" applyBorder="1" applyAlignment="1">
      <alignment vertical="center" wrapText="1"/>
    </xf>
    <xf numFmtId="3" fontId="10" fillId="9" borderId="1" xfId="1" applyNumberFormat="1" applyFont="1" applyFill="1" applyBorder="1" applyAlignment="1">
      <alignment vertical="center" wrapText="1"/>
    </xf>
    <xf numFmtId="165" fontId="10" fillId="9" borderId="1" xfId="1" applyNumberFormat="1" applyFont="1" applyFill="1" applyBorder="1" applyAlignment="1">
      <alignment vertical="center" wrapText="1"/>
    </xf>
    <xf numFmtId="0" fontId="10" fillId="9" borderId="1" xfId="1" applyFont="1" applyFill="1" applyBorder="1" applyAlignment="1">
      <alignment vertical="center" wrapText="1"/>
    </xf>
    <xf numFmtId="0" fontId="9" fillId="0" borderId="1" xfId="1" applyFont="1" applyBorder="1" applyAlignment="1">
      <alignment vertical="top" wrapText="1"/>
    </xf>
    <xf numFmtId="0" fontId="0" fillId="0" borderId="4" xfId="1" applyFont="1" applyBorder="1"/>
    <xf numFmtId="0" fontId="0" fillId="0" borderId="5" xfId="1" applyFont="1" applyBorder="1"/>
    <xf numFmtId="0" fontId="8" fillId="6" borderId="1" xfId="1" applyFont="1" applyFill="1" applyBorder="1"/>
    <xf numFmtId="0" fontId="9" fillId="3" borderId="1" xfId="1" applyFont="1" applyFill="1" applyBorder="1" applyAlignment="1">
      <alignment wrapText="1"/>
    </xf>
    <xf numFmtId="0" fontId="1" fillId="5" borderId="1" xfId="1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left" vertical="center"/>
    </xf>
    <xf numFmtId="0" fontId="2" fillId="0" borderId="0" xfId="1" applyFont="1"/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0" fillId="0" borderId="2" xfId="1" applyFont="1" applyBorder="1"/>
    <xf numFmtId="0" fontId="0" fillId="0" borderId="3" xfId="1" applyFont="1" applyBorder="1"/>
    <xf numFmtId="164" fontId="13" fillId="6" borderId="1" xfId="1" applyNumberFormat="1" applyFont="1" applyFill="1" applyBorder="1" applyAlignment="1">
      <alignment horizontal="center" vertical="center"/>
    </xf>
    <xf numFmtId="3" fontId="13" fillId="6" borderId="1" xfId="1" applyNumberFormat="1" applyFont="1" applyFill="1" applyBorder="1" applyAlignment="1">
      <alignment horizontal="center" vertical="center"/>
    </xf>
    <xf numFmtId="165" fontId="13" fillId="6" borderId="1" xfId="1" applyNumberFormat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left" vertical="center"/>
    </xf>
    <xf numFmtId="0" fontId="3" fillId="3" borderId="6" xfId="1" applyFont="1" applyFill="1" applyBorder="1" applyAlignment="1">
      <alignment vertical="center" wrapText="1"/>
    </xf>
    <xf numFmtId="3" fontId="4" fillId="4" borderId="6" xfId="1" applyNumberFormat="1" applyFont="1" applyFill="1" applyBorder="1" applyAlignment="1">
      <alignment horizontal="left" vertical="top" wrapText="1"/>
    </xf>
    <xf numFmtId="14" fontId="4" fillId="4" borderId="6" xfId="1" applyNumberFormat="1" applyFont="1" applyFill="1" applyBorder="1" applyAlignment="1">
      <alignment horizontal="left" vertical="top" wrapText="1"/>
    </xf>
    <xf numFmtId="166" fontId="4" fillId="4" borderId="6" xfId="1" applyNumberFormat="1" applyFont="1" applyFill="1" applyBorder="1" applyAlignment="1">
      <alignment horizontal="left" vertical="top" wrapText="1"/>
    </xf>
    <xf numFmtId="0" fontId="1" fillId="5" borderId="7" xfId="1" applyFont="1" applyFill="1" applyBorder="1" applyAlignment="1">
      <alignment horizontal="left" vertical="center"/>
    </xf>
    <xf numFmtId="0" fontId="3" fillId="3" borderId="6" xfId="1" applyFont="1" applyFill="1" applyBorder="1" applyAlignment="1">
      <alignment horizontal="left" vertical="center" wrapText="1"/>
    </xf>
    <xf numFmtId="0" fontId="4" fillId="4" borderId="6" xfId="1" applyFont="1" applyFill="1" applyBorder="1" applyAlignment="1">
      <alignment horizontal="left" vertical="top" wrapText="1"/>
    </xf>
    <xf numFmtId="164" fontId="4" fillId="4" borderId="6" xfId="1" applyNumberFormat="1" applyFont="1" applyFill="1" applyBorder="1" applyAlignment="1">
      <alignment horizontal="left" vertical="top" wrapText="1"/>
    </xf>
    <xf numFmtId="0" fontId="3" fillId="3" borderId="6" xfId="1" applyFont="1" applyFill="1" applyBorder="1" applyAlignment="1">
      <alignment horizontal="left" vertical="center" wrapText="1"/>
    </xf>
    <xf numFmtId="0" fontId="0" fillId="0" borderId="6" xfId="1" applyFont="1" applyBorder="1" applyAlignment="1">
      <alignment horizontal="left"/>
    </xf>
    <xf numFmtId="0" fontId="14" fillId="2" borderId="1" xfId="1" applyFont="1" applyFill="1" applyBorder="1" applyAlignment="1">
      <alignment horizontal="left" vertical="center"/>
    </xf>
    <xf numFmtId="0" fontId="15" fillId="0" borderId="4" xfId="1" applyFont="1" applyBorder="1"/>
    <xf numFmtId="0" fontId="15" fillId="0" borderId="5" xfId="1" applyFont="1" applyBorder="1"/>
  </cellXfs>
  <cellStyles count="2">
    <cellStyle name="Normal" xfId="1" xr:uid="{00000000-0005-0000-0000-000000000000}"/>
    <cellStyle name="Standard" xfId="0" builtinId="0"/>
  </cellStyles>
  <dxfs count="17">
    <dxf>
      <fill>
        <patternFill>
          <bgColor rgb="FFFDECEC"/>
        </patternFill>
      </fill>
    </dxf>
    <dxf>
      <fill>
        <patternFill>
          <bgColor rgb="FFFFF4E5"/>
        </patternFill>
      </fill>
    </dxf>
    <dxf>
      <fill>
        <patternFill>
          <bgColor rgb="FFEAF7EE"/>
        </patternFill>
      </fill>
    </dxf>
    <dxf>
      <fill>
        <patternFill>
          <bgColor rgb="FFFDECEC"/>
        </patternFill>
      </fill>
    </dxf>
    <dxf>
      <fill>
        <patternFill>
          <bgColor rgb="FFFFF4E5"/>
        </patternFill>
      </fill>
    </dxf>
    <dxf>
      <fill>
        <patternFill>
          <bgColor rgb="FFEAF7EE"/>
        </patternFill>
      </fill>
    </dxf>
    <dxf>
      <fill>
        <patternFill>
          <bgColor rgb="FFFDECEC"/>
        </patternFill>
      </fill>
    </dxf>
    <dxf>
      <fill>
        <patternFill>
          <bgColor rgb="FFFFF9DB"/>
        </patternFill>
      </fill>
    </dxf>
    <dxf>
      <fill>
        <patternFill>
          <bgColor rgb="FFEAF7EE"/>
        </patternFill>
      </fill>
    </dxf>
    <dxf>
      <fill>
        <patternFill>
          <bgColor rgb="FFD9EEF2"/>
        </patternFill>
      </fill>
    </dxf>
    <dxf>
      <fill>
        <patternFill>
          <bgColor rgb="FFEAF7EE"/>
        </patternFill>
      </fill>
    </dxf>
    <dxf>
      <fill>
        <patternFill>
          <bgColor rgb="FFFFF4E5"/>
        </patternFill>
      </fill>
    </dxf>
    <dxf>
      <fill>
        <patternFill>
          <bgColor rgb="FFFDECEC"/>
        </patternFill>
      </fill>
    </dxf>
    <dxf>
      <fill>
        <patternFill>
          <bgColor rgb="FFFDECEC"/>
        </patternFill>
      </fill>
    </dxf>
    <dxf>
      <fill>
        <patternFill>
          <bgColor rgb="FFFFF4E5"/>
        </patternFill>
      </fill>
    </dxf>
    <dxf>
      <fill>
        <patternFill>
          <bgColor rgb="FFD9EEF2"/>
        </patternFill>
      </fill>
    </dxf>
    <dxf>
      <fill>
        <patternFill>
          <bgColor rgb="FFEAF7E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Plan vs real por canal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Presupuesto!$B$9</c:f>
              <c:strCache>
                <c:ptCount val="1"/>
                <c:pt idx="0">
                  <c:v>Plan neto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Presupuesto!$A$10:$A$17</c:f>
              <c:strCache>
                <c:ptCount val="8"/>
                <c:pt idx="0">
                  <c:v>SEO</c:v>
                </c:pt>
                <c:pt idx="1">
                  <c:v>SEM</c:v>
                </c:pt>
                <c:pt idx="2">
                  <c:v>Social Ads</c:v>
                </c:pt>
                <c:pt idx="3">
                  <c:v>Email</c:v>
                </c:pt>
                <c:pt idx="4">
                  <c:v>Influencers</c:v>
                </c:pt>
                <c:pt idx="5">
                  <c:v>PR</c:v>
                </c:pt>
                <c:pt idx="6">
                  <c:v>Eventos</c:v>
                </c:pt>
                <c:pt idx="7">
                  <c:v>Afiliación</c:v>
                </c:pt>
              </c:strCache>
            </c:strRef>
          </c:cat>
          <c:val>
            <c:numRef>
              <c:f>Presupuesto!$B$10:$B$17</c:f>
              <c:numCache>
                <c:formatCode>General</c:formatCode>
                <c:ptCount val="8"/>
                <c:pt idx="0">
                  <c:v>4900</c:v>
                </c:pt>
                <c:pt idx="1">
                  <c:v>9400</c:v>
                </c:pt>
                <c:pt idx="2">
                  <c:v>6500</c:v>
                </c:pt>
                <c:pt idx="3">
                  <c:v>4250</c:v>
                </c:pt>
                <c:pt idx="4">
                  <c:v>2400</c:v>
                </c:pt>
                <c:pt idx="5">
                  <c:v>1800</c:v>
                </c:pt>
                <c:pt idx="6">
                  <c:v>3200</c:v>
                </c:pt>
                <c:pt idx="7">
                  <c:v>2600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0-4BC6-BFE7-0C5EDBAC55E0}"/>
            </c:ext>
          </c:extLst>
        </c:ser>
        <c:ser>
          <c:idx val="1"/>
          <c:order val="1"/>
          <c:tx>
            <c:strRef>
              <c:f>Presupuesto!$C$9</c:f>
              <c:strCache>
                <c:ptCount val="1"/>
                <c:pt idx="0">
                  <c:v>Real neto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Presupuesto!$A$10:$A$17</c:f>
              <c:strCache>
                <c:ptCount val="8"/>
                <c:pt idx="0">
                  <c:v>SEO</c:v>
                </c:pt>
                <c:pt idx="1">
                  <c:v>SEM</c:v>
                </c:pt>
                <c:pt idx="2">
                  <c:v>Social Ads</c:v>
                </c:pt>
                <c:pt idx="3">
                  <c:v>Email</c:v>
                </c:pt>
                <c:pt idx="4">
                  <c:v>Influencers</c:v>
                </c:pt>
                <c:pt idx="5">
                  <c:v>PR</c:v>
                </c:pt>
                <c:pt idx="6">
                  <c:v>Eventos</c:v>
                </c:pt>
                <c:pt idx="7">
                  <c:v>Afiliación</c:v>
                </c:pt>
              </c:strCache>
            </c:strRef>
          </c:cat>
          <c:val>
            <c:numRef>
              <c:f>Presupuesto!$C$10:$C$17</c:f>
              <c:numCache>
                <c:formatCode>General</c:formatCode>
                <c:ptCount val="8"/>
                <c:pt idx="0">
                  <c:v>2550</c:v>
                </c:pt>
                <c:pt idx="1">
                  <c:v>5480</c:v>
                </c:pt>
                <c:pt idx="2">
                  <c:v>3380</c:v>
                </c:pt>
                <c:pt idx="3">
                  <c:v>2040</c:v>
                </c:pt>
                <c:pt idx="4">
                  <c:v>2280</c:v>
                </c:pt>
                <c:pt idx="5">
                  <c:v>1660</c:v>
                </c:pt>
                <c:pt idx="6">
                  <c:v>3475</c:v>
                </c:pt>
                <c:pt idx="7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10-4BC6-BFE7-0C5EDBAC5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Canal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t>€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t>Mix de gasto real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Presupuesto!$C$9</c:f>
              <c:strCache>
                <c:ptCount val="1"/>
                <c:pt idx="0">
                  <c:v>Real neto</c:v>
                </c:pt>
              </c:strCache>
            </c:strRef>
          </c:tx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Presupuesto!$A$10:$A$17</c:f>
              <c:strCache>
                <c:ptCount val="8"/>
                <c:pt idx="0">
                  <c:v>SEO</c:v>
                </c:pt>
                <c:pt idx="1">
                  <c:v>SEM</c:v>
                </c:pt>
                <c:pt idx="2">
                  <c:v>Social Ads</c:v>
                </c:pt>
                <c:pt idx="3">
                  <c:v>Email</c:v>
                </c:pt>
                <c:pt idx="4">
                  <c:v>Influencers</c:v>
                </c:pt>
                <c:pt idx="5">
                  <c:v>PR</c:v>
                </c:pt>
                <c:pt idx="6">
                  <c:v>Eventos</c:v>
                </c:pt>
                <c:pt idx="7">
                  <c:v>Afiliación</c:v>
                </c:pt>
              </c:strCache>
            </c:strRef>
          </c:cat>
          <c:val>
            <c:numRef>
              <c:f>Presupuesto!$C$10:$C$17</c:f>
              <c:numCache>
                <c:formatCode>General</c:formatCode>
                <c:ptCount val="8"/>
                <c:pt idx="0">
                  <c:v>2550</c:v>
                </c:pt>
                <c:pt idx="1">
                  <c:v>5480</c:v>
                </c:pt>
                <c:pt idx="2">
                  <c:v>3380</c:v>
                </c:pt>
                <c:pt idx="3">
                  <c:v>2040</c:v>
                </c:pt>
                <c:pt idx="4">
                  <c:v>2280</c:v>
                </c:pt>
                <c:pt idx="5">
                  <c:v>1660</c:v>
                </c:pt>
                <c:pt idx="6">
                  <c:v>3475</c:v>
                </c:pt>
                <c:pt idx="7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81-439A-9B79-93B7CD694793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Gasto real por canal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KPIs!$H$9</c:f>
              <c:strCache>
                <c:ptCount val="1"/>
                <c:pt idx="0">
                  <c:v>Gasto real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KPIs!$A$10:$A$17</c:f>
              <c:strCache>
                <c:ptCount val="8"/>
                <c:pt idx="0">
                  <c:v>SEO</c:v>
                </c:pt>
                <c:pt idx="1">
                  <c:v>SEM</c:v>
                </c:pt>
                <c:pt idx="2">
                  <c:v>Social Ads</c:v>
                </c:pt>
                <c:pt idx="3">
                  <c:v>Email</c:v>
                </c:pt>
                <c:pt idx="4">
                  <c:v>Influencers</c:v>
                </c:pt>
                <c:pt idx="5">
                  <c:v>PR</c:v>
                </c:pt>
                <c:pt idx="6">
                  <c:v>Eventos</c:v>
                </c:pt>
                <c:pt idx="7">
                  <c:v>Afiliación</c:v>
                </c:pt>
              </c:strCache>
            </c:strRef>
          </c:cat>
          <c:val>
            <c:numRef>
              <c:f>KPIs!$H$10:$H$17</c:f>
              <c:numCache>
                <c:formatCode>General</c:formatCode>
                <c:ptCount val="8"/>
                <c:pt idx="0">
                  <c:v>2550</c:v>
                </c:pt>
                <c:pt idx="1">
                  <c:v>5480</c:v>
                </c:pt>
                <c:pt idx="2">
                  <c:v>3380</c:v>
                </c:pt>
                <c:pt idx="3">
                  <c:v>2040</c:v>
                </c:pt>
                <c:pt idx="4">
                  <c:v>2280</c:v>
                </c:pt>
                <c:pt idx="5">
                  <c:v>1660</c:v>
                </c:pt>
                <c:pt idx="6">
                  <c:v>3475</c:v>
                </c:pt>
                <c:pt idx="7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A6-4518-96EE-230C9DAA0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0546892422760876"/>
          <c:y val="4.7368110236220493E-2"/>
          <c:w val="0.27928053111008183"/>
          <c:h val="0.43609711286089231"/>
        </c:manualLayout>
      </c:layout>
      <c:overlay val="1"/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</xdr:row>
      <xdr:rowOff>0</xdr:rowOff>
    </xdr:from>
    <xdr:to>
      <xdr:col>9</xdr:col>
      <xdr:colOff>0</xdr:colOff>
      <xdr:row>10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15</xdr:col>
      <xdr:colOff>0</xdr:colOff>
      <xdr:row>10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1</xdr:row>
      <xdr:rowOff>22860</xdr:rowOff>
    </xdr:from>
    <xdr:to>
      <xdr:col>12</xdr:col>
      <xdr:colOff>937260</xdr:colOff>
      <xdr:row>6</xdr:row>
      <xdr:rowOff>175260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2"/>
  <sheetViews>
    <sheetView showGridLines="0" workbookViewId="0">
      <selection activeCell="F17" sqref="F17"/>
    </sheetView>
  </sheetViews>
  <sheetFormatPr baseColWidth="10" defaultColWidth="8.88671875" defaultRowHeight="14.4" x14ac:dyDescent="0.3"/>
  <cols>
    <col min="1" max="1" width="3" customWidth="1"/>
    <col min="2" max="2" width="18" customWidth="1"/>
    <col min="3" max="3" width="20" customWidth="1"/>
    <col min="4" max="5" width="19" customWidth="1"/>
    <col min="6" max="6" width="10.5546875" bestFit="1" customWidth="1"/>
    <col min="7" max="12" width="15" customWidth="1"/>
  </cols>
  <sheetData>
    <row r="1" spans="2:12" ht="22.05" customHeight="1" x14ac:dyDescent="0.3">
      <c r="B1" s="42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5"/>
    </row>
    <row r="2" spans="2:12" ht="22.05" customHeight="1" x14ac:dyDescent="0.3">
      <c r="B2" s="40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2:12" ht="22.05" customHeight="1" x14ac:dyDescent="0.3"/>
    <row r="4" spans="2:12" ht="22.05" customHeight="1" x14ac:dyDescent="0.3">
      <c r="B4" s="48" t="s">
        <v>2</v>
      </c>
      <c r="C4" s="43"/>
      <c r="D4" s="43"/>
      <c r="E4" s="44"/>
      <c r="G4" s="39" t="s">
        <v>3</v>
      </c>
      <c r="H4" s="34"/>
      <c r="I4" s="34"/>
      <c r="J4" s="34"/>
      <c r="K4" s="34"/>
      <c r="L4" s="35"/>
    </row>
    <row r="5" spans="2:12" ht="22.05" customHeight="1" x14ac:dyDescent="0.3">
      <c r="B5" s="49" t="s">
        <v>4</v>
      </c>
      <c r="C5" s="50">
        <v>2026</v>
      </c>
      <c r="D5" s="50"/>
      <c r="E5" s="50"/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</row>
    <row r="6" spans="2:12" ht="22.05" customHeight="1" x14ac:dyDescent="0.3">
      <c r="B6" s="49" t="s">
        <v>11</v>
      </c>
      <c r="C6" s="51">
        <v>46023</v>
      </c>
      <c r="D6" s="51"/>
      <c r="E6" s="51"/>
      <c r="G6" s="45">
        <f>Presupuesto!B18</f>
        <v>35050</v>
      </c>
      <c r="H6" s="45">
        <f>Presupuesto!C18</f>
        <v>23295</v>
      </c>
      <c r="I6" s="46">
        <f>KPIs!C18</f>
        <v>2664</v>
      </c>
      <c r="J6" s="46">
        <f>KPIs!F18</f>
        <v>297</v>
      </c>
      <c r="K6" s="45">
        <f>KPIs!I18</f>
        <v>99880</v>
      </c>
      <c r="L6" s="47">
        <f>KPIs!J18</f>
        <v>4.2876153681047438</v>
      </c>
    </row>
    <row r="7" spans="2:12" ht="22.05" customHeight="1" x14ac:dyDescent="0.3">
      <c r="B7" s="49" t="s">
        <v>12</v>
      </c>
      <c r="C7" s="51">
        <v>46387</v>
      </c>
      <c r="D7" s="51"/>
      <c r="E7" s="51"/>
    </row>
    <row r="8" spans="2:12" ht="22.05" customHeight="1" x14ac:dyDescent="0.3">
      <c r="B8" s="49" t="s">
        <v>13</v>
      </c>
      <c r="C8" s="52">
        <v>0.21</v>
      </c>
      <c r="D8" s="52"/>
      <c r="E8" s="52"/>
      <c r="G8" s="8" t="s">
        <v>14</v>
      </c>
      <c r="H8" s="8" t="s">
        <v>15</v>
      </c>
      <c r="I8" s="8" t="s">
        <v>16</v>
      </c>
      <c r="J8" s="8" t="s">
        <v>17</v>
      </c>
      <c r="K8" s="8" t="s">
        <v>18</v>
      </c>
      <c r="L8" s="8" t="s">
        <v>19</v>
      </c>
    </row>
    <row r="9" spans="2:12" ht="22.05" customHeight="1" x14ac:dyDescent="0.3">
      <c r="G9" s="9">
        <f>COUNTIF(Acciones!K6:K19,"En curso")+COUNTIF(Acciones!K6:K19,"Optimización")</f>
        <v>5</v>
      </c>
      <c r="H9" s="10">
        <f>IFERROR(KPIs!C18/KPIs!B18,0)</f>
        <v>0.92500000000000004</v>
      </c>
      <c r="I9" s="10">
        <f>IFERROR(KPIs!F18/KPIs!E18,0)</f>
        <v>0.8342696629213483</v>
      </c>
      <c r="J9" s="10">
        <f>IFERROR((Presupuesto!C18-Presupuesto!B18)/Presupuesto!B18,0)</f>
        <v>-0.33537803138373751</v>
      </c>
      <c r="K9" s="11">
        <f>KPIs!K18</f>
        <v>8.7443693693693696</v>
      </c>
      <c r="L9" s="11">
        <f>KPIs!L18</f>
        <v>78.434343434343432</v>
      </c>
    </row>
    <row r="10" spans="2:12" ht="22.05" customHeight="1" x14ac:dyDescent="0.3">
      <c r="B10" s="53" t="s">
        <v>20</v>
      </c>
      <c r="C10" s="43"/>
      <c r="D10" s="43"/>
      <c r="E10" s="44"/>
    </row>
    <row r="11" spans="2:12" ht="22.05" customHeight="1" x14ac:dyDescent="0.3">
      <c r="B11" s="54" t="s">
        <v>21</v>
      </c>
      <c r="C11" s="55" t="s">
        <v>22</v>
      </c>
      <c r="D11" s="55"/>
      <c r="E11" s="55"/>
      <c r="G11" s="38" t="s">
        <v>23</v>
      </c>
      <c r="H11" s="34"/>
      <c r="I11" s="34"/>
      <c r="J11" s="34"/>
      <c r="K11" s="34"/>
      <c r="L11" s="35"/>
    </row>
    <row r="12" spans="2:12" ht="22.05" customHeight="1" x14ac:dyDescent="0.3">
      <c r="B12" s="54" t="s">
        <v>24</v>
      </c>
      <c r="C12" s="55" t="s">
        <v>25</v>
      </c>
      <c r="D12" s="55"/>
      <c r="E12" s="55"/>
      <c r="G12" s="36" t="s">
        <v>26</v>
      </c>
      <c r="H12" s="35"/>
      <c r="I12" s="33" t="s">
        <v>27</v>
      </c>
      <c r="J12" s="34"/>
      <c r="K12" s="34"/>
      <c r="L12" s="35"/>
    </row>
    <row r="13" spans="2:12" ht="22.05" customHeight="1" x14ac:dyDescent="0.3">
      <c r="B13" s="54" t="s">
        <v>28</v>
      </c>
      <c r="C13" s="55" t="s">
        <v>29</v>
      </c>
      <c r="D13" s="55"/>
      <c r="E13" s="55"/>
      <c r="G13" s="36" t="s">
        <v>30</v>
      </c>
      <c r="H13" s="35"/>
      <c r="I13" s="33" t="s">
        <v>31</v>
      </c>
      <c r="J13" s="34"/>
      <c r="K13" s="34"/>
      <c r="L13" s="35"/>
    </row>
    <row r="14" spans="2:12" ht="22.05" customHeight="1" x14ac:dyDescent="0.3">
      <c r="B14" s="54" t="s">
        <v>32</v>
      </c>
      <c r="C14" s="56">
        <v>325</v>
      </c>
      <c r="D14" s="56"/>
      <c r="E14" s="56"/>
      <c r="G14" s="36" t="s">
        <v>33</v>
      </c>
      <c r="H14" s="35"/>
      <c r="I14" s="33" t="s">
        <v>34</v>
      </c>
      <c r="J14" s="34"/>
      <c r="K14" s="34"/>
      <c r="L14" s="35"/>
    </row>
    <row r="15" spans="2:12" ht="22.05" customHeight="1" x14ac:dyDescent="0.3">
      <c r="B15" s="54" t="s">
        <v>35</v>
      </c>
      <c r="C15" s="56">
        <v>125000</v>
      </c>
      <c r="D15" s="56"/>
      <c r="E15" s="56"/>
    </row>
    <row r="16" spans="2:12" ht="22.05" customHeight="1" x14ac:dyDescent="0.3">
      <c r="B16" s="57" t="s">
        <v>36</v>
      </c>
      <c r="C16" s="55" t="s">
        <v>37</v>
      </c>
      <c r="D16" s="58"/>
      <c r="E16" s="58"/>
    </row>
    <row r="17" spans="2:12" x14ac:dyDescent="0.3">
      <c r="B17" s="57"/>
      <c r="C17" s="58"/>
      <c r="D17" s="58"/>
      <c r="E17" s="58"/>
    </row>
    <row r="18" spans="2:12" ht="22.05" customHeight="1" x14ac:dyDescent="0.3"/>
    <row r="19" spans="2:12" ht="22.05" customHeight="1" x14ac:dyDescent="0.3">
      <c r="B19" s="39" t="s">
        <v>38</v>
      </c>
      <c r="C19" s="34"/>
      <c r="D19" s="34"/>
      <c r="E19" s="34"/>
      <c r="F19" s="34"/>
      <c r="G19" s="34"/>
      <c r="H19" s="34"/>
      <c r="I19" s="34"/>
      <c r="J19" s="34"/>
      <c r="K19" s="34"/>
      <c r="L19" s="35"/>
    </row>
    <row r="20" spans="2:12" ht="22.05" customHeight="1" x14ac:dyDescent="0.3">
      <c r="B20" s="14" t="s">
        <v>39</v>
      </c>
      <c r="C20" s="14" t="s">
        <v>40</v>
      </c>
      <c r="D20" s="14" t="s">
        <v>41</v>
      </c>
      <c r="E20" s="14" t="s">
        <v>42</v>
      </c>
      <c r="F20" s="14" t="s">
        <v>43</v>
      </c>
      <c r="G20" s="14" t="s">
        <v>44</v>
      </c>
      <c r="H20" s="14" t="s">
        <v>45</v>
      </c>
    </row>
    <row r="21" spans="2:12" ht="22.05" customHeight="1" x14ac:dyDescent="0.3">
      <c r="B21" s="12" t="s">
        <v>46</v>
      </c>
      <c r="C21" s="12" t="s">
        <v>47</v>
      </c>
      <c r="D21" s="2">
        <v>0</v>
      </c>
      <c r="E21" s="2">
        <v>3200</v>
      </c>
      <c r="F21" s="4">
        <v>46295</v>
      </c>
      <c r="G21" s="12" t="s">
        <v>48</v>
      </c>
      <c r="H21" s="12" t="s">
        <v>49</v>
      </c>
    </row>
    <row r="22" spans="2:12" ht="22.05" customHeight="1" x14ac:dyDescent="0.3">
      <c r="B22" s="12" t="s">
        <v>50</v>
      </c>
      <c r="C22" s="12" t="s">
        <v>51</v>
      </c>
      <c r="D22" s="2">
        <v>0</v>
      </c>
      <c r="E22" s="2">
        <v>480</v>
      </c>
      <c r="F22" s="4">
        <v>46387</v>
      </c>
      <c r="G22" s="12" t="s">
        <v>52</v>
      </c>
      <c r="H22" s="12" t="s">
        <v>53</v>
      </c>
    </row>
    <row r="23" spans="2:12" ht="22.05" customHeight="1" x14ac:dyDescent="0.3">
      <c r="B23" s="12" t="s">
        <v>54</v>
      </c>
      <c r="C23" s="12" t="s">
        <v>55</v>
      </c>
      <c r="D23" s="12">
        <v>0</v>
      </c>
      <c r="E23" s="15">
        <v>4.2</v>
      </c>
      <c r="F23" s="4">
        <v>46387</v>
      </c>
      <c r="G23" s="12" t="s">
        <v>56</v>
      </c>
      <c r="H23" s="12" t="s">
        <v>57</v>
      </c>
    </row>
    <row r="24" spans="2:12" ht="22.05" customHeight="1" x14ac:dyDescent="0.3">
      <c r="B24" s="12" t="s">
        <v>58</v>
      </c>
      <c r="C24" s="12" t="s">
        <v>59</v>
      </c>
      <c r="D24" s="2">
        <v>0</v>
      </c>
      <c r="E24" s="2">
        <v>8500</v>
      </c>
      <c r="F24" s="4">
        <v>46387</v>
      </c>
      <c r="G24" s="12" t="s">
        <v>60</v>
      </c>
      <c r="H24" s="12" t="s">
        <v>61</v>
      </c>
    </row>
    <row r="25" spans="2:12" ht="22.05" customHeight="1" x14ac:dyDescent="0.3"/>
    <row r="26" spans="2:12" ht="22.05" customHeight="1" x14ac:dyDescent="0.3"/>
    <row r="27" spans="2:12" ht="22.05" customHeight="1" x14ac:dyDescent="0.3">
      <c r="B27" s="38" t="s">
        <v>62</v>
      </c>
      <c r="C27" s="34"/>
      <c r="D27" s="34"/>
      <c r="E27" s="34"/>
      <c r="F27" s="34"/>
      <c r="G27" s="34"/>
      <c r="H27" s="34"/>
      <c r="I27" s="34"/>
      <c r="J27" s="34"/>
      <c r="K27" s="34"/>
      <c r="L27" s="35"/>
    </row>
    <row r="28" spans="2:12" ht="22.05" customHeight="1" x14ac:dyDescent="0.3">
      <c r="B28" s="37" t="s">
        <v>63</v>
      </c>
      <c r="C28" s="34"/>
      <c r="D28" s="34"/>
      <c r="E28" s="34"/>
      <c r="F28" s="34"/>
      <c r="G28" s="34"/>
      <c r="H28" s="34"/>
      <c r="I28" s="34"/>
      <c r="J28" s="34"/>
      <c r="K28" s="34"/>
      <c r="L28" s="35"/>
    </row>
    <row r="29" spans="2:12" ht="22.05" customHeight="1" x14ac:dyDescent="0.3">
      <c r="B29" s="37" t="s">
        <v>64</v>
      </c>
      <c r="C29" s="34"/>
      <c r="D29" s="34"/>
      <c r="E29" s="34"/>
      <c r="F29" s="34"/>
      <c r="G29" s="34"/>
      <c r="H29" s="34"/>
      <c r="I29" s="34"/>
      <c r="J29" s="34"/>
      <c r="K29" s="34"/>
      <c r="L29" s="35"/>
    </row>
    <row r="30" spans="2:12" ht="22.05" customHeight="1" x14ac:dyDescent="0.3">
      <c r="B30" s="37" t="s">
        <v>65</v>
      </c>
      <c r="C30" s="34"/>
      <c r="D30" s="34"/>
      <c r="E30" s="34"/>
      <c r="F30" s="34"/>
      <c r="G30" s="34"/>
      <c r="H30" s="34"/>
      <c r="I30" s="34"/>
      <c r="J30" s="34"/>
      <c r="K30" s="34"/>
      <c r="L30" s="35"/>
    </row>
    <row r="31" spans="2:12" ht="22.05" customHeight="1" x14ac:dyDescent="0.3">
      <c r="B31" s="37" t="s">
        <v>66</v>
      </c>
      <c r="C31" s="34"/>
      <c r="D31" s="34"/>
      <c r="E31" s="34"/>
      <c r="F31" s="34"/>
      <c r="G31" s="34"/>
      <c r="H31" s="34"/>
      <c r="I31" s="34"/>
      <c r="J31" s="34"/>
      <c r="K31" s="34"/>
      <c r="L31" s="35"/>
    </row>
    <row r="32" spans="2:12" ht="22.05" customHeight="1" x14ac:dyDescent="0.3">
      <c r="B32" s="37" t="s">
        <v>67</v>
      </c>
      <c r="C32" s="34"/>
      <c r="D32" s="34"/>
      <c r="E32" s="34"/>
      <c r="F32" s="34"/>
      <c r="G32" s="34"/>
      <c r="H32" s="34"/>
      <c r="I32" s="34"/>
      <c r="J32" s="34"/>
      <c r="K32" s="34"/>
      <c r="L32" s="35"/>
    </row>
  </sheetData>
  <mergeCells count="30">
    <mergeCell ref="B1:L1"/>
    <mergeCell ref="C16:E17"/>
    <mergeCell ref="B29:L29"/>
    <mergeCell ref="B19:L19"/>
    <mergeCell ref="G14:H14"/>
    <mergeCell ref="B28:L28"/>
    <mergeCell ref="G11:L11"/>
    <mergeCell ref="I12:L12"/>
    <mergeCell ref="B10:E10"/>
    <mergeCell ref="C11:E11"/>
    <mergeCell ref="C12:E12"/>
    <mergeCell ref="C13:E13"/>
    <mergeCell ref="C14:E14"/>
    <mergeCell ref="C15:E15"/>
    <mergeCell ref="B16:B17"/>
    <mergeCell ref="C5:E5"/>
    <mergeCell ref="B4:E4"/>
    <mergeCell ref="B2:L2"/>
    <mergeCell ref="B32:L32"/>
    <mergeCell ref="G4:L4"/>
    <mergeCell ref="G13:H13"/>
    <mergeCell ref="B30:L30"/>
    <mergeCell ref="C6:E6"/>
    <mergeCell ref="C7:E7"/>
    <mergeCell ref="C8:E8"/>
    <mergeCell ref="I14:L14"/>
    <mergeCell ref="G12:H12"/>
    <mergeCell ref="B31:L31"/>
    <mergeCell ref="B27:L27"/>
    <mergeCell ref="I13:L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"/>
  <sheetViews>
    <sheetView workbookViewId="0"/>
  </sheetViews>
  <sheetFormatPr baseColWidth="10" defaultColWidth="8.88671875" defaultRowHeight="14.4" x14ac:dyDescent="0.3"/>
  <sheetData>
    <row r="1" spans="1:5" ht="17.55" customHeight="1" x14ac:dyDescent="0.3">
      <c r="A1" t="s">
        <v>68</v>
      </c>
      <c r="B1" t="s">
        <v>69</v>
      </c>
      <c r="C1" t="s">
        <v>70</v>
      </c>
      <c r="D1" t="s">
        <v>71</v>
      </c>
      <c r="E1" t="s">
        <v>72</v>
      </c>
    </row>
    <row r="2" spans="1:5" ht="17.55" customHeight="1" x14ac:dyDescent="0.3">
      <c r="A2" t="s">
        <v>73</v>
      </c>
      <c r="B2" t="s">
        <v>74</v>
      </c>
      <c r="C2" t="s">
        <v>75</v>
      </c>
      <c r="D2" t="s">
        <v>76</v>
      </c>
      <c r="E2" t="s">
        <v>77</v>
      </c>
    </row>
    <row r="3" spans="1:5" ht="17.55" customHeight="1" x14ac:dyDescent="0.3">
      <c r="A3" t="s">
        <v>78</v>
      </c>
      <c r="B3" t="s">
        <v>79</v>
      </c>
      <c r="C3" t="s">
        <v>80</v>
      </c>
      <c r="D3" t="s">
        <v>81</v>
      </c>
      <c r="E3" t="s">
        <v>82</v>
      </c>
    </row>
    <row r="4" spans="1:5" ht="17.55" customHeight="1" x14ac:dyDescent="0.3">
      <c r="A4" t="s">
        <v>21</v>
      </c>
      <c r="B4" t="s">
        <v>83</v>
      </c>
      <c r="C4" t="s">
        <v>84</v>
      </c>
      <c r="E4" t="s">
        <v>85</v>
      </c>
    </row>
    <row r="5" spans="1:5" ht="17.55" customHeight="1" x14ac:dyDescent="0.3">
      <c r="B5" t="s">
        <v>86</v>
      </c>
      <c r="C5" t="s">
        <v>87</v>
      </c>
    </row>
    <row r="6" spans="1:5" ht="17.55" customHeight="1" x14ac:dyDescent="0.3">
      <c r="B6" t="s">
        <v>88</v>
      </c>
    </row>
    <row r="7" spans="1:5" ht="17.55" customHeight="1" x14ac:dyDescent="0.3">
      <c r="B7" t="s">
        <v>89</v>
      </c>
    </row>
    <row r="8" spans="1:5" ht="17.55" customHeight="1" x14ac:dyDescent="0.3">
      <c r="B8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9"/>
  <sheetViews>
    <sheetView showGridLines="0" workbookViewId="0">
      <selection sqref="A1:AA1"/>
    </sheetView>
  </sheetViews>
  <sheetFormatPr baseColWidth="10" defaultColWidth="8.88671875" defaultRowHeight="14.4" x14ac:dyDescent="0.3"/>
  <cols>
    <col min="1" max="1" width="7" customWidth="1"/>
    <col min="2" max="3" width="14" customWidth="1"/>
    <col min="4" max="4" width="30" customWidth="1"/>
    <col min="5" max="5" width="18" customWidth="1"/>
    <col min="6" max="6" width="22" customWidth="1"/>
    <col min="7" max="7" width="15" customWidth="1"/>
    <col min="8" max="9" width="12" customWidth="1"/>
    <col min="10" max="10" width="10" customWidth="1"/>
    <col min="11" max="11" width="13" customWidth="1"/>
    <col min="12" max="12" width="10" customWidth="1"/>
    <col min="13" max="14" width="14" customWidth="1"/>
    <col min="15" max="18" width="12" customWidth="1"/>
    <col min="19" max="20" width="14" customWidth="1"/>
    <col min="21" max="21" width="11" customWidth="1"/>
    <col min="22" max="23" width="12" customWidth="1"/>
    <col min="24" max="24" width="11" customWidth="1"/>
    <col min="25" max="25" width="13" customWidth="1"/>
    <col min="26" max="26" width="12" customWidth="1"/>
    <col min="27" max="27" width="25" customWidth="1"/>
  </cols>
  <sheetData>
    <row r="1" spans="1:27" ht="22.05" customHeight="1" x14ac:dyDescent="0.3">
      <c r="A1" s="39" t="s">
        <v>91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5"/>
    </row>
    <row r="2" spans="1:27" ht="22.05" customHeight="1" x14ac:dyDescent="0.3">
      <c r="A2" s="40" t="s">
        <v>92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</row>
    <row r="3" spans="1:27" ht="22.05" customHeight="1" x14ac:dyDescent="0.3"/>
    <row r="4" spans="1:27" ht="22.05" customHeight="1" x14ac:dyDescent="0.3"/>
    <row r="5" spans="1:27" ht="22.05" customHeight="1" x14ac:dyDescent="0.3">
      <c r="A5" s="16" t="s">
        <v>93</v>
      </c>
      <c r="B5" s="16" t="s">
        <v>94</v>
      </c>
      <c r="C5" s="16" t="s">
        <v>95</v>
      </c>
      <c r="D5" s="16" t="s">
        <v>96</v>
      </c>
      <c r="E5" s="16" t="s">
        <v>40</v>
      </c>
      <c r="F5" s="16" t="s">
        <v>97</v>
      </c>
      <c r="G5" s="16" t="s">
        <v>98</v>
      </c>
      <c r="H5" s="16" t="s">
        <v>99</v>
      </c>
      <c r="I5" s="16" t="s">
        <v>100</v>
      </c>
      <c r="J5" s="16" t="s">
        <v>101</v>
      </c>
      <c r="K5" s="16" t="s">
        <v>102</v>
      </c>
      <c r="L5" s="16" t="s">
        <v>103</v>
      </c>
      <c r="M5" s="16" t="s">
        <v>5</v>
      </c>
      <c r="N5" s="16" t="s">
        <v>104</v>
      </c>
      <c r="O5" s="16" t="s">
        <v>105</v>
      </c>
      <c r="P5" s="16" t="s">
        <v>7</v>
      </c>
      <c r="Q5" s="16" t="s">
        <v>106</v>
      </c>
      <c r="R5" s="16" t="s">
        <v>8</v>
      </c>
      <c r="S5" s="16" t="s">
        <v>107</v>
      </c>
      <c r="T5" s="16" t="s">
        <v>9</v>
      </c>
      <c r="U5" s="16" t="s">
        <v>108</v>
      </c>
      <c r="V5" s="16" t="s">
        <v>18</v>
      </c>
      <c r="W5" s="16" t="s">
        <v>19</v>
      </c>
      <c r="X5" s="16" t="s">
        <v>10</v>
      </c>
      <c r="Y5" s="16" t="s">
        <v>109</v>
      </c>
      <c r="Z5" s="16" t="s">
        <v>110</v>
      </c>
      <c r="AA5" s="16" t="s">
        <v>111</v>
      </c>
    </row>
    <row r="6" spans="1:27" ht="36" customHeight="1" x14ac:dyDescent="0.3">
      <c r="A6" s="12" t="s">
        <v>112</v>
      </c>
      <c r="B6" s="12" t="s">
        <v>68</v>
      </c>
      <c r="C6" s="12" t="s">
        <v>69</v>
      </c>
      <c r="D6" s="12" t="s">
        <v>113</v>
      </c>
      <c r="E6" s="12" t="s">
        <v>47</v>
      </c>
      <c r="F6" s="12" t="s">
        <v>26</v>
      </c>
      <c r="G6" s="12" t="s">
        <v>72</v>
      </c>
      <c r="H6" s="4">
        <v>46030</v>
      </c>
      <c r="I6" s="4">
        <v>46112</v>
      </c>
      <c r="J6" s="17" t="str">
        <f t="shared" ref="J6:J19" si="0">TEXT(H6,"mmm")</f>
        <v>ene</v>
      </c>
      <c r="K6" s="12" t="s">
        <v>75</v>
      </c>
      <c r="L6" s="12" t="s">
        <v>71</v>
      </c>
      <c r="M6" s="13">
        <v>2800</v>
      </c>
      <c r="N6" s="13">
        <v>2550</v>
      </c>
      <c r="O6" s="2">
        <v>260</v>
      </c>
      <c r="P6" s="2">
        <v>240</v>
      </c>
      <c r="Q6" s="2">
        <v>18</v>
      </c>
      <c r="R6" s="2">
        <v>16</v>
      </c>
      <c r="S6" s="13">
        <v>6120</v>
      </c>
      <c r="T6" s="13">
        <v>5440</v>
      </c>
      <c r="U6" s="18">
        <f t="shared" ref="U6:U19" si="1">IF(K6="Completada",1,IF(K6="Optimización",0.85,IF(K6="En curso",0.6,IF(K6="Pausada",0.3,0))))</f>
        <v>0.6</v>
      </c>
      <c r="V6" s="19">
        <f t="shared" ref="V6:V19" si="2">IFERROR(N6/P6,"")</f>
        <v>10.625</v>
      </c>
      <c r="W6" s="19">
        <f t="shared" ref="W6:W19" si="3">IFERROR(N6/R6,"")</f>
        <v>159.375</v>
      </c>
      <c r="X6" s="20">
        <f t="shared" ref="X6:X19" si="4">IFERROR(T6/N6,"")</f>
        <v>2.1333333333333333</v>
      </c>
      <c r="Y6" s="19">
        <f t="shared" ref="Y6:Y19" si="5">N6-M6</f>
        <v>-250</v>
      </c>
      <c r="Z6" s="21">
        <f t="shared" ref="Z6:Z19" si="6">I6-H6+1</f>
        <v>83</v>
      </c>
      <c r="AA6" s="12" t="s">
        <v>114</v>
      </c>
    </row>
    <row r="7" spans="1:27" ht="36" customHeight="1" x14ac:dyDescent="0.3">
      <c r="A7" s="12" t="s">
        <v>115</v>
      </c>
      <c r="B7" s="12" t="s">
        <v>68</v>
      </c>
      <c r="C7" s="12" t="s">
        <v>83</v>
      </c>
      <c r="D7" s="12" t="s">
        <v>116</v>
      </c>
      <c r="E7" s="12" t="s">
        <v>117</v>
      </c>
      <c r="F7" s="12" t="s">
        <v>26</v>
      </c>
      <c r="G7" s="12" t="s">
        <v>82</v>
      </c>
      <c r="H7" s="4">
        <v>46042</v>
      </c>
      <c r="I7" s="4">
        <v>46081</v>
      </c>
      <c r="J7" s="17" t="str">
        <f t="shared" si="0"/>
        <v>ene</v>
      </c>
      <c r="K7" s="12" t="s">
        <v>84</v>
      </c>
      <c r="L7" s="12" t="s">
        <v>71</v>
      </c>
      <c r="M7" s="13">
        <v>900</v>
      </c>
      <c r="N7" s="13">
        <v>860</v>
      </c>
      <c r="O7" s="2">
        <v>520</v>
      </c>
      <c r="P7" s="2">
        <v>610</v>
      </c>
      <c r="Q7" s="2">
        <v>22</v>
      </c>
      <c r="R7" s="2">
        <v>28</v>
      </c>
      <c r="S7" s="13">
        <v>7480</v>
      </c>
      <c r="T7" s="13">
        <v>9520</v>
      </c>
      <c r="U7" s="18">
        <f t="shared" si="1"/>
        <v>1</v>
      </c>
      <c r="V7" s="19">
        <f t="shared" si="2"/>
        <v>1.4098360655737705</v>
      </c>
      <c r="W7" s="19">
        <f t="shared" si="3"/>
        <v>30.714285714285715</v>
      </c>
      <c r="X7" s="20">
        <f t="shared" si="4"/>
        <v>11.069767441860465</v>
      </c>
      <c r="Y7" s="19">
        <f t="shared" si="5"/>
        <v>-40</v>
      </c>
      <c r="Z7" s="21">
        <f t="shared" si="6"/>
        <v>40</v>
      </c>
      <c r="AA7" s="12" t="s">
        <v>118</v>
      </c>
    </row>
    <row r="8" spans="1:27" ht="36" customHeight="1" x14ac:dyDescent="0.3">
      <c r="A8" s="12" t="s">
        <v>119</v>
      </c>
      <c r="B8" s="12" t="s">
        <v>73</v>
      </c>
      <c r="C8" s="12" t="s">
        <v>74</v>
      </c>
      <c r="D8" s="12" t="s">
        <v>120</v>
      </c>
      <c r="E8" s="12" t="s">
        <v>51</v>
      </c>
      <c r="F8" s="12" t="s">
        <v>30</v>
      </c>
      <c r="G8" s="12" t="s">
        <v>77</v>
      </c>
      <c r="H8" s="4">
        <v>46054</v>
      </c>
      <c r="I8" s="4">
        <v>46142</v>
      </c>
      <c r="J8" s="17" t="str">
        <f t="shared" si="0"/>
        <v>feb</v>
      </c>
      <c r="K8" s="12" t="s">
        <v>80</v>
      </c>
      <c r="L8" s="12" t="s">
        <v>71</v>
      </c>
      <c r="M8" s="13">
        <v>5200</v>
      </c>
      <c r="N8" s="13">
        <v>5480</v>
      </c>
      <c r="O8" s="2">
        <v>430</v>
      </c>
      <c r="P8" s="2">
        <v>398</v>
      </c>
      <c r="Q8" s="2">
        <v>74</v>
      </c>
      <c r="R8" s="2">
        <v>71</v>
      </c>
      <c r="S8" s="13">
        <v>25160</v>
      </c>
      <c r="T8" s="13">
        <v>24140</v>
      </c>
      <c r="U8" s="18">
        <f t="shared" si="1"/>
        <v>0.85</v>
      </c>
      <c r="V8" s="19">
        <f t="shared" si="2"/>
        <v>13.768844221105528</v>
      </c>
      <c r="W8" s="19">
        <f t="shared" si="3"/>
        <v>77.183098591549296</v>
      </c>
      <c r="X8" s="20">
        <f t="shared" si="4"/>
        <v>4.4051094890510951</v>
      </c>
      <c r="Y8" s="19">
        <f t="shared" si="5"/>
        <v>280</v>
      </c>
      <c r="Z8" s="21">
        <f t="shared" si="6"/>
        <v>89</v>
      </c>
      <c r="AA8" s="12" t="s">
        <v>121</v>
      </c>
    </row>
    <row r="9" spans="1:27" ht="36" customHeight="1" x14ac:dyDescent="0.3">
      <c r="A9" s="12" t="s">
        <v>122</v>
      </c>
      <c r="B9" s="12" t="s">
        <v>21</v>
      </c>
      <c r="C9" s="12" t="s">
        <v>86</v>
      </c>
      <c r="D9" s="12" t="s">
        <v>123</v>
      </c>
      <c r="E9" s="12" t="s">
        <v>124</v>
      </c>
      <c r="F9" s="12" t="s">
        <v>26</v>
      </c>
      <c r="G9" s="12" t="s">
        <v>85</v>
      </c>
      <c r="H9" s="4">
        <v>46091</v>
      </c>
      <c r="I9" s="4">
        <v>46162</v>
      </c>
      <c r="J9" s="17" t="str">
        <f t="shared" si="0"/>
        <v>mar</v>
      </c>
      <c r="K9" s="12" t="s">
        <v>84</v>
      </c>
      <c r="L9" s="12" t="s">
        <v>76</v>
      </c>
      <c r="M9" s="13">
        <v>2400</v>
      </c>
      <c r="N9" s="13">
        <v>2280</v>
      </c>
      <c r="O9" s="2">
        <v>180</v>
      </c>
      <c r="P9" s="2">
        <v>210</v>
      </c>
      <c r="Q9" s="2">
        <v>16</v>
      </c>
      <c r="R9" s="2">
        <v>18</v>
      </c>
      <c r="S9" s="13">
        <v>5440</v>
      </c>
      <c r="T9" s="13">
        <v>6120</v>
      </c>
      <c r="U9" s="18">
        <f t="shared" si="1"/>
        <v>1</v>
      </c>
      <c r="V9" s="19">
        <f t="shared" si="2"/>
        <v>10.857142857142858</v>
      </c>
      <c r="W9" s="19">
        <f t="shared" si="3"/>
        <v>126.66666666666667</v>
      </c>
      <c r="X9" s="20">
        <f t="shared" si="4"/>
        <v>2.6842105263157894</v>
      </c>
      <c r="Y9" s="19">
        <f t="shared" si="5"/>
        <v>-120</v>
      </c>
      <c r="Z9" s="21">
        <f t="shared" si="6"/>
        <v>72</v>
      </c>
      <c r="AA9" s="12" t="s">
        <v>125</v>
      </c>
    </row>
    <row r="10" spans="1:27" ht="36" customHeight="1" x14ac:dyDescent="0.3">
      <c r="A10" s="12" t="s">
        <v>126</v>
      </c>
      <c r="B10" s="12" t="s">
        <v>68</v>
      </c>
      <c r="C10" s="12" t="s">
        <v>79</v>
      </c>
      <c r="D10" s="12" t="s">
        <v>127</v>
      </c>
      <c r="E10" s="12" t="s">
        <v>47</v>
      </c>
      <c r="F10" s="12" t="s">
        <v>26</v>
      </c>
      <c r="G10" s="12" t="s">
        <v>77</v>
      </c>
      <c r="H10" s="4">
        <v>46096</v>
      </c>
      <c r="I10" s="4">
        <v>46203</v>
      </c>
      <c r="J10" s="17" t="str">
        <f t="shared" si="0"/>
        <v>mar</v>
      </c>
      <c r="K10" s="12" t="s">
        <v>75</v>
      </c>
      <c r="L10" s="12" t="s">
        <v>71</v>
      </c>
      <c r="M10" s="13">
        <v>3600</v>
      </c>
      <c r="N10" s="13">
        <v>3380</v>
      </c>
      <c r="O10" s="2">
        <v>620</v>
      </c>
      <c r="P10" s="2">
        <v>590</v>
      </c>
      <c r="Q10" s="2">
        <v>28</v>
      </c>
      <c r="R10" s="2">
        <v>24</v>
      </c>
      <c r="S10" s="13">
        <v>9520</v>
      </c>
      <c r="T10" s="13">
        <v>8160</v>
      </c>
      <c r="U10" s="18">
        <f t="shared" si="1"/>
        <v>0.6</v>
      </c>
      <c r="V10" s="19">
        <f t="shared" si="2"/>
        <v>5.7288135593220337</v>
      </c>
      <c r="W10" s="19">
        <f t="shared" si="3"/>
        <v>140.83333333333334</v>
      </c>
      <c r="X10" s="20">
        <f t="shared" si="4"/>
        <v>2.4142011834319526</v>
      </c>
      <c r="Y10" s="19">
        <f t="shared" si="5"/>
        <v>-220</v>
      </c>
      <c r="Z10" s="21">
        <f t="shared" si="6"/>
        <v>108</v>
      </c>
      <c r="AA10" s="12" t="s">
        <v>128</v>
      </c>
    </row>
    <row r="11" spans="1:27" ht="36" customHeight="1" x14ac:dyDescent="0.3">
      <c r="A11" s="12" t="s">
        <v>129</v>
      </c>
      <c r="B11" s="12" t="s">
        <v>73</v>
      </c>
      <c r="C11" s="12" t="s">
        <v>83</v>
      </c>
      <c r="D11" s="12" t="s">
        <v>130</v>
      </c>
      <c r="E11" s="12" t="s">
        <v>51</v>
      </c>
      <c r="F11" s="12" t="s">
        <v>30</v>
      </c>
      <c r="G11" s="12" t="s">
        <v>82</v>
      </c>
      <c r="H11" s="4">
        <v>46113</v>
      </c>
      <c r="I11" s="4">
        <v>46376</v>
      </c>
      <c r="J11" s="17" t="str">
        <f t="shared" si="0"/>
        <v>abr</v>
      </c>
      <c r="K11" s="12" t="s">
        <v>75</v>
      </c>
      <c r="L11" s="12" t="s">
        <v>71</v>
      </c>
      <c r="M11" s="13">
        <v>1400</v>
      </c>
      <c r="N11" s="13">
        <v>1180</v>
      </c>
      <c r="O11" s="2">
        <v>150</v>
      </c>
      <c r="P11" s="2">
        <v>144</v>
      </c>
      <c r="Q11" s="2">
        <v>38</v>
      </c>
      <c r="R11" s="2">
        <v>41</v>
      </c>
      <c r="S11" s="13">
        <v>12920</v>
      </c>
      <c r="T11" s="13">
        <v>13940</v>
      </c>
      <c r="U11" s="18">
        <f t="shared" si="1"/>
        <v>0.6</v>
      </c>
      <c r="V11" s="19">
        <f t="shared" si="2"/>
        <v>8.1944444444444446</v>
      </c>
      <c r="W11" s="19">
        <f t="shared" si="3"/>
        <v>28.780487804878049</v>
      </c>
      <c r="X11" s="20">
        <f t="shared" si="4"/>
        <v>11.813559322033898</v>
      </c>
      <c r="Y11" s="19">
        <f t="shared" si="5"/>
        <v>-220</v>
      </c>
      <c r="Z11" s="21">
        <f t="shared" si="6"/>
        <v>264</v>
      </c>
      <c r="AA11" s="12" t="s">
        <v>131</v>
      </c>
    </row>
    <row r="12" spans="1:27" ht="36" customHeight="1" x14ac:dyDescent="0.3">
      <c r="A12" s="12" t="s">
        <v>132</v>
      </c>
      <c r="B12" s="12" t="s">
        <v>21</v>
      </c>
      <c r="C12" s="12" t="s">
        <v>88</v>
      </c>
      <c r="D12" s="12" t="s">
        <v>133</v>
      </c>
      <c r="E12" s="12" t="s">
        <v>134</v>
      </c>
      <c r="F12" s="12" t="s">
        <v>33</v>
      </c>
      <c r="G12" s="12" t="s">
        <v>85</v>
      </c>
      <c r="H12" s="4">
        <v>46130</v>
      </c>
      <c r="I12" s="4">
        <v>46188</v>
      </c>
      <c r="J12" s="17" t="str">
        <f t="shared" si="0"/>
        <v>abr</v>
      </c>
      <c r="K12" s="12" t="s">
        <v>84</v>
      </c>
      <c r="L12" s="12" t="s">
        <v>76</v>
      </c>
      <c r="M12" s="13">
        <v>1800</v>
      </c>
      <c r="N12" s="13">
        <v>1660</v>
      </c>
      <c r="O12" s="2">
        <v>90</v>
      </c>
      <c r="P12" s="2">
        <v>104</v>
      </c>
      <c r="Q12" s="2">
        <v>10</v>
      </c>
      <c r="R12" s="2">
        <v>11</v>
      </c>
      <c r="S12" s="13">
        <v>2380</v>
      </c>
      <c r="T12" s="13">
        <v>2640</v>
      </c>
      <c r="U12" s="18">
        <f t="shared" si="1"/>
        <v>1</v>
      </c>
      <c r="V12" s="19">
        <f t="shared" si="2"/>
        <v>15.961538461538462</v>
      </c>
      <c r="W12" s="19">
        <f t="shared" si="3"/>
        <v>150.90909090909091</v>
      </c>
      <c r="X12" s="20">
        <f t="shared" si="4"/>
        <v>1.5903614457831325</v>
      </c>
      <c r="Y12" s="19">
        <f t="shared" si="5"/>
        <v>-140</v>
      </c>
      <c r="Z12" s="21">
        <f t="shared" si="6"/>
        <v>59</v>
      </c>
      <c r="AA12" s="12" t="s">
        <v>135</v>
      </c>
    </row>
    <row r="13" spans="1:27" ht="36" customHeight="1" x14ac:dyDescent="0.3">
      <c r="A13" s="12" t="s">
        <v>136</v>
      </c>
      <c r="B13" s="12" t="s">
        <v>73</v>
      </c>
      <c r="C13" s="12" t="s">
        <v>89</v>
      </c>
      <c r="D13" s="12" t="s">
        <v>137</v>
      </c>
      <c r="E13" s="12" t="s">
        <v>51</v>
      </c>
      <c r="F13" s="12" t="s">
        <v>26</v>
      </c>
      <c r="G13" s="12" t="s">
        <v>72</v>
      </c>
      <c r="H13" s="4">
        <v>46147</v>
      </c>
      <c r="I13" s="4">
        <v>46218</v>
      </c>
      <c r="J13" s="17" t="str">
        <f t="shared" si="0"/>
        <v>may</v>
      </c>
      <c r="K13" s="12" t="s">
        <v>84</v>
      </c>
      <c r="L13" s="12" t="s">
        <v>76</v>
      </c>
      <c r="M13" s="13">
        <v>3200</v>
      </c>
      <c r="N13" s="13">
        <v>3475</v>
      </c>
      <c r="O13" s="2">
        <v>210</v>
      </c>
      <c r="P13" s="2">
        <v>196</v>
      </c>
      <c r="Q13" s="2">
        <v>52</v>
      </c>
      <c r="R13" s="2">
        <v>49</v>
      </c>
      <c r="S13" s="13">
        <v>17680</v>
      </c>
      <c r="T13" s="13">
        <v>16660</v>
      </c>
      <c r="U13" s="18">
        <f t="shared" si="1"/>
        <v>1</v>
      </c>
      <c r="V13" s="19">
        <f t="shared" si="2"/>
        <v>17.729591836734695</v>
      </c>
      <c r="W13" s="19">
        <f t="shared" si="3"/>
        <v>70.91836734693878</v>
      </c>
      <c r="X13" s="20">
        <f t="shared" si="4"/>
        <v>4.794244604316547</v>
      </c>
      <c r="Y13" s="19">
        <f t="shared" si="5"/>
        <v>275</v>
      </c>
      <c r="Z13" s="21">
        <f t="shared" si="6"/>
        <v>72</v>
      </c>
      <c r="AA13" s="12" t="s">
        <v>138</v>
      </c>
    </row>
    <row r="14" spans="1:27" ht="36" customHeight="1" x14ac:dyDescent="0.3">
      <c r="A14" s="12" t="s">
        <v>139</v>
      </c>
      <c r="B14" s="12" t="s">
        <v>68</v>
      </c>
      <c r="C14" s="12" t="s">
        <v>90</v>
      </c>
      <c r="D14" s="12" t="s">
        <v>140</v>
      </c>
      <c r="E14" s="12" t="s">
        <v>51</v>
      </c>
      <c r="F14" s="12" t="s">
        <v>30</v>
      </c>
      <c r="G14" s="12" t="s">
        <v>85</v>
      </c>
      <c r="H14" s="4">
        <v>46174</v>
      </c>
      <c r="I14" s="4">
        <v>46371</v>
      </c>
      <c r="J14" s="17" t="str">
        <f t="shared" si="0"/>
        <v>jun</v>
      </c>
      <c r="K14" s="12" t="s">
        <v>75</v>
      </c>
      <c r="L14" s="12" t="s">
        <v>76</v>
      </c>
      <c r="M14" s="13">
        <v>2600</v>
      </c>
      <c r="N14" s="13">
        <v>2430</v>
      </c>
      <c r="O14" s="2">
        <v>185</v>
      </c>
      <c r="P14" s="2">
        <v>172</v>
      </c>
      <c r="Q14" s="2">
        <v>44</v>
      </c>
      <c r="R14" s="2">
        <v>39</v>
      </c>
      <c r="S14" s="13">
        <v>14960</v>
      </c>
      <c r="T14" s="13">
        <v>13260</v>
      </c>
      <c r="U14" s="18">
        <f t="shared" si="1"/>
        <v>0.6</v>
      </c>
      <c r="V14" s="19">
        <f t="shared" si="2"/>
        <v>14.127906976744185</v>
      </c>
      <c r="W14" s="19">
        <f t="shared" si="3"/>
        <v>62.307692307692307</v>
      </c>
      <c r="X14" s="20">
        <f t="shared" si="4"/>
        <v>5.4567901234567904</v>
      </c>
      <c r="Y14" s="19">
        <f t="shared" si="5"/>
        <v>-170</v>
      </c>
      <c r="Z14" s="21">
        <f t="shared" si="6"/>
        <v>198</v>
      </c>
      <c r="AA14" s="12" t="s">
        <v>141</v>
      </c>
    </row>
    <row r="15" spans="1:27" ht="36" customHeight="1" x14ac:dyDescent="0.3">
      <c r="A15" s="12" t="s">
        <v>142</v>
      </c>
      <c r="B15" s="12" t="s">
        <v>78</v>
      </c>
      <c r="C15" s="12" t="s">
        <v>83</v>
      </c>
      <c r="D15" s="12" t="s">
        <v>143</v>
      </c>
      <c r="E15" s="12" t="s">
        <v>144</v>
      </c>
      <c r="F15" s="12" t="s">
        <v>26</v>
      </c>
      <c r="G15" s="12" t="s">
        <v>82</v>
      </c>
      <c r="H15" s="4">
        <v>46204</v>
      </c>
      <c r="I15" s="4">
        <v>46356</v>
      </c>
      <c r="J15" s="17" t="str">
        <f t="shared" si="0"/>
        <v>jul</v>
      </c>
      <c r="K15" s="12" t="s">
        <v>70</v>
      </c>
      <c r="L15" s="12" t="s">
        <v>76</v>
      </c>
      <c r="M15" s="13">
        <v>1250</v>
      </c>
      <c r="N15" s="13">
        <v>0</v>
      </c>
      <c r="O15" s="2">
        <v>80</v>
      </c>
      <c r="P15" s="2">
        <v>0</v>
      </c>
      <c r="Q15" s="2">
        <v>26</v>
      </c>
      <c r="R15" s="2">
        <v>0</v>
      </c>
      <c r="S15" s="13">
        <v>8840</v>
      </c>
      <c r="T15" s="13">
        <v>0</v>
      </c>
      <c r="U15" s="18">
        <f t="shared" si="1"/>
        <v>0</v>
      </c>
      <c r="V15" s="19" t="str">
        <f t="shared" si="2"/>
        <v/>
      </c>
      <c r="W15" s="19" t="str">
        <f t="shared" si="3"/>
        <v/>
      </c>
      <c r="X15" s="20" t="str">
        <f t="shared" si="4"/>
        <v/>
      </c>
      <c r="Y15" s="19">
        <f t="shared" si="5"/>
        <v>-1250</v>
      </c>
      <c r="Z15" s="21">
        <f t="shared" si="6"/>
        <v>153</v>
      </c>
      <c r="AA15" s="12" t="s">
        <v>145</v>
      </c>
    </row>
    <row r="16" spans="1:27" ht="36" customHeight="1" x14ac:dyDescent="0.3">
      <c r="A16" s="12" t="s">
        <v>146</v>
      </c>
      <c r="B16" s="12" t="s">
        <v>21</v>
      </c>
      <c r="C16" s="12" t="s">
        <v>79</v>
      </c>
      <c r="D16" s="12" t="s">
        <v>147</v>
      </c>
      <c r="E16" s="12" t="s">
        <v>148</v>
      </c>
      <c r="F16" s="12" t="s">
        <v>26</v>
      </c>
      <c r="G16" s="12" t="s">
        <v>77</v>
      </c>
      <c r="H16" s="4">
        <v>46249</v>
      </c>
      <c r="I16" s="4">
        <v>46310</v>
      </c>
      <c r="J16" s="17" t="str">
        <f t="shared" si="0"/>
        <v>ago</v>
      </c>
      <c r="K16" s="12" t="s">
        <v>70</v>
      </c>
      <c r="L16" s="12" t="s">
        <v>76</v>
      </c>
      <c r="M16" s="13">
        <v>2900</v>
      </c>
      <c r="N16" s="13">
        <v>0</v>
      </c>
      <c r="O16" s="2">
        <v>240</v>
      </c>
      <c r="P16" s="2">
        <v>0</v>
      </c>
      <c r="Q16" s="2">
        <v>18</v>
      </c>
      <c r="R16" s="2">
        <v>0</v>
      </c>
      <c r="S16" s="13">
        <v>5400</v>
      </c>
      <c r="T16" s="13">
        <v>0</v>
      </c>
      <c r="U16" s="18">
        <f t="shared" si="1"/>
        <v>0</v>
      </c>
      <c r="V16" s="19" t="str">
        <f t="shared" si="2"/>
        <v/>
      </c>
      <c r="W16" s="19" t="str">
        <f t="shared" si="3"/>
        <v/>
      </c>
      <c r="X16" s="20" t="str">
        <f t="shared" si="4"/>
        <v/>
      </c>
      <c r="Y16" s="19">
        <f t="shared" si="5"/>
        <v>-2900</v>
      </c>
      <c r="Z16" s="21">
        <f t="shared" si="6"/>
        <v>62</v>
      </c>
      <c r="AA16" s="12" t="s">
        <v>149</v>
      </c>
    </row>
    <row r="17" spans="1:27" ht="36" customHeight="1" x14ac:dyDescent="0.3">
      <c r="A17" s="12" t="s">
        <v>150</v>
      </c>
      <c r="B17" s="12" t="s">
        <v>68</v>
      </c>
      <c r="C17" s="12" t="s">
        <v>69</v>
      </c>
      <c r="D17" s="12" t="s">
        <v>151</v>
      </c>
      <c r="E17" s="12" t="s">
        <v>152</v>
      </c>
      <c r="F17" s="12" t="s">
        <v>33</v>
      </c>
      <c r="G17" s="12" t="s">
        <v>72</v>
      </c>
      <c r="H17" s="4">
        <v>46266</v>
      </c>
      <c r="I17" s="4">
        <v>46366</v>
      </c>
      <c r="J17" s="17" t="str">
        <f t="shared" si="0"/>
        <v>sep</v>
      </c>
      <c r="K17" s="12" t="s">
        <v>70</v>
      </c>
      <c r="L17" s="12" t="s">
        <v>71</v>
      </c>
      <c r="M17" s="13">
        <v>2100</v>
      </c>
      <c r="N17" s="13">
        <v>0</v>
      </c>
      <c r="O17" s="2">
        <v>95</v>
      </c>
      <c r="P17" s="2">
        <v>0</v>
      </c>
      <c r="Q17" s="2">
        <v>14</v>
      </c>
      <c r="R17" s="2">
        <v>0</v>
      </c>
      <c r="S17" s="13">
        <v>4760</v>
      </c>
      <c r="T17" s="13">
        <v>0</v>
      </c>
      <c r="U17" s="18">
        <f t="shared" si="1"/>
        <v>0</v>
      </c>
      <c r="V17" s="19" t="str">
        <f t="shared" si="2"/>
        <v/>
      </c>
      <c r="W17" s="19" t="str">
        <f t="shared" si="3"/>
        <v/>
      </c>
      <c r="X17" s="20" t="str">
        <f t="shared" si="4"/>
        <v/>
      </c>
      <c r="Y17" s="19">
        <f t="shared" si="5"/>
        <v>-2100</v>
      </c>
      <c r="Z17" s="21">
        <f t="shared" si="6"/>
        <v>101</v>
      </c>
      <c r="AA17" s="12" t="s">
        <v>153</v>
      </c>
    </row>
    <row r="18" spans="1:27" ht="36" customHeight="1" x14ac:dyDescent="0.3">
      <c r="A18" s="12" t="s">
        <v>154</v>
      </c>
      <c r="B18" s="12" t="s">
        <v>73</v>
      </c>
      <c r="C18" s="12" t="s">
        <v>74</v>
      </c>
      <c r="D18" s="12" t="s">
        <v>155</v>
      </c>
      <c r="E18" s="12" t="s">
        <v>51</v>
      </c>
      <c r="F18" s="12" t="s">
        <v>30</v>
      </c>
      <c r="G18" s="12" t="s">
        <v>77</v>
      </c>
      <c r="H18" s="4">
        <v>46327</v>
      </c>
      <c r="I18" s="4">
        <v>46356</v>
      </c>
      <c r="J18" s="17" t="str">
        <f t="shared" si="0"/>
        <v>nov</v>
      </c>
      <c r="K18" s="12" t="s">
        <v>70</v>
      </c>
      <c r="L18" s="12" t="s">
        <v>71</v>
      </c>
      <c r="M18" s="13">
        <v>4200</v>
      </c>
      <c r="N18" s="13">
        <v>0</v>
      </c>
      <c r="O18" s="2">
        <v>300</v>
      </c>
      <c r="P18" s="2">
        <v>0</v>
      </c>
      <c r="Q18" s="2">
        <v>72</v>
      </c>
      <c r="R18" s="2">
        <v>0</v>
      </c>
      <c r="S18" s="13">
        <v>23760</v>
      </c>
      <c r="T18" s="13">
        <v>0</v>
      </c>
      <c r="U18" s="18">
        <f t="shared" si="1"/>
        <v>0</v>
      </c>
      <c r="V18" s="19" t="str">
        <f t="shared" si="2"/>
        <v/>
      </c>
      <c r="W18" s="19" t="str">
        <f t="shared" si="3"/>
        <v/>
      </c>
      <c r="X18" s="20" t="str">
        <f t="shared" si="4"/>
        <v/>
      </c>
      <c r="Y18" s="19">
        <f t="shared" si="5"/>
        <v>-4200</v>
      </c>
      <c r="Z18" s="21">
        <f t="shared" si="6"/>
        <v>30</v>
      </c>
      <c r="AA18" s="12" t="s">
        <v>156</v>
      </c>
    </row>
    <row r="19" spans="1:27" ht="36" customHeight="1" x14ac:dyDescent="0.3">
      <c r="A19" s="12" t="s">
        <v>157</v>
      </c>
      <c r="B19" s="12" t="s">
        <v>78</v>
      </c>
      <c r="C19" s="12" t="s">
        <v>83</v>
      </c>
      <c r="D19" s="12" t="s">
        <v>158</v>
      </c>
      <c r="E19" s="12" t="s">
        <v>159</v>
      </c>
      <c r="F19" s="12" t="s">
        <v>26</v>
      </c>
      <c r="G19" s="12" t="s">
        <v>82</v>
      </c>
      <c r="H19" s="4">
        <v>46357</v>
      </c>
      <c r="I19" s="4">
        <v>46380</v>
      </c>
      <c r="J19" s="17" t="str">
        <f t="shared" si="0"/>
        <v>dic</v>
      </c>
      <c r="K19" s="12" t="s">
        <v>70</v>
      </c>
      <c r="L19" s="12" t="s">
        <v>81</v>
      </c>
      <c r="M19" s="13">
        <v>700</v>
      </c>
      <c r="N19" s="13">
        <v>0</v>
      </c>
      <c r="O19" s="2">
        <v>65</v>
      </c>
      <c r="P19" s="2">
        <v>0</v>
      </c>
      <c r="Q19" s="2">
        <v>20</v>
      </c>
      <c r="R19" s="2">
        <v>0</v>
      </c>
      <c r="S19" s="13">
        <v>5600</v>
      </c>
      <c r="T19" s="13">
        <v>0</v>
      </c>
      <c r="U19" s="18">
        <f t="shared" si="1"/>
        <v>0</v>
      </c>
      <c r="V19" s="19" t="str">
        <f t="shared" si="2"/>
        <v/>
      </c>
      <c r="W19" s="19" t="str">
        <f t="shared" si="3"/>
        <v/>
      </c>
      <c r="X19" s="20" t="str">
        <f t="shared" si="4"/>
        <v/>
      </c>
      <c r="Y19" s="19">
        <f t="shared" si="5"/>
        <v>-700</v>
      </c>
      <c r="Z19" s="21">
        <f t="shared" si="6"/>
        <v>24</v>
      </c>
      <c r="AA19" s="12" t="s">
        <v>160</v>
      </c>
    </row>
  </sheetData>
  <mergeCells count="2">
    <mergeCell ref="A1:AA1"/>
    <mergeCell ref="A2:AA2"/>
  </mergeCells>
  <conditionalFormatting sqref="K6:K200">
    <cfRule type="expression" dxfId="16" priority="1">
      <formula>$K6="Completada"</formula>
    </cfRule>
    <cfRule type="expression" dxfId="15" priority="2">
      <formula>$K6="En curso"</formula>
    </cfRule>
    <cfRule type="expression" dxfId="14" priority="3">
      <formula>$K6="Optimización"</formula>
    </cfRule>
    <cfRule type="expression" dxfId="13" priority="4">
      <formula>$K6="Pausada"</formula>
    </cfRule>
  </conditionalFormatting>
  <conditionalFormatting sqref="U6:U200">
    <cfRule type="colorScale" priority="5">
      <colorScale>
        <cfvo type="num" val="0"/>
        <cfvo type="num" val="0.6"/>
        <cfvo type="num" val="1"/>
        <color rgb="FFFDECEC"/>
        <color rgb="FFFFF4E5"/>
        <color rgb="FFEAF7EE"/>
      </colorScale>
    </cfRule>
  </conditionalFormatting>
  <conditionalFormatting sqref="X6:X200">
    <cfRule type="cellIs" dxfId="12" priority="6" operator="lessThan">
      <formula>3.5</formula>
    </cfRule>
    <cfRule type="cellIs" dxfId="11" priority="7" operator="between">
      <formula>3.5</formula>
      <formula>4.2</formula>
    </cfRule>
    <cfRule type="cellIs" dxfId="10" priority="8" operator="greaterThanOrEqual">
      <formula>4.2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200-000000000000}">
          <x14:formula1>
            <xm:f>Listas!$A$1:$A$4</xm:f>
          </x14:formula1>
          <xm:sqref>B6:B200</xm:sqref>
        </x14:dataValidation>
        <x14:dataValidation type="list" allowBlank="1" xr:uid="{00000000-0002-0000-0200-000001000000}">
          <x14:formula1>
            <xm:f>Listas!$B$1:$B$8</xm:f>
          </x14:formula1>
          <xm:sqref>C6:C200</xm:sqref>
        </x14:dataValidation>
        <x14:dataValidation type="list" allowBlank="1" xr:uid="{00000000-0002-0000-0200-000002000000}">
          <x14:formula1>
            <xm:f>Listas!$E$1:$E$4</xm:f>
          </x14:formula1>
          <xm:sqref>G6:G200</xm:sqref>
        </x14:dataValidation>
        <x14:dataValidation type="list" allowBlank="1" xr:uid="{00000000-0002-0000-0200-000003000000}">
          <x14:formula1>
            <xm:f>Listas!$C$1:$C$5</xm:f>
          </x14:formula1>
          <xm:sqref>K6:K200</xm:sqref>
        </x14:dataValidation>
        <x14:dataValidation type="list" allowBlank="1" xr:uid="{00000000-0002-0000-0200-000004000000}">
          <x14:formula1>
            <xm:f>Listas!$D$1:$D$3</xm:f>
          </x14:formula1>
          <xm:sqref>L6:L200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9"/>
  <sheetViews>
    <sheetView showGridLines="0" workbookViewId="0">
      <selection sqref="A1:T1"/>
    </sheetView>
  </sheetViews>
  <sheetFormatPr baseColWidth="10" defaultColWidth="8.88671875" defaultRowHeight="14.4" x14ac:dyDescent="0.3"/>
  <cols>
    <col min="1" max="1" width="7" customWidth="1"/>
    <col min="2" max="2" width="30" customWidth="1"/>
    <col min="3" max="3" width="14" customWidth="1"/>
    <col min="4" max="4" width="15" customWidth="1"/>
    <col min="5" max="6" width="12" customWidth="1"/>
    <col min="7" max="7" width="13" customWidth="1"/>
    <col min="8" max="8" width="11" customWidth="1"/>
    <col min="9" max="20" width="8" customWidth="1"/>
  </cols>
  <sheetData>
    <row r="1" spans="1:20" ht="22.05" customHeight="1" x14ac:dyDescent="0.3">
      <c r="A1" s="39" t="s">
        <v>161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5"/>
    </row>
    <row r="2" spans="1:20" ht="22.05" customHeight="1" x14ac:dyDescent="0.3">
      <c r="A2" s="40" t="s">
        <v>162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spans="1:20" ht="22.05" customHeight="1" x14ac:dyDescent="0.3">
      <c r="A3" s="22" t="s">
        <v>163</v>
      </c>
      <c r="I3" s="23">
        <f t="shared" ref="I3:T3" si="0">COUNTIF(I6:I19,1)</f>
        <v>2</v>
      </c>
      <c r="J3" s="23">
        <f t="shared" si="0"/>
        <v>3</v>
      </c>
      <c r="K3" s="23">
        <f t="shared" si="0"/>
        <v>4</v>
      </c>
      <c r="L3" s="23">
        <f t="shared" si="0"/>
        <v>5</v>
      </c>
      <c r="M3" s="23">
        <f t="shared" si="0"/>
        <v>5</v>
      </c>
      <c r="N3" s="23">
        <f t="shared" si="0"/>
        <v>5</v>
      </c>
      <c r="O3" s="23">
        <f t="shared" si="0"/>
        <v>4</v>
      </c>
      <c r="P3" s="23">
        <f t="shared" si="0"/>
        <v>4</v>
      </c>
      <c r="Q3" s="23">
        <f t="shared" si="0"/>
        <v>5</v>
      </c>
      <c r="R3" s="23">
        <f t="shared" si="0"/>
        <v>5</v>
      </c>
      <c r="S3" s="23">
        <f t="shared" si="0"/>
        <v>5</v>
      </c>
      <c r="T3" s="23">
        <f t="shared" si="0"/>
        <v>4</v>
      </c>
    </row>
    <row r="4" spans="1:20" ht="22.05" customHeight="1" x14ac:dyDescent="0.3"/>
    <row r="5" spans="1:20" ht="22.05" customHeight="1" x14ac:dyDescent="0.3">
      <c r="A5" s="14" t="s">
        <v>93</v>
      </c>
      <c r="B5" s="14" t="s">
        <v>164</v>
      </c>
      <c r="C5" s="14" t="s">
        <v>95</v>
      </c>
      <c r="D5" s="14" t="s">
        <v>98</v>
      </c>
      <c r="E5" s="14" t="s">
        <v>99</v>
      </c>
      <c r="F5" s="14" t="s">
        <v>100</v>
      </c>
      <c r="G5" s="14" t="s">
        <v>6</v>
      </c>
      <c r="H5" s="14" t="s">
        <v>108</v>
      </c>
      <c r="I5" s="24">
        <v>46023</v>
      </c>
      <c r="J5" s="24">
        <v>46054</v>
      </c>
      <c r="K5" s="24">
        <v>46082</v>
      </c>
      <c r="L5" s="24">
        <v>46113</v>
      </c>
      <c r="M5" s="24">
        <v>46143</v>
      </c>
      <c r="N5" s="24">
        <v>46174</v>
      </c>
      <c r="O5" s="24">
        <v>46204</v>
      </c>
      <c r="P5" s="24">
        <v>46235</v>
      </c>
      <c r="Q5" s="24">
        <v>46266</v>
      </c>
      <c r="R5" s="24">
        <v>46296</v>
      </c>
      <c r="S5" s="24">
        <v>46327</v>
      </c>
      <c r="T5" s="24">
        <v>46357</v>
      </c>
    </row>
    <row r="6" spans="1:20" ht="24" customHeight="1" x14ac:dyDescent="0.3">
      <c r="A6" s="17" t="str">
        <f>Acciones!A6</f>
        <v>A-01</v>
      </c>
      <c r="B6" s="17" t="str">
        <f>Acciones!D6</f>
        <v>Cluster de contenidos 'Huerto en balcón'</v>
      </c>
      <c r="C6" s="17" t="str">
        <f>Acciones!C6</f>
        <v>SEO</v>
      </c>
      <c r="D6" s="17" t="str">
        <f>Acciones!G6</f>
        <v>Alba Ruiz</v>
      </c>
      <c r="E6" s="25">
        <f>Acciones!H6</f>
        <v>46030</v>
      </c>
      <c r="F6" s="25">
        <f>Acciones!I6</f>
        <v>46112</v>
      </c>
      <c r="G6" s="19">
        <f>Acciones!N6</f>
        <v>2550</v>
      </c>
      <c r="H6" s="18">
        <f>Acciones!U6</f>
        <v>0.6</v>
      </c>
      <c r="I6" s="26">
        <f t="shared" ref="I6:T19" si="1">IF(AND($E6&lt;=EOMONTH(I$5,0),$F6&gt;=I$5),1,"")</f>
        <v>1</v>
      </c>
      <c r="J6" s="26">
        <f t="shared" si="1"/>
        <v>1</v>
      </c>
      <c r="K6" s="26">
        <f t="shared" si="1"/>
        <v>1</v>
      </c>
      <c r="L6" s="26" t="str">
        <f t="shared" si="1"/>
        <v/>
      </c>
      <c r="M6" s="26" t="str">
        <f t="shared" si="1"/>
        <v/>
      </c>
      <c r="N6" s="26" t="str">
        <f t="shared" si="1"/>
        <v/>
      </c>
      <c r="O6" s="26" t="str">
        <f t="shared" si="1"/>
        <v/>
      </c>
      <c r="P6" s="26" t="str">
        <f t="shared" si="1"/>
        <v/>
      </c>
      <c r="Q6" s="26" t="str">
        <f t="shared" si="1"/>
        <v/>
      </c>
      <c r="R6" s="26" t="str">
        <f t="shared" si="1"/>
        <v/>
      </c>
      <c r="S6" s="26" t="str">
        <f t="shared" si="1"/>
        <v/>
      </c>
      <c r="T6" s="26" t="str">
        <f t="shared" si="1"/>
        <v/>
      </c>
    </row>
    <row r="7" spans="1:20" ht="24" customHeight="1" x14ac:dyDescent="0.3">
      <c r="A7" s="17" t="str">
        <f>Acciones!A7</f>
        <v>A-02</v>
      </c>
      <c r="B7" s="17" t="str">
        <f>Acciones!D7</f>
        <v>Lead magnet 'Calendario de siembra urbana'</v>
      </c>
      <c r="C7" s="17" t="str">
        <f>Acciones!C7</f>
        <v>Email</v>
      </c>
      <c r="D7" s="17" t="str">
        <f>Acciones!G7</f>
        <v>Sara Lobo</v>
      </c>
      <c r="E7" s="25">
        <f>Acciones!H7</f>
        <v>46042</v>
      </c>
      <c r="F7" s="25">
        <f>Acciones!I7</f>
        <v>46081</v>
      </c>
      <c r="G7" s="19">
        <f>Acciones!N7</f>
        <v>860</v>
      </c>
      <c r="H7" s="18">
        <f>Acciones!U7</f>
        <v>1</v>
      </c>
      <c r="I7" s="26">
        <f t="shared" si="1"/>
        <v>1</v>
      </c>
      <c r="J7" s="26">
        <f t="shared" si="1"/>
        <v>1</v>
      </c>
      <c r="K7" s="26" t="str">
        <f t="shared" si="1"/>
        <v/>
      </c>
      <c r="L7" s="26" t="str">
        <f t="shared" si="1"/>
        <v/>
      </c>
      <c r="M7" s="26" t="str">
        <f t="shared" si="1"/>
        <v/>
      </c>
      <c r="N7" s="26" t="str">
        <f t="shared" si="1"/>
        <v/>
      </c>
      <c r="O7" s="26" t="str">
        <f t="shared" si="1"/>
        <v/>
      </c>
      <c r="P7" s="26" t="str">
        <f t="shared" si="1"/>
        <v/>
      </c>
      <c r="Q7" s="26" t="str">
        <f t="shared" si="1"/>
        <v/>
      </c>
      <c r="R7" s="26" t="str">
        <f t="shared" si="1"/>
        <v/>
      </c>
      <c r="S7" s="26" t="str">
        <f t="shared" si="1"/>
        <v/>
      </c>
      <c r="T7" s="26" t="str">
        <f t="shared" si="1"/>
        <v/>
      </c>
    </row>
    <row r="8" spans="1:20" ht="24" customHeight="1" x14ac:dyDescent="0.3">
      <c r="A8" s="17" t="str">
        <f>Acciones!A8</f>
        <v>A-03</v>
      </c>
      <c r="B8" s="17" t="str">
        <f>Acciones!D8</f>
        <v>Google Ads búsqueda marca + intención alta</v>
      </c>
      <c r="C8" s="17" t="str">
        <f>Acciones!C8</f>
        <v>SEM</v>
      </c>
      <c r="D8" s="17" t="str">
        <f>Acciones!G8</f>
        <v>Diego Mena</v>
      </c>
      <c r="E8" s="25">
        <f>Acciones!H8</f>
        <v>46054</v>
      </c>
      <c r="F8" s="25">
        <f>Acciones!I8</f>
        <v>46142</v>
      </c>
      <c r="G8" s="19">
        <f>Acciones!N8</f>
        <v>5480</v>
      </c>
      <c r="H8" s="18">
        <f>Acciones!U8</f>
        <v>0.85</v>
      </c>
      <c r="I8" s="26" t="str">
        <f t="shared" si="1"/>
        <v/>
      </c>
      <c r="J8" s="26">
        <f t="shared" si="1"/>
        <v>1</v>
      </c>
      <c r="K8" s="26">
        <f t="shared" si="1"/>
        <v>1</v>
      </c>
      <c r="L8" s="26">
        <f t="shared" si="1"/>
        <v>1</v>
      </c>
      <c r="M8" s="26" t="str">
        <f t="shared" si="1"/>
        <v/>
      </c>
      <c r="N8" s="26" t="str">
        <f t="shared" si="1"/>
        <v/>
      </c>
      <c r="O8" s="26" t="str">
        <f t="shared" si="1"/>
        <v/>
      </c>
      <c r="P8" s="26" t="str">
        <f t="shared" si="1"/>
        <v/>
      </c>
      <c r="Q8" s="26" t="str">
        <f t="shared" si="1"/>
        <v/>
      </c>
      <c r="R8" s="26" t="str">
        <f t="shared" si="1"/>
        <v/>
      </c>
      <c r="S8" s="26" t="str">
        <f t="shared" si="1"/>
        <v/>
      </c>
      <c r="T8" s="26" t="str">
        <f t="shared" si="1"/>
        <v/>
      </c>
    </row>
    <row r="9" spans="1:20" ht="24" customHeight="1" x14ac:dyDescent="0.3">
      <c r="A9" s="17" t="str">
        <f>Acciones!A9</f>
        <v>A-04</v>
      </c>
      <c r="B9" s="17" t="str">
        <f>Acciones!D9</f>
        <v>Microcreadores de decoración y sostenibilidad</v>
      </c>
      <c r="C9" s="17" t="str">
        <f>Acciones!C9</f>
        <v>Influencers</v>
      </c>
      <c r="D9" s="17" t="str">
        <f>Acciones!G9</f>
        <v>Lucía Rey</v>
      </c>
      <c r="E9" s="25">
        <f>Acciones!H9</f>
        <v>46091</v>
      </c>
      <c r="F9" s="25">
        <f>Acciones!I9</f>
        <v>46162</v>
      </c>
      <c r="G9" s="19">
        <f>Acciones!N9</f>
        <v>2280</v>
      </c>
      <c r="H9" s="18">
        <f>Acciones!U9</f>
        <v>1</v>
      </c>
      <c r="I9" s="26" t="str">
        <f t="shared" si="1"/>
        <v/>
      </c>
      <c r="J9" s="26" t="str">
        <f t="shared" si="1"/>
        <v/>
      </c>
      <c r="K9" s="26">
        <f t="shared" si="1"/>
        <v>1</v>
      </c>
      <c r="L9" s="26">
        <f t="shared" si="1"/>
        <v>1</v>
      </c>
      <c r="M9" s="26">
        <f t="shared" si="1"/>
        <v>1</v>
      </c>
      <c r="N9" s="26" t="str">
        <f t="shared" si="1"/>
        <v/>
      </c>
      <c r="O9" s="26" t="str">
        <f t="shared" si="1"/>
        <v/>
      </c>
      <c r="P9" s="26" t="str">
        <f t="shared" si="1"/>
        <v/>
      </c>
      <c r="Q9" s="26" t="str">
        <f t="shared" si="1"/>
        <v/>
      </c>
      <c r="R9" s="26" t="str">
        <f t="shared" si="1"/>
        <v/>
      </c>
      <c r="S9" s="26" t="str">
        <f t="shared" si="1"/>
        <v/>
      </c>
      <c r="T9" s="26" t="str">
        <f t="shared" si="1"/>
        <v/>
      </c>
    </row>
    <row r="10" spans="1:20" ht="24" customHeight="1" x14ac:dyDescent="0.3">
      <c r="A10" s="17" t="str">
        <f>Acciones!A10</f>
        <v>A-05</v>
      </c>
      <c r="B10" s="17" t="str">
        <f>Acciones!D10</f>
        <v>Meta Ads para captación de lead magnet</v>
      </c>
      <c r="C10" s="17" t="str">
        <f>Acciones!C10</f>
        <v>Social Ads</v>
      </c>
      <c r="D10" s="17" t="str">
        <f>Acciones!G10</f>
        <v>Diego Mena</v>
      </c>
      <c r="E10" s="25">
        <f>Acciones!H10</f>
        <v>46096</v>
      </c>
      <c r="F10" s="25">
        <f>Acciones!I10</f>
        <v>46203</v>
      </c>
      <c r="G10" s="19">
        <f>Acciones!N10</f>
        <v>3380</v>
      </c>
      <c r="H10" s="18">
        <f>Acciones!U10</f>
        <v>0.6</v>
      </c>
      <c r="I10" s="26" t="str">
        <f t="shared" si="1"/>
        <v/>
      </c>
      <c r="J10" s="26" t="str">
        <f t="shared" si="1"/>
        <v/>
      </c>
      <c r="K10" s="26">
        <f t="shared" si="1"/>
        <v>1</v>
      </c>
      <c r="L10" s="26">
        <f t="shared" si="1"/>
        <v>1</v>
      </c>
      <c r="M10" s="26">
        <f t="shared" si="1"/>
        <v>1</v>
      </c>
      <c r="N10" s="26">
        <f t="shared" si="1"/>
        <v>1</v>
      </c>
      <c r="O10" s="26" t="str">
        <f t="shared" si="1"/>
        <v/>
      </c>
      <c r="P10" s="26" t="str">
        <f t="shared" si="1"/>
        <v/>
      </c>
      <c r="Q10" s="26" t="str">
        <f t="shared" si="1"/>
        <v/>
      </c>
      <c r="R10" s="26" t="str">
        <f t="shared" si="1"/>
        <v/>
      </c>
      <c r="S10" s="26" t="str">
        <f t="shared" si="1"/>
        <v/>
      </c>
      <c r="T10" s="26" t="str">
        <f t="shared" si="1"/>
        <v/>
      </c>
    </row>
    <row r="11" spans="1:20" ht="24" customHeight="1" x14ac:dyDescent="0.3">
      <c r="A11" s="17" t="str">
        <f>Acciones!A11</f>
        <v>A-06</v>
      </c>
      <c r="B11" s="17" t="str">
        <f>Acciones!D11</f>
        <v>Flujos de recuperación de carrito</v>
      </c>
      <c r="C11" s="17" t="str">
        <f>Acciones!C11</f>
        <v>Email</v>
      </c>
      <c r="D11" s="17" t="str">
        <f>Acciones!G11</f>
        <v>Sara Lobo</v>
      </c>
      <c r="E11" s="25">
        <f>Acciones!H11</f>
        <v>46113</v>
      </c>
      <c r="F11" s="25">
        <f>Acciones!I11</f>
        <v>46376</v>
      </c>
      <c r="G11" s="19">
        <f>Acciones!N11</f>
        <v>1180</v>
      </c>
      <c r="H11" s="18">
        <f>Acciones!U11</f>
        <v>0.6</v>
      </c>
      <c r="I11" s="26" t="str">
        <f t="shared" si="1"/>
        <v/>
      </c>
      <c r="J11" s="26" t="str">
        <f t="shared" si="1"/>
        <v/>
      </c>
      <c r="K11" s="26" t="str">
        <f t="shared" si="1"/>
        <v/>
      </c>
      <c r="L11" s="26">
        <f t="shared" si="1"/>
        <v>1</v>
      </c>
      <c r="M11" s="26">
        <f t="shared" si="1"/>
        <v>1</v>
      </c>
      <c r="N11" s="26">
        <f t="shared" si="1"/>
        <v>1</v>
      </c>
      <c r="O11" s="26">
        <f t="shared" si="1"/>
        <v>1</v>
      </c>
      <c r="P11" s="26">
        <f t="shared" si="1"/>
        <v>1</v>
      </c>
      <c r="Q11" s="26">
        <f t="shared" si="1"/>
        <v>1</v>
      </c>
      <c r="R11" s="26">
        <f t="shared" si="1"/>
        <v>1</v>
      </c>
      <c r="S11" s="26">
        <f t="shared" si="1"/>
        <v>1</v>
      </c>
      <c r="T11" s="26">
        <f t="shared" si="1"/>
        <v>1</v>
      </c>
    </row>
    <row r="12" spans="1:20" ht="24" customHeight="1" x14ac:dyDescent="0.3">
      <c r="A12" s="17" t="str">
        <f>Acciones!A12</f>
        <v>A-07</v>
      </c>
      <c r="B12" s="17" t="str">
        <f>Acciones!D12</f>
        <v>Notas de prensa en medios lifestyle</v>
      </c>
      <c r="C12" s="17" t="str">
        <f>Acciones!C12</f>
        <v>PR</v>
      </c>
      <c r="D12" s="17" t="str">
        <f>Acciones!G12</f>
        <v>Lucía Rey</v>
      </c>
      <c r="E12" s="25">
        <f>Acciones!H12</f>
        <v>46130</v>
      </c>
      <c r="F12" s="25">
        <f>Acciones!I12</f>
        <v>46188</v>
      </c>
      <c r="G12" s="19">
        <f>Acciones!N12</f>
        <v>1660</v>
      </c>
      <c r="H12" s="18">
        <f>Acciones!U12</f>
        <v>1</v>
      </c>
      <c r="I12" s="26" t="str">
        <f t="shared" si="1"/>
        <v/>
      </c>
      <c r="J12" s="26" t="str">
        <f t="shared" si="1"/>
        <v/>
      </c>
      <c r="K12" s="26" t="str">
        <f t="shared" si="1"/>
        <v/>
      </c>
      <c r="L12" s="26">
        <f t="shared" si="1"/>
        <v>1</v>
      </c>
      <c r="M12" s="26">
        <f t="shared" si="1"/>
        <v>1</v>
      </c>
      <c r="N12" s="26">
        <f t="shared" si="1"/>
        <v>1</v>
      </c>
      <c r="O12" s="26" t="str">
        <f t="shared" si="1"/>
        <v/>
      </c>
      <c r="P12" s="26" t="str">
        <f t="shared" si="1"/>
        <v/>
      </c>
      <c r="Q12" s="26" t="str">
        <f t="shared" si="1"/>
        <v/>
      </c>
      <c r="R12" s="26" t="str">
        <f t="shared" si="1"/>
        <v/>
      </c>
      <c r="S12" s="26" t="str">
        <f t="shared" si="1"/>
        <v/>
      </c>
      <c r="T12" s="26" t="str">
        <f t="shared" si="1"/>
        <v/>
      </c>
    </row>
    <row r="13" spans="1:20" ht="24" customHeight="1" x14ac:dyDescent="0.3">
      <c r="A13" s="17" t="str">
        <f>Acciones!A13</f>
        <v>A-08</v>
      </c>
      <c r="B13" s="17" t="str">
        <f>Acciones!D13</f>
        <v>Taller pop-up en mercados urbanos</v>
      </c>
      <c r="C13" s="17" t="str">
        <f>Acciones!C13</f>
        <v>Eventos</v>
      </c>
      <c r="D13" s="17" t="str">
        <f>Acciones!G13</f>
        <v>Alba Ruiz</v>
      </c>
      <c r="E13" s="25">
        <f>Acciones!H13</f>
        <v>46147</v>
      </c>
      <c r="F13" s="25">
        <f>Acciones!I13</f>
        <v>46218</v>
      </c>
      <c r="G13" s="19">
        <f>Acciones!N13</f>
        <v>3475</v>
      </c>
      <c r="H13" s="18">
        <f>Acciones!U13</f>
        <v>1</v>
      </c>
      <c r="I13" s="26" t="str">
        <f t="shared" si="1"/>
        <v/>
      </c>
      <c r="J13" s="26" t="str">
        <f t="shared" si="1"/>
        <v/>
      </c>
      <c r="K13" s="26" t="str">
        <f t="shared" si="1"/>
        <v/>
      </c>
      <c r="L13" s="26" t="str">
        <f t="shared" si="1"/>
        <v/>
      </c>
      <c r="M13" s="26">
        <f t="shared" si="1"/>
        <v>1</v>
      </c>
      <c r="N13" s="26">
        <f t="shared" si="1"/>
        <v>1</v>
      </c>
      <c r="O13" s="26">
        <f t="shared" si="1"/>
        <v>1</v>
      </c>
      <c r="P13" s="26" t="str">
        <f t="shared" si="1"/>
        <v/>
      </c>
      <c r="Q13" s="26" t="str">
        <f t="shared" si="1"/>
        <v/>
      </c>
      <c r="R13" s="26" t="str">
        <f t="shared" si="1"/>
        <v/>
      </c>
      <c r="S13" s="26" t="str">
        <f t="shared" si="1"/>
        <v/>
      </c>
      <c r="T13" s="26" t="str">
        <f t="shared" si="1"/>
        <v/>
      </c>
    </row>
    <row r="14" spans="1:20" ht="24" customHeight="1" x14ac:dyDescent="0.3">
      <c r="A14" s="17" t="str">
        <f>Acciones!A14</f>
        <v>A-09</v>
      </c>
      <c r="B14" s="17" t="str">
        <f>Acciones!D14</f>
        <v>Programa con blogs de hogar sostenible</v>
      </c>
      <c r="C14" s="17" t="str">
        <f>Acciones!C14</f>
        <v>Afiliación</v>
      </c>
      <c r="D14" s="17" t="str">
        <f>Acciones!G14</f>
        <v>Lucía Rey</v>
      </c>
      <c r="E14" s="25">
        <f>Acciones!H14</f>
        <v>46174</v>
      </c>
      <c r="F14" s="25">
        <f>Acciones!I14</f>
        <v>46371</v>
      </c>
      <c r="G14" s="19">
        <f>Acciones!N14</f>
        <v>2430</v>
      </c>
      <c r="H14" s="18">
        <f>Acciones!U14</f>
        <v>0.6</v>
      </c>
      <c r="I14" s="26" t="str">
        <f t="shared" si="1"/>
        <v/>
      </c>
      <c r="J14" s="26" t="str">
        <f t="shared" si="1"/>
        <v/>
      </c>
      <c r="K14" s="26" t="str">
        <f t="shared" si="1"/>
        <v/>
      </c>
      <c r="L14" s="26" t="str">
        <f t="shared" si="1"/>
        <v/>
      </c>
      <c r="M14" s="26" t="str">
        <f t="shared" si="1"/>
        <v/>
      </c>
      <c r="N14" s="26">
        <f t="shared" si="1"/>
        <v>1</v>
      </c>
      <c r="O14" s="26">
        <f t="shared" si="1"/>
        <v>1</v>
      </c>
      <c r="P14" s="26">
        <f t="shared" si="1"/>
        <v>1</v>
      </c>
      <c r="Q14" s="26">
        <f t="shared" si="1"/>
        <v>1</v>
      </c>
      <c r="R14" s="26">
        <f t="shared" si="1"/>
        <v>1</v>
      </c>
      <c r="S14" s="26">
        <f t="shared" si="1"/>
        <v>1</v>
      </c>
      <c r="T14" s="26">
        <f t="shared" si="1"/>
        <v>1</v>
      </c>
    </row>
    <row r="15" spans="1:20" ht="24" customHeight="1" x14ac:dyDescent="0.3">
      <c r="A15" s="17" t="str">
        <f>Acciones!A15</f>
        <v>A-10</v>
      </c>
      <c r="B15" s="17" t="str">
        <f>Acciones!D15</f>
        <v>Programa de recompra estacional</v>
      </c>
      <c r="C15" s="17" t="str">
        <f>Acciones!C15</f>
        <v>Email</v>
      </c>
      <c r="D15" s="17" t="str">
        <f>Acciones!G15</f>
        <v>Sara Lobo</v>
      </c>
      <c r="E15" s="25">
        <f>Acciones!H15</f>
        <v>46204</v>
      </c>
      <c r="F15" s="25">
        <f>Acciones!I15</f>
        <v>46356</v>
      </c>
      <c r="G15" s="19">
        <f>Acciones!N15</f>
        <v>0</v>
      </c>
      <c r="H15" s="18">
        <f>Acciones!U15</f>
        <v>0</v>
      </c>
      <c r="I15" s="26" t="str">
        <f t="shared" si="1"/>
        <v/>
      </c>
      <c r="J15" s="26" t="str">
        <f t="shared" si="1"/>
        <v/>
      </c>
      <c r="K15" s="26" t="str">
        <f t="shared" si="1"/>
        <v/>
      </c>
      <c r="L15" s="26" t="str">
        <f t="shared" si="1"/>
        <v/>
      </c>
      <c r="M15" s="26" t="str">
        <f t="shared" si="1"/>
        <v/>
      </c>
      <c r="N15" s="26" t="str">
        <f t="shared" si="1"/>
        <v/>
      </c>
      <c r="O15" s="26">
        <f t="shared" si="1"/>
        <v>1</v>
      </c>
      <c r="P15" s="26">
        <f t="shared" si="1"/>
        <v>1</v>
      </c>
      <c r="Q15" s="26">
        <f t="shared" si="1"/>
        <v>1</v>
      </c>
      <c r="R15" s="26">
        <f t="shared" si="1"/>
        <v>1</v>
      </c>
      <c r="S15" s="26">
        <f t="shared" si="1"/>
        <v>1</v>
      </c>
      <c r="T15" s="26" t="str">
        <f t="shared" si="1"/>
        <v/>
      </c>
    </row>
    <row r="16" spans="1:20" ht="24" customHeight="1" x14ac:dyDescent="0.3">
      <c r="A16" s="17" t="str">
        <f>Acciones!A16</f>
        <v>A-11</v>
      </c>
      <c r="B16" s="17" t="str">
        <f>Acciones!D16</f>
        <v>Campaña vídeo 'del balcón a la mesa'</v>
      </c>
      <c r="C16" s="17" t="str">
        <f>Acciones!C16</f>
        <v>Social Ads</v>
      </c>
      <c r="D16" s="17" t="str">
        <f>Acciones!G16</f>
        <v>Diego Mena</v>
      </c>
      <c r="E16" s="25">
        <f>Acciones!H16</f>
        <v>46249</v>
      </c>
      <c r="F16" s="25">
        <f>Acciones!I16</f>
        <v>46310</v>
      </c>
      <c r="G16" s="19">
        <f>Acciones!N16</f>
        <v>0</v>
      </c>
      <c r="H16" s="18">
        <f>Acciones!U16</f>
        <v>0</v>
      </c>
      <c r="I16" s="26" t="str">
        <f t="shared" si="1"/>
        <v/>
      </c>
      <c r="J16" s="26" t="str">
        <f t="shared" si="1"/>
        <v/>
      </c>
      <c r="K16" s="26" t="str">
        <f t="shared" si="1"/>
        <v/>
      </c>
      <c r="L16" s="26" t="str">
        <f t="shared" si="1"/>
        <v/>
      </c>
      <c r="M16" s="26" t="str">
        <f t="shared" si="1"/>
        <v/>
      </c>
      <c r="N16" s="26" t="str">
        <f t="shared" si="1"/>
        <v/>
      </c>
      <c r="O16" s="26" t="str">
        <f t="shared" si="1"/>
        <v/>
      </c>
      <c r="P16" s="26">
        <f t="shared" si="1"/>
        <v>1</v>
      </c>
      <c r="Q16" s="26">
        <f t="shared" si="1"/>
        <v>1</v>
      </c>
      <c r="R16" s="26">
        <f t="shared" si="1"/>
        <v>1</v>
      </c>
      <c r="S16" s="26" t="str">
        <f t="shared" si="1"/>
        <v/>
      </c>
      <c r="T16" s="26" t="str">
        <f t="shared" si="1"/>
        <v/>
      </c>
    </row>
    <row r="17" spans="1:20" ht="24" customHeight="1" x14ac:dyDescent="0.3">
      <c r="A17" s="17" t="str">
        <f>Acciones!A17</f>
        <v>A-12</v>
      </c>
      <c r="B17" s="17" t="str">
        <f>Acciones!D17</f>
        <v>Landing SEO B2B para colivings</v>
      </c>
      <c r="C17" s="17" t="str">
        <f>Acciones!C17</f>
        <v>SEO</v>
      </c>
      <c r="D17" s="17" t="str">
        <f>Acciones!G17</f>
        <v>Alba Ruiz</v>
      </c>
      <c r="E17" s="25">
        <f>Acciones!H17</f>
        <v>46266</v>
      </c>
      <c r="F17" s="25">
        <f>Acciones!I17</f>
        <v>46366</v>
      </c>
      <c r="G17" s="19">
        <f>Acciones!N17</f>
        <v>0</v>
      </c>
      <c r="H17" s="18">
        <f>Acciones!U17</f>
        <v>0</v>
      </c>
      <c r="I17" s="26" t="str">
        <f t="shared" si="1"/>
        <v/>
      </c>
      <c r="J17" s="26" t="str">
        <f t="shared" si="1"/>
        <v/>
      </c>
      <c r="K17" s="26" t="str">
        <f t="shared" si="1"/>
        <v/>
      </c>
      <c r="L17" s="26" t="str">
        <f t="shared" si="1"/>
        <v/>
      </c>
      <c r="M17" s="26" t="str">
        <f t="shared" si="1"/>
        <v/>
      </c>
      <c r="N17" s="26" t="str">
        <f t="shared" si="1"/>
        <v/>
      </c>
      <c r="O17" s="26" t="str">
        <f t="shared" si="1"/>
        <v/>
      </c>
      <c r="P17" s="26" t="str">
        <f t="shared" si="1"/>
        <v/>
      </c>
      <c r="Q17" s="26">
        <f t="shared" si="1"/>
        <v>1</v>
      </c>
      <c r="R17" s="26">
        <f t="shared" si="1"/>
        <v>1</v>
      </c>
      <c r="S17" s="26">
        <f t="shared" si="1"/>
        <v>1</v>
      </c>
      <c r="T17" s="26">
        <f t="shared" si="1"/>
        <v>1</v>
      </c>
    </row>
    <row r="18" spans="1:20" ht="24" customHeight="1" x14ac:dyDescent="0.3">
      <c r="A18" s="17" t="str">
        <f>Acciones!A18</f>
        <v>A-13</v>
      </c>
      <c r="B18" s="17" t="str">
        <f>Acciones!D18</f>
        <v>Campaña Black Friday kits regalo</v>
      </c>
      <c r="C18" s="17" t="str">
        <f>Acciones!C18</f>
        <v>SEM</v>
      </c>
      <c r="D18" s="17" t="str">
        <f>Acciones!G18</f>
        <v>Diego Mena</v>
      </c>
      <c r="E18" s="25">
        <f>Acciones!H18</f>
        <v>46327</v>
      </c>
      <c r="F18" s="25">
        <f>Acciones!I18</f>
        <v>46356</v>
      </c>
      <c r="G18" s="19">
        <f>Acciones!N18</f>
        <v>0</v>
      </c>
      <c r="H18" s="18">
        <f>Acciones!U18</f>
        <v>0</v>
      </c>
      <c r="I18" s="26" t="str">
        <f t="shared" si="1"/>
        <v/>
      </c>
      <c r="J18" s="26" t="str">
        <f t="shared" si="1"/>
        <v/>
      </c>
      <c r="K18" s="26" t="str">
        <f t="shared" si="1"/>
        <v/>
      </c>
      <c r="L18" s="26" t="str">
        <f t="shared" si="1"/>
        <v/>
      </c>
      <c r="M18" s="26" t="str">
        <f t="shared" si="1"/>
        <v/>
      </c>
      <c r="N18" s="26" t="str">
        <f t="shared" si="1"/>
        <v/>
      </c>
      <c r="O18" s="26" t="str">
        <f t="shared" si="1"/>
        <v/>
      </c>
      <c r="P18" s="26" t="str">
        <f t="shared" si="1"/>
        <v/>
      </c>
      <c r="Q18" s="26" t="str">
        <f t="shared" si="1"/>
        <v/>
      </c>
      <c r="R18" s="26" t="str">
        <f t="shared" si="1"/>
        <v/>
      </c>
      <c r="S18" s="26">
        <f t="shared" si="1"/>
        <v>1</v>
      </c>
      <c r="T18" s="26" t="str">
        <f t="shared" si="1"/>
        <v/>
      </c>
    </row>
    <row r="19" spans="1:20" ht="24" customHeight="1" x14ac:dyDescent="0.3">
      <c r="A19" s="17" t="str">
        <f>Acciones!A19</f>
        <v>A-14</v>
      </c>
      <c r="B19" s="17" t="str">
        <f>Acciones!D19</f>
        <v>Calendario de adviento para clientes</v>
      </c>
      <c r="C19" s="17" t="str">
        <f>Acciones!C19</f>
        <v>Email</v>
      </c>
      <c r="D19" s="17" t="str">
        <f>Acciones!G19</f>
        <v>Sara Lobo</v>
      </c>
      <c r="E19" s="25">
        <f>Acciones!H19</f>
        <v>46357</v>
      </c>
      <c r="F19" s="25">
        <f>Acciones!I19</f>
        <v>46380</v>
      </c>
      <c r="G19" s="19">
        <f>Acciones!N19</f>
        <v>0</v>
      </c>
      <c r="H19" s="18">
        <f>Acciones!U19</f>
        <v>0</v>
      </c>
      <c r="I19" s="26" t="str">
        <f t="shared" si="1"/>
        <v/>
      </c>
      <c r="J19" s="26" t="str">
        <f t="shared" si="1"/>
        <v/>
      </c>
      <c r="K19" s="26" t="str">
        <f t="shared" si="1"/>
        <v/>
      </c>
      <c r="L19" s="26" t="str">
        <f t="shared" si="1"/>
        <v/>
      </c>
      <c r="M19" s="26" t="str">
        <f t="shared" si="1"/>
        <v/>
      </c>
      <c r="N19" s="26" t="str">
        <f t="shared" si="1"/>
        <v/>
      </c>
      <c r="O19" s="26" t="str">
        <f t="shared" si="1"/>
        <v/>
      </c>
      <c r="P19" s="26" t="str">
        <f t="shared" si="1"/>
        <v/>
      </c>
      <c r="Q19" s="26" t="str">
        <f t="shared" si="1"/>
        <v/>
      </c>
      <c r="R19" s="26" t="str">
        <f t="shared" si="1"/>
        <v/>
      </c>
      <c r="S19" s="26" t="str">
        <f t="shared" si="1"/>
        <v/>
      </c>
      <c r="T19" s="26">
        <f t="shared" si="1"/>
        <v>1</v>
      </c>
    </row>
  </sheetData>
  <mergeCells count="2">
    <mergeCell ref="A1:T1"/>
    <mergeCell ref="A2:T2"/>
  </mergeCells>
  <conditionalFormatting sqref="I6:T19">
    <cfRule type="cellIs" dxfId="9" priority="1" operator="equal">
      <formula>1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8"/>
  <sheetViews>
    <sheetView showGridLines="0" workbookViewId="0">
      <selection sqref="A1:U1"/>
    </sheetView>
  </sheetViews>
  <sheetFormatPr baseColWidth="10" defaultColWidth="8.88671875" defaultRowHeight="14.4" x14ac:dyDescent="0.3"/>
  <cols>
    <col min="1" max="1" width="18" customWidth="1"/>
    <col min="2" max="4" width="14" customWidth="1"/>
    <col min="5" max="5" width="12" customWidth="1"/>
    <col min="6" max="6" width="14" customWidth="1"/>
    <col min="7" max="7" width="16" customWidth="1"/>
    <col min="8" max="8" width="12" customWidth="1"/>
    <col min="9" max="9" width="16" customWidth="1"/>
    <col min="10" max="21" width="10" customWidth="1"/>
  </cols>
  <sheetData>
    <row r="1" spans="1:21" ht="22.05" customHeight="1" x14ac:dyDescent="0.3">
      <c r="A1" s="39" t="s">
        <v>165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5"/>
    </row>
    <row r="2" spans="1:21" ht="22.05" customHeight="1" x14ac:dyDescent="0.3">
      <c r="A2" s="40" t="s">
        <v>166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spans="1:21" ht="22.05" customHeight="1" x14ac:dyDescent="0.3"/>
    <row r="4" spans="1:21" ht="22.05" customHeight="1" x14ac:dyDescent="0.3">
      <c r="A4" s="38" t="s">
        <v>167</v>
      </c>
      <c r="B4" s="34"/>
      <c r="C4" s="35"/>
      <c r="J4" s="38" t="s">
        <v>168</v>
      </c>
      <c r="K4" s="34"/>
      <c r="L4" s="34"/>
      <c r="M4" s="34"/>
      <c r="N4" s="34"/>
      <c r="O4" s="34"/>
      <c r="P4" s="34"/>
      <c r="Q4" s="34"/>
      <c r="R4" s="34"/>
      <c r="S4" s="34"/>
      <c r="T4" s="34"/>
      <c r="U4" s="35"/>
    </row>
    <row r="5" spans="1:21" ht="22.05" customHeight="1" x14ac:dyDescent="0.3">
      <c r="A5" s="1" t="s">
        <v>169</v>
      </c>
      <c r="B5" s="21">
        <f>Resumen!C5</f>
        <v>2026</v>
      </c>
      <c r="J5" s="27">
        <v>46023</v>
      </c>
      <c r="K5" s="27">
        <v>46054</v>
      </c>
      <c r="L5" s="27">
        <v>46082</v>
      </c>
      <c r="M5" s="27">
        <v>46113</v>
      </c>
      <c r="N5" s="27">
        <v>46143</v>
      </c>
      <c r="O5" s="27">
        <v>46174</v>
      </c>
      <c r="P5" s="27">
        <v>46204</v>
      </c>
      <c r="Q5" s="27">
        <v>46235</v>
      </c>
      <c r="R5" s="27">
        <v>46266</v>
      </c>
      <c r="S5" s="27">
        <v>46296</v>
      </c>
      <c r="T5" s="27">
        <v>46327</v>
      </c>
      <c r="U5" s="27">
        <v>46357</v>
      </c>
    </row>
    <row r="6" spans="1:21" ht="22.05" customHeight="1" x14ac:dyDescent="0.3">
      <c r="A6" s="1" t="s">
        <v>170</v>
      </c>
      <c r="B6" s="18">
        <f>Resumen!C8</f>
        <v>0.21</v>
      </c>
      <c r="I6" s="1" t="s">
        <v>171</v>
      </c>
      <c r="J6" s="19">
        <f>SUMIFS(Acciones!$M$6:$M$19,Acciones!$H$6:$H$19,"&gt;="&amp;DATE(Resumen!$C$5,1,1),Acciones!$H$6:$H$19,"&lt;"&amp;EOMONTH(DATE(Resumen!$C$5,1,1),0)+1)</f>
        <v>3700</v>
      </c>
      <c r="K6" s="19">
        <f>SUMIFS(Acciones!$M$6:$M$19,Acciones!$H$6:$H$19,"&gt;="&amp;DATE(Resumen!$C$5,2,1),Acciones!$H$6:$H$19,"&lt;"&amp;EOMONTH(DATE(Resumen!$C$5,2,1),0)+1)</f>
        <v>5200</v>
      </c>
      <c r="L6" s="19">
        <f>SUMIFS(Acciones!$M$6:$M$19,Acciones!$H$6:$H$19,"&gt;="&amp;DATE(Resumen!$C$5,3,1),Acciones!$H$6:$H$19,"&lt;"&amp;EOMONTH(DATE(Resumen!$C$5,3,1),0)+1)</f>
        <v>6000</v>
      </c>
      <c r="M6" s="19">
        <f>SUMIFS(Acciones!$M$6:$M$19,Acciones!$H$6:$H$19,"&gt;="&amp;DATE(Resumen!$C$5,4,1),Acciones!$H$6:$H$19,"&lt;"&amp;EOMONTH(DATE(Resumen!$C$5,4,1),0)+1)</f>
        <v>3200</v>
      </c>
      <c r="N6" s="19">
        <f>SUMIFS(Acciones!$M$6:$M$19,Acciones!$H$6:$H$19,"&gt;="&amp;DATE(Resumen!$C$5,5,1),Acciones!$H$6:$H$19,"&lt;"&amp;EOMONTH(DATE(Resumen!$C$5,5,1),0)+1)</f>
        <v>3200</v>
      </c>
      <c r="O6" s="19">
        <f>SUMIFS(Acciones!$M$6:$M$19,Acciones!$H$6:$H$19,"&gt;="&amp;DATE(Resumen!$C$5,6,1),Acciones!$H$6:$H$19,"&lt;"&amp;EOMONTH(DATE(Resumen!$C$5,6,1),0)+1)</f>
        <v>2600</v>
      </c>
      <c r="P6" s="19">
        <f>SUMIFS(Acciones!$M$6:$M$19,Acciones!$H$6:$H$19,"&gt;="&amp;DATE(Resumen!$C$5,7,1),Acciones!$H$6:$H$19,"&lt;"&amp;EOMONTH(DATE(Resumen!$C$5,7,1),0)+1)</f>
        <v>1250</v>
      </c>
      <c r="Q6" s="19">
        <f>SUMIFS(Acciones!$M$6:$M$19,Acciones!$H$6:$H$19,"&gt;="&amp;DATE(Resumen!$C$5,8,1),Acciones!$H$6:$H$19,"&lt;"&amp;EOMONTH(DATE(Resumen!$C$5,8,1),0)+1)</f>
        <v>2900</v>
      </c>
      <c r="R6" s="19">
        <f>SUMIFS(Acciones!$M$6:$M$19,Acciones!$H$6:$H$19,"&gt;="&amp;DATE(Resumen!$C$5,9,1),Acciones!$H$6:$H$19,"&lt;"&amp;EOMONTH(DATE(Resumen!$C$5,9,1),0)+1)</f>
        <v>2100</v>
      </c>
      <c r="S6" s="19">
        <f>SUMIFS(Acciones!$M$6:$M$19,Acciones!$H$6:$H$19,"&gt;="&amp;DATE(Resumen!$C$5,10,1),Acciones!$H$6:$H$19,"&lt;"&amp;EOMONTH(DATE(Resumen!$C$5,10,1),0)+1)</f>
        <v>0</v>
      </c>
      <c r="T6" s="19">
        <f>SUMIFS(Acciones!$M$6:$M$19,Acciones!$H$6:$H$19,"&gt;="&amp;DATE(Resumen!$C$5,11,1),Acciones!$H$6:$H$19,"&lt;"&amp;EOMONTH(DATE(Resumen!$C$5,11,1),0)+1)</f>
        <v>4200</v>
      </c>
      <c r="U6" s="19">
        <f>SUMIFS(Acciones!$M$6:$M$19,Acciones!$H$6:$H$19,"&gt;="&amp;DATE(Resumen!$C$5,12,1),Acciones!$H$6:$H$19,"&lt;"&amp;EOMONTH(DATE(Resumen!$C$5,12,1),0)+1)</f>
        <v>700</v>
      </c>
    </row>
    <row r="7" spans="1:21" ht="22.05" customHeight="1" x14ac:dyDescent="0.3">
      <c r="I7" s="1" t="s">
        <v>172</v>
      </c>
      <c r="J7" s="19">
        <f>SUMIFS(Acciones!$N$6:$N$19,Acciones!$H$6:$H$19,"&gt;="&amp;DATE(Resumen!$C$5,1,1),Acciones!$H$6:$H$19,"&lt;"&amp;EOMONTH(DATE(Resumen!$C$5,1,1),0)+1)</f>
        <v>3410</v>
      </c>
      <c r="K7" s="19">
        <f>SUMIFS(Acciones!$N$6:$N$19,Acciones!$H$6:$H$19,"&gt;="&amp;DATE(Resumen!$C$5,2,1),Acciones!$H$6:$H$19,"&lt;"&amp;EOMONTH(DATE(Resumen!$C$5,2,1),0)+1)</f>
        <v>5480</v>
      </c>
      <c r="L7" s="19">
        <f>SUMIFS(Acciones!$N$6:$N$19,Acciones!$H$6:$H$19,"&gt;="&amp;DATE(Resumen!$C$5,3,1),Acciones!$H$6:$H$19,"&lt;"&amp;EOMONTH(DATE(Resumen!$C$5,3,1),0)+1)</f>
        <v>5660</v>
      </c>
      <c r="M7" s="19">
        <f>SUMIFS(Acciones!$N$6:$N$19,Acciones!$H$6:$H$19,"&gt;="&amp;DATE(Resumen!$C$5,4,1),Acciones!$H$6:$H$19,"&lt;"&amp;EOMONTH(DATE(Resumen!$C$5,4,1),0)+1)</f>
        <v>2840</v>
      </c>
      <c r="N7" s="19">
        <f>SUMIFS(Acciones!$N$6:$N$19,Acciones!$H$6:$H$19,"&gt;="&amp;DATE(Resumen!$C$5,5,1),Acciones!$H$6:$H$19,"&lt;"&amp;EOMONTH(DATE(Resumen!$C$5,5,1),0)+1)</f>
        <v>3475</v>
      </c>
      <c r="O7" s="19">
        <f>SUMIFS(Acciones!$N$6:$N$19,Acciones!$H$6:$H$19,"&gt;="&amp;DATE(Resumen!$C$5,6,1),Acciones!$H$6:$H$19,"&lt;"&amp;EOMONTH(DATE(Resumen!$C$5,6,1),0)+1)</f>
        <v>2430</v>
      </c>
      <c r="P7" s="19">
        <f>SUMIFS(Acciones!$N$6:$N$19,Acciones!$H$6:$H$19,"&gt;="&amp;DATE(Resumen!$C$5,7,1),Acciones!$H$6:$H$19,"&lt;"&amp;EOMONTH(DATE(Resumen!$C$5,7,1),0)+1)</f>
        <v>0</v>
      </c>
      <c r="Q7" s="19">
        <f>SUMIFS(Acciones!$N$6:$N$19,Acciones!$H$6:$H$19,"&gt;="&amp;DATE(Resumen!$C$5,8,1),Acciones!$H$6:$H$19,"&lt;"&amp;EOMONTH(DATE(Resumen!$C$5,8,1),0)+1)</f>
        <v>0</v>
      </c>
      <c r="R7" s="19">
        <f>SUMIFS(Acciones!$N$6:$N$19,Acciones!$H$6:$H$19,"&gt;="&amp;DATE(Resumen!$C$5,9,1),Acciones!$H$6:$H$19,"&lt;"&amp;EOMONTH(DATE(Resumen!$C$5,9,1),0)+1)</f>
        <v>0</v>
      </c>
      <c r="S7" s="19">
        <f>SUMIFS(Acciones!$N$6:$N$19,Acciones!$H$6:$H$19,"&gt;="&amp;DATE(Resumen!$C$5,10,1),Acciones!$H$6:$H$19,"&lt;"&amp;EOMONTH(DATE(Resumen!$C$5,10,1),0)+1)</f>
        <v>0</v>
      </c>
      <c r="T7" s="19">
        <f>SUMIFS(Acciones!$N$6:$N$19,Acciones!$H$6:$H$19,"&gt;="&amp;DATE(Resumen!$C$5,11,1),Acciones!$H$6:$H$19,"&lt;"&amp;EOMONTH(DATE(Resumen!$C$5,11,1),0)+1)</f>
        <v>0</v>
      </c>
      <c r="U7" s="19">
        <f>SUMIFS(Acciones!$N$6:$N$19,Acciones!$H$6:$H$19,"&gt;="&amp;DATE(Resumen!$C$5,12,1),Acciones!$H$6:$H$19,"&lt;"&amp;EOMONTH(DATE(Resumen!$C$5,12,1),0)+1)</f>
        <v>0</v>
      </c>
    </row>
    <row r="8" spans="1:21" ht="22.05" customHeight="1" x14ac:dyDescent="0.3">
      <c r="A8" s="39" t="s">
        <v>173</v>
      </c>
      <c r="B8" s="34"/>
      <c r="C8" s="34"/>
      <c r="D8" s="34"/>
      <c r="E8" s="34"/>
      <c r="F8" s="34"/>
      <c r="G8" s="34"/>
      <c r="H8" s="35"/>
      <c r="I8" s="1" t="s">
        <v>174</v>
      </c>
      <c r="J8" s="19">
        <f t="shared" ref="J8:U8" si="0">J7-J6</f>
        <v>-290</v>
      </c>
      <c r="K8" s="19">
        <f t="shared" si="0"/>
        <v>280</v>
      </c>
      <c r="L8" s="19">
        <f t="shared" si="0"/>
        <v>-340</v>
      </c>
      <c r="M8" s="19">
        <f t="shared" si="0"/>
        <v>-360</v>
      </c>
      <c r="N8" s="19">
        <f t="shared" si="0"/>
        <v>275</v>
      </c>
      <c r="O8" s="19">
        <f t="shared" si="0"/>
        <v>-170</v>
      </c>
      <c r="P8" s="19">
        <f t="shared" si="0"/>
        <v>-1250</v>
      </c>
      <c r="Q8" s="19">
        <f t="shared" si="0"/>
        <v>-2900</v>
      </c>
      <c r="R8" s="19">
        <f t="shared" si="0"/>
        <v>-2100</v>
      </c>
      <c r="S8" s="19">
        <f t="shared" si="0"/>
        <v>0</v>
      </c>
      <c r="T8" s="19">
        <f t="shared" si="0"/>
        <v>-4200</v>
      </c>
      <c r="U8" s="19">
        <f t="shared" si="0"/>
        <v>-700</v>
      </c>
    </row>
    <row r="9" spans="1:21" ht="22.05" customHeight="1" x14ac:dyDescent="0.3">
      <c r="A9" s="14" t="s">
        <v>95</v>
      </c>
      <c r="B9" s="14" t="s">
        <v>175</v>
      </c>
      <c r="C9" s="14" t="s">
        <v>176</v>
      </c>
      <c r="D9" s="14" t="s">
        <v>174</v>
      </c>
      <c r="E9" s="14" t="s">
        <v>177</v>
      </c>
      <c r="F9" s="14" t="s">
        <v>178</v>
      </c>
      <c r="G9" s="14" t="s">
        <v>179</v>
      </c>
      <c r="H9" s="14" t="s">
        <v>180</v>
      </c>
      <c r="I9" s="1" t="s">
        <v>181</v>
      </c>
      <c r="J9" s="18">
        <f t="shared" ref="J9:U9" si="1">IFERROR(J7/J6,0)</f>
        <v>0.92162162162162165</v>
      </c>
      <c r="K9" s="18">
        <f t="shared" si="1"/>
        <v>1.0538461538461539</v>
      </c>
      <c r="L9" s="18">
        <f t="shared" si="1"/>
        <v>0.94333333333333336</v>
      </c>
      <c r="M9" s="18">
        <f t="shared" si="1"/>
        <v>0.88749999999999996</v>
      </c>
      <c r="N9" s="18">
        <f t="shared" si="1"/>
        <v>1.0859375</v>
      </c>
      <c r="O9" s="18">
        <f t="shared" si="1"/>
        <v>0.93461538461538463</v>
      </c>
      <c r="P9" s="18">
        <f t="shared" si="1"/>
        <v>0</v>
      </c>
      <c r="Q9" s="18">
        <f t="shared" si="1"/>
        <v>0</v>
      </c>
      <c r="R9" s="18">
        <f t="shared" si="1"/>
        <v>0</v>
      </c>
      <c r="S9" s="18">
        <f t="shared" si="1"/>
        <v>0</v>
      </c>
      <c r="T9" s="18">
        <f t="shared" si="1"/>
        <v>0</v>
      </c>
      <c r="U9" s="18">
        <f t="shared" si="1"/>
        <v>0</v>
      </c>
    </row>
    <row r="10" spans="1:21" ht="22.05" customHeight="1" x14ac:dyDescent="0.3">
      <c r="A10" s="12" t="s">
        <v>69</v>
      </c>
      <c r="B10" s="19">
        <f>SUMIFS(Acciones!$M$6:$M$19,Acciones!$C$6:$C$19,$A10)</f>
        <v>4900</v>
      </c>
      <c r="C10" s="19">
        <f>SUMIFS(Acciones!$N$6:$N$19,Acciones!$C$6:$C$19,$A10)</f>
        <v>2550</v>
      </c>
      <c r="D10" s="19">
        <f t="shared" ref="D10:D18" si="2">C10-B10</f>
        <v>-2350</v>
      </c>
      <c r="E10" s="18">
        <f t="shared" ref="E10:E18" si="3">IFERROR(D10/B10,0)</f>
        <v>-0.47959183673469385</v>
      </c>
      <c r="F10" s="19">
        <f t="shared" ref="F10:F17" si="4">C10*$B$6</f>
        <v>535.5</v>
      </c>
      <c r="G10" s="19">
        <f t="shared" ref="G10:G17" si="5">C10+F10</f>
        <v>3085.5</v>
      </c>
      <c r="H10" s="18">
        <f t="shared" ref="H10:H17" si="6">IFERROR(C10/SUM($C$10:$C$17),0)</f>
        <v>0.10946555054732775</v>
      </c>
    </row>
    <row r="11" spans="1:21" ht="22.05" customHeight="1" x14ac:dyDescent="0.3">
      <c r="A11" s="12" t="s">
        <v>74</v>
      </c>
      <c r="B11" s="19">
        <f>SUMIFS(Acciones!$M$6:$M$19,Acciones!$C$6:$C$19,$A11)</f>
        <v>9400</v>
      </c>
      <c r="C11" s="19">
        <f>SUMIFS(Acciones!$N$6:$N$19,Acciones!$C$6:$C$19,$A11)</f>
        <v>5480</v>
      </c>
      <c r="D11" s="19">
        <f t="shared" si="2"/>
        <v>-3920</v>
      </c>
      <c r="E11" s="18">
        <f t="shared" si="3"/>
        <v>-0.41702127659574467</v>
      </c>
      <c r="F11" s="19">
        <f t="shared" si="4"/>
        <v>1150.8</v>
      </c>
      <c r="G11" s="19">
        <f t="shared" si="5"/>
        <v>6630.8</v>
      </c>
      <c r="H11" s="18">
        <f t="shared" si="6"/>
        <v>0.23524361450955142</v>
      </c>
    </row>
    <row r="12" spans="1:21" ht="22.05" customHeight="1" x14ac:dyDescent="0.3">
      <c r="A12" s="12" t="s">
        <v>79</v>
      </c>
      <c r="B12" s="19">
        <f>SUMIFS(Acciones!$M$6:$M$19,Acciones!$C$6:$C$19,$A12)</f>
        <v>6500</v>
      </c>
      <c r="C12" s="19">
        <f>SUMIFS(Acciones!$N$6:$N$19,Acciones!$C$6:$C$19,$A12)</f>
        <v>3380</v>
      </c>
      <c r="D12" s="19">
        <f t="shared" si="2"/>
        <v>-3120</v>
      </c>
      <c r="E12" s="18">
        <f t="shared" si="3"/>
        <v>-0.48</v>
      </c>
      <c r="F12" s="19">
        <f t="shared" si="4"/>
        <v>709.8</v>
      </c>
      <c r="G12" s="19">
        <f t="shared" si="5"/>
        <v>4089.8</v>
      </c>
      <c r="H12" s="18">
        <f t="shared" si="6"/>
        <v>0.14509551405881091</v>
      </c>
    </row>
    <row r="13" spans="1:21" ht="22.05" customHeight="1" x14ac:dyDescent="0.3">
      <c r="A13" s="12" t="s">
        <v>83</v>
      </c>
      <c r="B13" s="19">
        <f>SUMIFS(Acciones!$M$6:$M$19,Acciones!$C$6:$C$19,$A13)</f>
        <v>4250</v>
      </c>
      <c r="C13" s="19">
        <f>SUMIFS(Acciones!$N$6:$N$19,Acciones!$C$6:$C$19,$A13)</f>
        <v>2040</v>
      </c>
      <c r="D13" s="19">
        <f t="shared" si="2"/>
        <v>-2210</v>
      </c>
      <c r="E13" s="18">
        <f t="shared" si="3"/>
        <v>-0.52</v>
      </c>
      <c r="F13" s="19">
        <f t="shared" si="4"/>
        <v>428.4</v>
      </c>
      <c r="G13" s="19">
        <f t="shared" si="5"/>
        <v>2468.4</v>
      </c>
      <c r="H13" s="18">
        <f t="shared" si="6"/>
        <v>8.7572440437862206E-2</v>
      </c>
    </row>
    <row r="14" spans="1:21" ht="22.05" customHeight="1" x14ac:dyDescent="0.3">
      <c r="A14" s="12" t="s">
        <v>86</v>
      </c>
      <c r="B14" s="19">
        <f>SUMIFS(Acciones!$M$6:$M$19,Acciones!$C$6:$C$19,$A14)</f>
        <v>2400</v>
      </c>
      <c r="C14" s="19">
        <f>SUMIFS(Acciones!$N$6:$N$19,Acciones!$C$6:$C$19,$A14)</f>
        <v>2280</v>
      </c>
      <c r="D14" s="19">
        <f t="shared" si="2"/>
        <v>-120</v>
      </c>
      <c r="E14" s="18">
        <f t="shared" si="3"/>
        <v>-0.05</v>
      </c>
      <c r="F14" s="19">
        <f t="shared" si="4"/>
        <v>478.79999999999995</v>
      </c>
      <c r="G14" s="19">
        <f t="shared" si="5"/>
        <v>2758.8</v>
      </c>
      <c r="H14" s="18">
        <f t="shared" si="6"/>
        <v>9.7875080489375405E-2</v>
      </c>
    </row>
    <row r="15" spans="1:21" ht="22.05" customHeight="1" x14ac:dyDescent="0.3">
      <c r="A15" s="12" t="s">
        <v>88</v>
      </c>
      <c r="B15" s="19">
        <f>SUMIFS(Acciones!$M$6:$M$19,Acciones!$C$6:$C$19,$A15)</f>
        <v>1800</v>
      </c>
      <c r="C15" s="19">
        <f>SUMIFS(Acciones!$N$6:$N$19,Acciones!$C$6:$C$19,$A15)</f>
        <v>1660</v>
      </c>
      <c r="D15" s="19">
        <f t="shared" si="2"/>
        <v>-140</v>
      </c>
      <c r="E15" s="18">
        <f t="shared" si="3"/>
        <v>-7.7777777777777779E-2</v>
      </c>
      <c r="F15" s="19">
        <f t="shared" si="4"/>
        <v>348.59999999999997</v>
      </c>
      <c r="G15" s="19">
        <f t="shared" si="5"/>
        <v>2008.6</v>
      </c>
      <c r="H15" s="18">
        <f t="shared" si="6"/>
        <v>7.1259927022966296E-2</v>
      </c>
    </row>
    <row r="16" spans="1:21" ht="22.05" customHeight="1" x14ac:dyDescent="0.3">
      <c r="A16" s="12" t="s">
        <v>89</v>
      </c>
      <c r="B16" s="19">
        <f>SUMIFS(Acciones!$M$6:$M$19,Acciones!$C$6:$C$19,$A16)</f>
        <v>3200</v>
      </c>
      <c r="C16" s="19">
        <f>SUMIFS(Acciones!$N$6:$N$19,Acciones!$C$6:$C$19,$A16)</f>
        <v>3475</v>
      </c>
      <c r="D16" s="19">
        <f t="shared" si="2"/>
        <v>275</v>
      </c>
      <c r="E16" s="18">
        <f t="shared" si="3"/>
        <v>8.59375E-2</v>
      </c>
      <c r="F16" s="19">
        <f t="shared" si="4"/>
        <v>729.75</v>
      </c>
      <c r="G16" s="19">
        <f t="shared" si="5"/>
        <v>4204.75</v>
      </c>
      <c r="H16" s="18">
        <f t="shared" si="6"/>
        <v>0.14917364241253489</v>
      </c>
    </row>
    <row r="17" spans="1:8" ht="22.05" customHeight="1" x14ac:dyDescent="0.3">
      <c r="A17" s="12" t="s">
        <v>90</v>
      </c>
      <c r="B17" s="19">
        <f>SUMIFS(Acciones!$M$6:$M$19,Acciones!$C$6:$C$19,$A17)</f>
        <v>2600</v>
      </c>
      <c r="C17" s="19">
        <f>SUMIFS(Acciones!$N$6:$N$19,Acciones!$C$6:$C$19,$A17)</f>
        <v>2430</v>
      </c>
      <c r="D17" s="19">
        <f t="shared" si="2"/>
        <v>-170</v>
      </c>
      <c r="E17" s="18">
        <f t="shared" si="3"/>
        <v>-6.5384615384615388E-2</v>
      </c>
      <c r="F17" s="19">
        <f t="shared" si="4"/>
        <v>510.29999999999995</v>
      </c>
      <c r="G17" s="19">
        <f t="shared" si="5"/>
        <v>2940.3</v>
      </c>
      <c r="H17" s="18">
        <f t="shared" si="6"/>
        <v>0.10431423052157116</v>
      </c>
    </row>
    <row r="18" spans="1:8" ht="22.05" customHeight="1" x14ac:dyDescent="0.3">
      <c r="A18" s="22" t="s">
        <v>182</v>
      </c>
      <c r="B18" s="28">
        <f>SUM(B10:B17)</f>
        <v>35050</v>
      </c>
      <c r="C18" s="28">
        <f>SUM(C10:C17)</f>
        <v>23295</v>
      </c>
      <c r="D18" s="28">
        <f t="shared" si="2"/>
        <v>-11755</v>
      </c>
      <c r="E18" s="29">
        <f t="shared" si="3"/>
        <v>-0.33537803138373751</v>
      </c>
      <c r="F18" s="28">
        <f>SUM(F10:F17)</f>
        <v>4891.95</v>
      </c>
      <c r="G18" s="28">
        <f>SUM(G10:G17)</f>
        <v>28186.949999999997</v>
      </c>
      <c r="H18" s="29">
        <f>IFERROR(C18/C18,1)</f>
        <v>1</v>
      </c>
    </row>
  </sheetData>
  <mergeCells count="5">
    <mergeCell ref="A4:C4"/>
    <mergeCell ref="A2:U2"/>
    <mergeCell ref="A1:U1"/>
    <mergeCell ref="J4:U4"/>
    <mergeCell ref="A8:H8"/>
  </mergeCells>
  <conditionalFormatting sqref="E10:E17">
    <cfRule type="cellIs" dxfId="8" priority="1" operator="lessThan">
      <formula>-0.05</formula>
    </cfRule>
    <cfRule type="cellIs" dxfId="7" priority="2" operator="between">
      <formula>-0.05</formula>
      <formula>0.05</formula>
    </cfRule>
    <cfRule type="cellIs" dxfId="6" priority="3" operator="greaterThan">
      <formula>0.05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6"/>
  <sheetViews>
    <sheetView showGridLines="0" tabSelected="1" workbookViewId="0">
      <selection activeCell="P12" sqref="P12"/>
    </sheetView>
  </sheetViews>
  <sheetFormatPr baseColWidth="10" defaultColWidth="8.88671875" defaultRowHeight="14.4" x14ac:dyDescent="0.3"/>
  <cols>
    <col min="1" max="1" width="16" customWidth="1"/>
    <col min="2" max="3" width="13" customWidth="1"/>
    <col min="4" max="4" width="12" customWidth="1"/>
    <col min="5" max="5" width="15.88671875" bestFit="1" customWidth="1"/>
    <col min="6" max="6" width="13" customWidth="1"/>
    <col min="7" max="7" width="12" customWidth="1"/>
    <col min="8" max="8" width="13" customWidth="1"/>
    <col min="9" max="9" width="15" customWidth="1"/>
    <col min="10" max="12" width="11" customWidth="1"/>
    <col min="13" max="13" width="14" customWidth="1"/>
  </cols>
  <sheetData>
    <row r="1" spans="1:13" ht="22.05" customHeight="1" x14ac:dyDescent="0.5">
      <c r="A1" s="59" t="s">
        <v>183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1"/>
    </row>
    <row r="2" spans="1:13" ht="22.05" customHeight="1" x14ac:dyDescent="0.3">
      <c r="A2" s="40" t="s">
        <v>184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ht="22.05" customHeight="1" x14ac:dyDescent="0.3"/>
    <row r="4" spans="1:13" ht="22.05" customHeight="1" x14ac:dyDescent="0.3">
      <c r="A4" s="3" t="s">
        <v>185</v>
      </c>
      <c r="B4" s="3" t="s">
        <v>7</v>
      </c>
      <c r="C4" s="3" t="s">
        <v>186</v>
      </c>
      <c r="D4" s="3" t="s">
        <v>8</v>
      </c>
      <c r="E4" s="3" t="s">
        <v>9</v>
      </c>
      <c r="F4" s="3" t="s">
        <v>187</v>
      </c>
    </row>
    <row r="5" spans="1:13" ht="22.05" customHeight="1" x14ac:dyDescent="0.3">
      <c r="A5" s="6">
        <f>SUM(B10:B17)</f>
        <v>2880</v>
      </c>
      <c r="B5" s="6">
        <f>SUM(C10:C17)</f>
        <v>2664</v>
      </c>
      <c r="C5" s="6">
        <f>SUM(E10:E17)</f>
        <v>356</v>
      </c>
      <c r="D5" s="6">
        <f>SUM(F10:F17)</f>
        <v>297</v>
      </c>
      <c r="E5" s="5">
        <f>SUM(I10:I17)</f>
        <v>99880</v>
      </c>
      <c r="F5" s="7">
        <f>IFERROR(E5/SUM(H10:H17),0)</f>
        <v>4.2876153681047438</v>
      </c>
    </row>
    <row r="6" spans="1:13" ht="22.05" customHeight="1" x14ac:dyDescent="0.3"/>
    <row r="7" spans="1:13" ht="22.05" customHeight="1" x14ac:dyDescent="0.3"/>
    <row r="8" spans="1:13" ht="22.05" customHeight="1" x14ac:dyDescent="0.3">
      <c r="A8" s="38" t="s">
        <v>188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5"/>
    </row>
    <row r="9" spans="1:13" ht="22.05" customHeight="1" x14ac:dyDescent="0.3">
      <c r="A9" s="14" t="s">
        <v>95</v>
      </c>
      <c r="B9" s="14" t="s">
        <v>189</v>
      </c>
      <c r="C9" s="14" t="s">
        <v>190</v>
      </c>
      <c r="D9" s="14" t="s">
        <v>15</v>
      </c>
      <c r="E9" s="14" t="s">
        <v>191</v>
      </c>
      <c r="F9" s="14" t="s">
        <v>192</v>
      </c>
      <c r="G9" s="14" t="s">
        <v>16</v>
      </c>
      <c r="H9" s="14" t="s">
        <v>6</v>
      </c>
      <c r="I9" s="14" t="s">
        <v>193</v>
      </c>
      <c r="J9" s="14" t="s">
        <v>55</v>
      </c>
      <c r="K9" s="14" t="s">
        <v>194</v>
      </c>
      <c r="L9" s="14" t="s">
        <v>195</v>
      </c>
      <c r="M9" s="14" t="s">
        <v>102</v>
      </c>
    </row>
    <row r="10" spans="1:13" ht="22.05" customHeight="1" x14ac:dyDescent="0.3">
      <c r="A10" s="12" t="s">
        <v>69</v>
      </c>
      <c r="B10" s="2">
        <v>420</v>
      </c>
      <c r="C10" s="17">
        <f>SUMIFS(Acciones!$P$6:$P$19,Acciones!$C$6:$C$19,$A10)</f>
        <v>240</v>
      </c>
      <c r="D10" s="18">
        <f t="shared" ref="D10:D18" si="0">IFERROR(C10/B10,0)</f>
        <v>0.5714285714285714</v>
      </c>
      <c r="E10" s="2">
        <v>30</v>
      </c>
      <c r="F10" s="17">
        <f>SUMIFS(Acciones!$R$6:$R$19,Acciones!$C$6:$C$19,$A10)</f>
        <v>16</v>
      </c>
      <c r="G10" s="18">
        <f t="shared" ref="G10:G18" si="1">IFERROR(F10/E10,0)</f>
        <v>0.53333333333333333</v>
      </c>
      <c r="H10" s="19">
        <f>SUMIFS(Acciones!$N$6:$N$19,Acciones!$C$6:$C$19,$A10)</f>
        <v>2550</v>
      </c>
      <c r="I10" s="19">
        <f>SUMIFS(Acciones!$T$6:$T$19,Acciones!$C$6:$C$19,$A10)</f>
        <v>5440</v>
      </c>
      <c r="J10" s="20">
        <f t="shared" ref="J10:J18" si="2">IFERROR(I10/H10,0)</f>
        <v>2.1333333333333333</v>
      </c>
      <c r="K10" s="19">
        <f t="shared" ref="K10:K18" si="3">IFERROR(H10/C10,0)</f>
        <v>10.625</v>
      </c>
      <c r="L10" s="19">
        <f t="shared" ref="L10:L18" si="4">IFERROR(H10/F10,0)</f>
        <v>159.375</v>
      </c>
      <c r="M10" s="17" t="str">
        <f t="shared" ref="M10:M18" si="5">IF(AND(D10&gt;=1,G10&gt;=1),"En objetivo",IF(OR(D10&gt;=0.85,G10&gt;=0.85),"Ajustar","Crítico"))</f>
        <v>Crítico</v>
      </c>
    </row>
    <row r="11" spans="1:13" ht="22.05" customHeight="1" x14ac:dyDescent="0.3">
      <c r="A11" s="12" t="s">
        <v>74</v>
      </c>
      <c r="B11" s="2">
        <v>430</v>
      </c>
      <c r="C11" s="17">
        <f>SUMIFS(Acciones!$P$6:$P$19,Acciones!$C$6:$C$19,$A11)</f>
        <v>398</v>
      </c>
      <c r="D11" s="18">
        <f t="shared" si="0"/>
        <v>0.92558139534883721</v>
      </c>
      <c r="E11" s="2">
        <v>82</v>
      </c>
      <c r="F11" s="17">
        <f>SUMIFS(Acciones!$R$6:$R$19,Acciones!$C$6:$C$19,$A11)</f>
        <v>71</v>
      </c>
      <c r="G11" s="18">
        <f t="shared" si="1"/>
        <v>0.86585365853658536</v>
      </c>
      <c r="H11" s="19">
        <f>SUMIFS(Acciones!$N$6:$N$19,Acciones!$C$6:$C$19,$A11)</f>
        <v>5480</v>
      </c>
      <c r="I11" s="19">
        <f>SUMIFS(Acciones!$T$6:$T$19,Acciones!$C$6:$C$19,$A11)</f>
        <v>24140</v>
      </c>
      <c r="J11" s="20">
        <f t="shared" si="2"/>
        <v>4.4051094890510951</v>
      </c>
      <c r="K11" s="19">
        <f t="shared" si="3"/>
        <v>13.768844221105528</v>
      </c>
      <c r="L11" s="19">
        <f t="shared" si="4"/>
        <v>77.183098591549296</v>
      </c>
      <c r="M11" s="17" t="str">
        <f t="shared" si="5"/>
        <v>Ajustar</v>
      </c>
    </row>
    <row r="12" spans="1:13" ht="22.05" customHeight="1" x14ac:dyDescent="0.3">
      <c r="A12" s="12" t="s">
        <v>79</v>
      </c>
      <c r="B12" s="2">
        <v>650</v>
      </c>
      <c r="C12" s="17">
        <f>SUMIFS(Acciones!$P$6:$P$19,Acciones!$C$6:$C$19,$A12)</f>
        <v>590</v>
      </c>
      <c r="D12" s="18">
        <f t="shared" si="0"/>
        <v>0.90769230769230769</v>
      </c>
      <c r="E12" s="2">
        <v>32</v>
      </c>
      <c r="F12" s="17">
        <f>SUMIFS(Acciones!$R$6:$R$19,Acciones!$C$6:$C$19,$A12)</f>
        <v>24</v>
      </c>
      <c r="G12" s="18">
        <f t="shared" si="1"/>
        <v>0.75</v>
      </c>
      <c r="H12" s="19">
        <f>SUMIFS(Acciones!$N$6:$N$19,Acciones!$C$6:$C$19,$A12)</f>
        <v>3380</v>
      </c>
      <c r="I12" s="19">
        <f>SUMIFS(Acciones!$T$6:$T$19,Acciones!$C$6:$C$19,$A12)</f>
        <v>8160</v>
      </c>
      <c r="J12" s="20">
        <f t="shared" si="2"/>
        <v>2.4142011834319526</v>
      </c>
      <c r="K12" s="19">
        <f t="shared" si="3"/>
        <v>5.7288135593220337</v>
      </c>
      <c r="L12" s="19">
        <f t="shared" si="4"/>
        <v>140.83333333333334</v>
      </c>
      <c r="M12" s="17" t="str">
        <f t="shared" si="5"/>
        <v>Ajustar</v>
      </c>
    </row>
    <row r="13" spans="1:13" ht="22.05" customHeight="1" x14ac:dyDescent="0.3">
      <c r="A13" s="12" t="s">
        <v>83</v>
      </c>
      <c r="B13" s="2">
        <v>700</v>
      </c>
      <c r="C13" s="17">
        <f>SUMIFS(Acciones!$P$6:$P$19,Acciones!$C$6:$C$19,$A13)</f>
        <v>754</v>
      </c>
      <c r="D13" s="18">
        <f t="shared" si="0"/>
        <v>1.0771428571428572</v>
      </c>
      <c r="E13" s="2">
        <v>84</v>
      </c>
      <c r="F13" s="17">
        <f>SUMIFS(Acciones!$R$6:$R$19,Acciones!$C$6:$C$19,$A13)</f>
        <v>69</v>
      </c>
      <c r="G13" s="18">
        <f t="shared" si="1"/>
        <v>0.8214285714285714</v>
      </c>
      <c r="H13" s="19">
        <f>SUMIFS(Acciones!$N$6:$N$19,Acciones!$C$6:$C$19,$A13)</f>
        <v>2040</v>
      </c>
      <c r="I13" s="19">
        <f>SUMIFS(Acciones!$T$6:$T$19,Acciones!$C$6:$C$19,$A13)</f>
        <v>23460</v>
      </c>
      <c r="J13" s="20">
        <f t="shared" si="2"/>
        <v>11.5</v>
      </c>
      <c r="K13" s="19">
        <f t="shared" si="3"/>
        <v>2.7055702917771884</v>
      </c>
      <c r="L13" s="19">
        <f t="shared" si="4"/>
        <v>29.565217391304348</v>
      </c>
      <c r="M13" s="17" t="str">
        <f t="shared" si="5"/>
        <v>Ajustar</v>
      </c>
    </row>
    <row r="14" spans="1:13" ht="22.05" customHeight="1" x14ac:dyDescent="0.3">
      <c r="A14" s="12" t="s">
        <v>86</v>
      </c>
      <c r="B14" s="2">
        <v>180</v>
      </c>
      <c r="C14" s="17">
        <f>SUMIFS(Acciones!$P$6:$P$19,Acciones!$C$6:$C$19,$A14)</f>
        <v>210</v>
      </c>
      <c r="D14" s="18">
        <f t="shared" si="0"/>
        <v>1.1666666666666667</v>
      </c>
      <c r="E14" s="2">
        <v>18</v>
      </c>
      <c r="F14" s="17">
        <f>SUMIFS(Acciones!$R$6:$R$19,Acciones!$C$6:$C$19,$A14)</f>
        <v>18</v>
      </c>
      <c r="G14" s="18">
        <f t="shared" si="1"/>
        <v>1</v>
      </c>
      <c r="H14" s="19">
        <f>SUMIFS(Acciones!$N$6:$N$19,Acciones!$C$6:$C$19,$A14)</f>
        <v>2280</v>
      </c>
      <c r="I14" s="19">
        <f>SUMIFS(Acciones!$T$6:$T$19,Acciones!$C$6:$C$19,$A14)</f>
        <v>6120</v>
      </c>
      <c r="J14" s="20">
        <f t="shared" si="2"/>
        <v>2.6842105263157894</v>
      </c>
      <c r="K14" s="19">
        <f t="shared" si="3"/>
        <v>10.857142857142858</v>
      </c>
      <c r="L14" s="19">
        <f t="shared" si="4"/>
        <v>126.66666666666667</v>
      </c>
      <c r="M14" s="17" t="str">
        <f t="shared" si="5"/>
        <v>En objetivo</v>
      </c>
    </row>
    <row r="15" spans="1:13" ht="22.05" customHeight="1" x14ac:dyDescent="0.3">
      <c r="A15" s="12" t="s">
        <v>88</v>
      </c>
      <c r="B15" s="2">
        <v>100</v>
      </c>
      <c r="C15" s="17">
        <f>SUMIFS(Acciones!$P$6:$P$19,Acciones!$C$6:$C$19,$A15)</f>
        <v>104</v>
      </c>
      <c r="D15" s="18">
        <f t="shared" si="0"/>
        <v>1.04</v>
      </c>
      <c r="E15" s="2">
        <v>12</v>
      </c>
      <c r="F15" s="17">
        <f>SUMIFS(Acciones!$R$6:$R$19,Acciones!$C$6:$C$19,$A15)</f>
        <v>11</v>
      </c>
      <c r="G15" s="18">
        <f t="shared" si="1"/>
        <v>0.91666666666666663</v>
      </c>
      <c r="H15" s="19">
        <f>SUMIFS(Acciones!$N$6:$N$19,Acciones!$C$6:$C$19,$A15)</f>
        <v>1660</v>
      </c>
      <c r="I15" s="19">
        <f>SUMIFS(Acciones!$T$6:$T$19,Acciones!$C$6:$C$19,$A15)</f>
        <v>2640</v>
      </c>
      <c r="J15" s="20">
        <f t="shared" si="2"/>
        <v>1.5903614457831325</v>
      </c>
      <c r="K15" s="19">
        <f t="shared" si="3"/>
        <v>15.961538461538462</v>
      </c>
      <c r="L15" s="19">
        <f t="shared" si="4"/>
        <v>150.90909090909091</v>
      </c>
      <c r="M15" s="17" t="str">
        <f t="shared" si="5"/>
        <v>Ajustar</v>
      </c>
    </row>
    <row r="16" spans="1:13" ht="22.05" customHeight="1" x14ac:dyDescent="0.3">
      <c r="A16" s="12" t="s">
        <v>89</v>
      </c>
      <c r="B16" s="2">
        <v>210</v>
      </c>
      <c r="C16" s="17">
        <f>SUMIFS(Acciones!$P$6:$P$19,Acciones!$C$6:$C$19,$A16)</f>
        <v>196</v>
      </c>
      <c r="D16" s="18">
        <f t="shared" si="0"/>
        <v>0.93333333333333335</v>
      </c>
      <c r="E16" s="2">
        <v>52</v>
      </c>
      <c r="F16" s="17">
        <f>SUMIFS(Acciones!$R$6:$R$19,Acciones!$C$6:$C$19,$A16)</f>
        <v>49</v>
      </c>
      <c r="G16" s="18">
        <f t="shared" si="1"/>
        <v>0.94230769230769229</v>
      </c>
      <c r="H16" s="19">
        <f>SUMIFS(Acciones!$N$6:$N$19,Acciones!$C$6:$C$19,$A16)</f>
        <v>3475</v>
      </c>
      <c r="I16" s="19">
        <f>SUMIFS(Acciones!$T$6:$T$19,Acciones!$C$6:$C$19,$A16)</f>
        <v>16660</v>
      </c>
      <c r="J16" s="20">
        <f t="shared" si="2"/>
        <v>4.794244604316547</v>
      </c>
      <c r="K16" s="19">
        <f t="shared" si="3"/>
        <v>17.729591836734695</v>
      </c>
      <c r="L16" s="19">
        <f t="shared" si="4"/>
        <v>70.91836734693878</v>
      </c>
      <c r="M16" s="17" t="str">
        <f t="shared" si="5"/>
        <v>Ajustar</v>
      </c>
    </row>
    <row r="17" spans="1:13" ht="22.05" customHeight="1" x14ac:dyDescent="0.3">
      <c r="A17" s="12" t="s">
        <v>90</v>
      </c>
      <c r="B17" s="2">
        <v>190</v>
      </c>
      <c r="C17" s="17">
        <f>SUMIFS(Acciones!$P$6:$P$19,Acciones!$C$6:$C$19,$A17)</f>
        <v>172</v>
      </c>
      <c r="D17" s="18">
        <f t="shared" si="0"/>
        <v>0.90526315789473688</v>
      </c>
      <c r="E17" s="2">
        <v>46</v>
      </c>
      <c r="F17" s="17">
        <f>SUMIFS(Acciones!$R$6:$R$19,Acciones!$C$6:$C$19,$A17)</f>
        <v>39</v>
      </c>
      <c r="G17" s="18">
        <f t="shared" si="1"/>
        <v>0.84782608695652173</v>
      </c>
      <c r="H17" s="19">
        <f>SUMIFS(Acciones!$N$6:$N$19,Acciones!$C$6:$C$19,$A17)</f>
        <v>2430</v>
      </c>
      <c r="I17" s="19">
        <f>SUMIFS(Acciones!$T$6:$T$19,Acciones!$C$6:$C$19,$A17)</f>
        <v>13260</v>
      </c>
      <c r="J17" s="20">
        <f t="shared" si="2"/>
        <v>5.4567901234567904</v>
      </c>
      <c r="K17" s="19">
        <f t="shared" si="3"/>
        <v>14.127906976744185</v>
      </c>
      <c r="L17" s="19">
        <f t="shared" si="4"/>
        <v>62.307692307692307</v>
      </c>
      <c r="M17" s="17" t="str">
        <f t="shared" si="5"/>
        <v>Ajustar</v>
      </c>
    </row>
    <row r="18" spans="1:13" ht="22.05" customHeight="1" x14ac:dyDescent="0.3">
      <c r="A18" s="22" t="s">
        <v>182</v>
      </c>
      <c r="B18" s="30">
        <f>SUM(B10:B17)</f>
        <v>2880</v>
      </c>
      <c r="C18" s="30">
        <f>SUM(C10:C17)</f>
        <v>2664</v>
      </c>
      <c r="D18" s="29">
        <f t="shared" si="0"/>
        <v>0.92500000000000004</v>
      </c>
      <c r="E18" s="30">
        <f>SUM(E10:E17)</f>
        <v>356</v>
      </c>
      <c r="F18" s="30">
        <f>SUM(F10:F17)</f>
        <v>297</v>
      </c>
      <c r="G18" s="29">
        <f t="shared" si="1"/>
        <v>0.8342696629213483</v>
      </c>
      <c r="H18" s="28">
        <f>SUM(H10:H17)</f>
        <v>23295</v>
      </c>
      <c r="I18" s="28">
        <f>SUM(I10:I17)</f>
        <v>99880</v>
      </c>
      <c r="J18" s="31">
        <f t="shared" si="2"/>
        <v>4.2876153681047438</v>
      </c>
      <c r="K18" s="28">
        <f t="shared" si="3"/>
        <v>8.7443693693693696</v>
      </c>
      <c r="L18" s="28">
        <f t="shared" si="4"/>
        <v>78.434343434343432</v>
      </c>
      <c r="M18" s="32" t="str">
        <f t="shared" si="5"/>
        <v>Ajustar</v>
      </c>
    </row>
    <row r="19" spans="1:13" ht="22.05" customHeight="1" x14ac:dyDescent="0.3"/>
    <row r="20" spans="1:13" ht="22.05" customHeight="1" x14ac:dyDescent="0.3"/>
    <row r="21" spans="1:13" ht="22.05" customHeight="1" x14ac:dyDescent="0.3">
      <c r="A21" s="39" t="s">
        <v>196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5"/>
    </row>
    <row r="22" spans="1:13" ht="22.05" customHeight="1" x14ac:dyDescent="0.3">
      <c r="B22" s="27">
        <v>46023</v>
      </c>
      <c r="C22" s="27">
        <v>46054</v>
      </c>
      <c r="D22" s="27">
        <v>46082</v>
      </c>
      <c r="E22" s="27">
        <v>46113</v>
      </c>
      <c r="F22" s="27">
        <v>46143</v>
      </c>
      <c r="G22" s="27">
        <v>46174</v>
      </c>
      <c r="H22" s="27">
        <v>46204</v>
      </c>
      <c r="I22" s="27">
        <v>46235</v>
      </c>
      <c r="J22" s="27">
        <v>46266</v>
      </c>
      <c r="K22" s="27">
        <v>46296</v>
      </c>
      <c r="L22" s="27">
        <v>46327</v>
      </c>
      <c r="M22" s="27">
        <v>46357</v>
      </c>
    </row>
    <row r="23" spans="1:13" ht="22.05" customHeight="1" x14ac:dyDescent="0.3">
      <c r="A23" s="1" t="s">
        <v>6</v>
      </c>
      <c r="B23" s="19">
        <f>SUMIFS(Acciones!$N$6:$N$19,Acciones!$H$6:$H$19,"&gt;="&amp;DATE(Resumen!$C$5,1,1),Acciones!$H$6:$H$19,"&lt;"&amp;EOMONTH(DATE(Resumen!$C$5,1,1),0)+1)</f>
        <v>3410</v>
      </c>
      <c r="C23" s="19">
        <f>SUMIFS(Acciones!$N$6:$N$19,Acciones!$H$6:$H$19,"&gt;="&amp;DATE(Resumen!$C$5,2,1),Acciones!$H$6:$H$19,"&lt;"&amp;EOMONTH(DATE(Resumen!$C$5,2,1),0)+1)</f>
        <v>5480</v>
      </c>
      <c r="D23" s="19">
        <f>SUMIFS(Acciones!$N$6:$N$19,Acciones!$H$6:$H$19,"&gt;="&amp;DATE(Resumen!$C$5,3,1),Acciones!$H$6:$H$19,"&lt;"&amp;EOMONTH(DATE(Resumen!$C$5,3,1),0)+1)</f>
        <v>5660</v>
      </c>
      <c r="E23" s="19">
        <f>SUMIFS(Acciones!$N$6:$N$19,Acciones!$H$6:$H$19,"&gt;="&amp;DATE(Resumen!$C$5,4,1),Acciones!$H$6:$H$19,"&lt;"&amp;EOMONTH(DATE(Resumen!$C$5,4,1),0)+1)</f>
        <v>2840</v>
      </c>
      <c r="F23" s="19">
        <f>SUMIFS(Acciones!$N$6:$N$19,Acciones!$H$6:$H$19,"&gt;="&amp;DATE(Resumen!$C$5,5,1),Acciones!$H$6:$H$19,"&lt;"&amp;EOMONTH(DATE(Resumen!$C$5,5,1),0)+1)</f>
        <v>3475</v>
      </c>
      <c r="G23" s="19">
        <f>SUMIFS(Acciones!$N$6:$N$19,Acciones!$H$6:$H$19,"&gt;="&amp;DATE(Resumen!$C$5,6,1),Acciones!$H$6:$H$19,"&lt;"&amp;EOMONTH(DATE(Resumen!$C$5,6,1),0)+1)</f>
        <v>2430</v>
      </c>
      <c r="H23" s="19">
        <f>SUMIFS(Acciones!$N$6:$N$19,Acciones!$H$6:$H$19,"&gt;="&amp;DATE(Resumen!$C$5,7,1),Acciones!$H$6:$H$19,"&lt;"&amp;EOMONTH(DATE(Resumen!$C$5,7,1),0)+1)</f>
        <v>0</v>
      </c>
      <c r="I23" s="19">
        <f>SUMIFS(Acciones!$N$6:$N$19,Acciones!$H$6:$H$19,"&gt;="&amp;DATE(Resumen!$C$5,8,1),Acciones!$H$6:$H$19,"&lt;"&amp;EOMONTH(DATE(Resumen!$C$5,8,1),0)+1)</f>
        <v>0</v>
      </c>
      <c r="J23" s="19">
        <f>SUMIFS(Acciones!$N$6:$N$19,Acciones!$H$6:$H$19,"&gt;="&amp;DATE(Resumen!$C$5,9,1),Acciones!$H$6:$H$19,"&lt;"&amp;EOMONTH(DATE(Resumen!$C$5,9,1),0)+1)</f>
        <v>0</v>
      </c>
      <c r="K23" s="19">
        <f>SUMIFS(Acciones!$N$6:$N$19,Acciones!$H$6:$H$19,"&gt;="&amp;DATE(Resumen!$C$5,10,1),Acciones!$H$6:$H$19,"&lt;"&amp;EOMONTH(DATE(Resumen!$C$5,10,1),0)+1)</f>
        <v>0</v>
      </c>
      <c r="L23" s="19">
        <f>SUMIFS(Acciones!$N$6:$N$19,Acciones!$H$6:$H$19,"&gt;="&amp;DATE(Resumen!$C$5,11,1),Acciones!$H$6:$H$19,"&lt;"&amp;EOMONTH(DATE(Resumen!$C$5,11,1),0)+1)</f>
        <v>0</v>
      </c>
      <c r="M23" s="19">
        <f>SUMIFS(Acciones!$N$6:$N$19,Acciones!$H$6:$H$19,"&gt;="&amp;DATE(Resumen!$C$5,12,1),Acciones!$H$6:$H$19,"&lt;"&amp;EOMONTH(DATE(Resumen!$C$5,12,1),0)+1)</f>
        <v>0</v>
      </c>
    </row>
    <row r="24" spans="1:13" ht="22.05" customHeight="1" x14ac:dyDescent="0.3">
      <c r="A24" s="1" t="s">
        <v>7</v>
      </c>
      <c r="B24" s="21">
        <f>SUMIFS(Acciones!$P$6:$P$19,Acciones!$H$6:$H$19,"&gt;="&amp;DATE(Resumen!$C$5,1,1),Acciones!$H$6:$H$19,"&lt;"&amp;EOMONTH(DATE(Resumen!$C$5,1,1),0)+1)</f>
        <v>850</v>
      </c>
      <c r="C24" s="21">
        <f>SUMIFS(Acciones!$P$6:$P$19,Acciones!$H$6:$H$19,"&gt;="&amp;DATE(Resumen!$C$5,2,1),Acciones!$H$6:$H$19,"&lt;"&amp;EOMONTH(DATE(Resumen!$C$5,2,1),0)+1)</f>
        <v>398</v>
      </c>
      <c r="D24" s="21">
        <f>SUMIFS(Acciones!$P$6:$P$19,Acciones!$H$6:$H$19,"&gt;="&amp;DATE(Resumen!$C$5,3,1),Acciones!$H$6:$H$19,"&lt;"&amp;EOMONTH(DATE(Resumen!$C$5,3,1),0)+1)</f>
        <v>800</v>
      </c>
      <c r="E24" s="21">
        <f>SUMIFS(Acciones!$P$6:$P$19,Acciones!$H$6:$H$19,"&gt;="&amp;DATE(Resumen!$C$5,4,1),Acciones!$H$6:$H$19,"&lt;"&amp;EOMONTH(DATE(Resumen!$C$5,4,1),0)+1)</f>
        <v>248</v>
      </c>
      <c r="F24" s="21">
        <f>SUMIFS(Acciones!$P$6:$P$19,Acciones!$H$6:$H$19,"&gt;="&amp;DATE(Resumen!$C$5,5,1),Acciones!$H$6:$H$19,"&lt;"&amp;EOMONTH(DATE(Resumen!$C$5,5,1),0)+1)</f>
        <v>196</v>
      </c>
      <c r="G24" s="21">
        <f>SUMIFS(Acciones!$P$6:$P$19,Acciones!$H$6:$H$19,"&gt;="&amp;DATE(Resumen!$C$5,6,1),Acciones!$H$6:$H$19,"&lt;"&amp;EOMONTH(DATE(Resumen!$C$5,6,1),0)+1)</f>
        <v>172</v>
      </c>
      <c r="H24" s="21">
        <f>SUMIFS(Acciones!$P$6:$P$19,Acciones!$H$6:$H$19,"&gt;="&amp;DATE(Resumen!$C$5,7,1),Acciones!$H$6:$H$19,"&lt;"&amp;EOMONTH(DATE(Resumen!$C$5,7,1),0)+1)</f>
        <v>0</v>
      </c>
      <c r="I24" s="21">
        <f>SUMIFS(Acciones!$P$6:$P$19,Acciones!$H$6:$H$19,"&gt;="&amp;DATE(Resumen!$C$5,8,1),Acciones!$H$6:$H$19,"&lt;"&amp;EOMONTH(DATE(Resumen!$C$5,8,1),0)+1)</f>
        <v>0</v>
      </c>
      <c r="J24" s="21">
        <f>SUMIFS(Acciones!$P$6:$P$19,Acciones!$H$6:$H$19,"&gt;="&amp;DATE(Resumen!$C$5,9,1),Acciones!$H$6:$H$19,"&lt;"&amp;EOMONTH(DATE(Resumen!$C$5,9,1),0)+1)</f>
        <v>0</v>
      </c>
      <c r="K24" s="21">
        <f>SUMIFS(Acciones!$P$6:$P$19,Acciones!$H$6:$H$19,"&gt;="&amp;DATE(Resumen!$C$5,10,1),Acciones!$H$6:$H$19,"&lt;"&amp;EOMONTH(DATE(Resumen!$C$5,10,1),0)+1)</f>
        <v>0</v>
      </c>
      <c r="L24" s="21">
        <f>SUMIFS(Acciones!$P$6:$P$19,Acciones!$H$6:$H$19,"&gt;="&amp;DATE(Resumen!$C$5,11,1),Acciones!$H$6:$H$19,"&lt;"&amp;EOMONTH(DATE(Resumen!$C$5,11,1),0)+1)</f>
        <v>0</v>
      </c>
      <c r="M24" s="21">
        <f>SUMIFS(Acciones!$P$6:$P$19,Acciones!$H$6:$H$19,"&gt;="&amp;DATE(Resumen!$C$5,12,1),Acciones!$H$6:$H$19,"&lt;"&amp;EOMONTH(DATE(Resumen!$C$5,12,1),0)+1)</f>
        <v>0</v>
      </c>
    </row>
    <row r="25" spans="1:13" ht="22.05" customHeight="1" x14ac:dyDescent="0.3">
      <c r="A25" s="1" t="s">
        <v>8</v>
      </c>
      <c r="B25" s="21">
        <f>SUMIFS(Acciones!$R$6:$R$19,Acciones!$H$6:$H$19,"&gt;="&amp;DATE(Resumen!$C$5,1,1),Acciones!$H$6:$H$19,"&lt;"&amp;EOMONTH(DATE(Resumen!$C$5,1,1),0)+1)</f>
        <v>44</v>
      </c>
      <c r="C25" s="21">
        <f>SUMIFS(Acciones!$R$6:$R$19,Acciones!$H$6:$H$19,"&gt;="&amp;DATE(Resumen!$C$5,2,1),Acciones!$H$6:$H$19,"&lt;"&amp;EOMONTH(DATE(Resumen!$C$5,2,1),0)+1)</f>
        <v>71</v>
      </c>
      <c r="D25" s="21">
        <f>SUMIFS(Acciones!$R$6:$R$19,Acciones!$H$6:$H$19,"&gt;="&amp;DATE(Resumen!$C$5,3,1),Acciones!$H$6:$H$19,"&lt;"&amp;EOMONTH(DATE(Resumen!$C$5,3,1),0)+1)</f>
        <v>42</v>
      </c>
      <c r="E25" s="21">
        <f>SUMIFS(Acciones!$R$6:$R$19,Acciones!$H$6:$H$19,"&gt;="&amp;DATE(Resumen!$C$5,4,1),Acciones!$H$6:$H$19,"&lt;"&amp;EOMONTH(DATE(Resumen!$C$5,4,1),0)+1)</f>
        <v>52</v>
      </c>
      <c r="F25" s="21">
        <f>SUMIFS(Acciones!$R$6:$R$19,Acciones!$H$6:$H$19,"&gt;="&amp;DATE(Resumen!$C$5,5,1),Acciones!$H$6:$H$19,"&lt;"&amp;EOMONTH(DATE(Resumen!$C$5,5,1),0)+1)</f>
        <v>49</v>
      </c>
      <c r="G25" s="21">
        <f>SUMIFS(Acciones!$R$6:$R$19,Acciones!$H$6:$H$19,"&gt;="&amp;DATE(Resumen!$C$5,6,1),Acciones!$H$6:$H$19,"&lt;"&amp;EOMONTH(DATE(Resumen!$C$5,6,1),0)+1)</f>
        <v>39</v>
      </c>
      <c r="H25" s="21">
        <f>SUMIFS(Acciones!$R$6:$R$19,Acciones!$H$6:$H$19,"&gt;="&amp;DATE(Resumen!$C$5,7,1),Acciones!$H$6:$H$19,"&lt;"&amp;EOMONTH(DATE(Resumen!$C$5,7,1),0)+1)</f>
        <v>0</v>
      </c>
      <c r="I25" s="21">
        <f>SUMIFS(Acciones!$R$6:$R$19,Acciones!$H$6:$H$19,"&gt;="&amp;DATE(Resumen!$C$5,8,1),Acciones!$H$6:$H$19,"&lt;"&amp;EOMONTH(DATE(Resumen!$C$5,8,1),0)+1)</f>
        <v>0</v>
      </c>
      <c r="J25" s="21">
        <f>SUMIFS(Acciones!$R$6:$R$19,Acciones!$H$6:$H$19,"&gt;="&amp;DATE(Resumen!$C$5,9,1),Acciones!$H$6:$H$19,"&lt;"&amp;EOMONTH(DATE(Resumen!$C$5,9,1),0)+1)</f>
        <v>0</v>
      </c>
      <c r="K25" s="21">
        <f>SUMIFS(Acciones!$R$6:$R$19,Acciones!$H$6:$H$19,"&gt;="&amp;DATE(Resumen!$C$5,10,1),Acciones!$H$6:$H$19,"&lt;"&amp;EOMONTH(DATE(Resumen!$C$5,10,1),0)+1)</f>
        <v>0</v>
      </c>
      <c r="L25" s="21">
        <f>SUMIFS(Acciones!$R$6:$R$19,Acciones!$H$6:$H$19,"&gt;="&amp;DATE(Resumen!$C$5,11,1),Acciones!$H$6:$H$19,"&lt;"&amp;EOMONTH(DATE(Resumen!$C$5,11,1),0)+1)</f>
        <v>0</v>
      </c>
      <c r="M25" s="21">
        <f>SUMIFS(Acciones!$R$6:$R$19,Acciones!$H$6:$H$19,"&gt;="&amp;DATE(Resumen!$C$5,12,1),Acciones!$H$6:$H$19,"&lt;"&amp;EOMONTH(DATE(Resumen!$C$5,12,1),0)+1)</f>
        <v>0</v>
      </c>
    </row>
    <row r="26" spans="1:13" ht="22.05" customHeight="1" x14ac:dyDescent="0.3">
      <c r="A26" s="1" t="s">
        <v>9</v>
      </c>
      <c r="B26" s="19">
        <f>SUMIFS(Acciones!$T$6:$T$19,Acciones!$H$6:$H$19,"&gt;="&amp;DATE(Resumen!$C$5,1,1),Acciones!$H$6:$H$19,"&lt;"&amp;EOMONTH(DATE(Resumen!$C$5,1,1),0)+1)</f>
        <v>14960</v>
      </c>
      <c r="C26" s="19">
        <f>SUMIFS(Acciones!$T$6:$T$19,Acciones!$H$6:$H$19,"&gt;="&amp;DATE(Resumen!$C$5,2,1),Acciones!$H$6:$H$19,"&lt;"&amp;EOMONTH(DATE(Resumen!$C$5,2,1),0)+1)</f>
        <v>24140</v>
      </c>
      <c r="D26" s="19">
        <f>SUMIFS(Acciones!$T$6:$T$19,Acciones!$H$6:$H$19,"&gt;="&amp;DATE(Resumen!$C$5,3,1),Acciones!$H$6:$H$19,"&lt;"&amp;EOMONTH(DATE(Resumen!$C$5,3,1),0)+1)</f>
        <v>14280</v>
      </c>
      <c r="E26" s="19">
        <f>SUMIFS(Acciones!$T$6:$T$19,Acciones!$H$6:$H$19,"&gt;="&amp;DATE(Resumen!$C$5,4,1),Acciones!$H$6:$H$19,"&lt;"&amp;EOMONTH(DATE(Resumen!$C$5,4,1),0)+1)</f>
        <v>16580</v>
      </c>
      <c r="F26" s="19">
        <f>SUMIFS(Acciones!$T$6:$T$19,Acciones!$H$6:$H$19,"&gt;="&amp;DATE(Resumen!$C$5,5,1),Acciones!$H$6:$H$19,"&lt;"&amp;EOMONTH(DATE(Resumen!$C$5,5,1),0)+1)</f>
        <v>16660</v>
      </c>
      <c r="G26" s="19">
        <f>SUMIFS(Acciones!$T$6:$T$19,Acciones!$H$6:$H$19,"&gt;="&amp;DATE(Resumen!$C$5,6,1),Acciones!$H$6:$H$19,"&lt;"&amp;EOMONTH(DATE(Resumen!$C$5,6,1),0)+1)</f>
        <v>13260</v>
      </c>
      <c r="H26" s="19">
        <f>SUMIFS(Acciones!$T$6:$T$19,Acciones!$H$6:$H$19,"&gt;="&amp;DATE(Resumen!$C$5,7,1),Acciones!$H$6:$H$19,"&lt;"&amp;EOMONTH(DATE(Resumen!$C$5,7,1),0)+1)</f>
        <v>0</v>
      </c>
      <c r="I26" s="19">
        <f>SUMIFS(Acciones!$T$6:$T$19,Acciones!$H$6:$H$19,"&gt;="&amp;DATE(Resumen!$C$5,8,1),Acciones!$H$6:$H$19,"&lt;"&amp;EOMONTH(DATE(Resumen!$C$5,8,1),0)+1)</f>
        <v>0</v>
      </c>
      <c r="J26" s="19">
        <f>SUMIFS(Acciones!$T$6:$T$19,Acciones!$H$6:$H$19,"&gt;="&amp;DATE(Resumen!$C$5,9,1),Acciones!$H$6:$H$19,"&lt;"&amp;EOMONTH(DATE(Resumen!$C$5,9,1),0)+1)</f>
        <v>0</v>
      </c>
      <c r="K26" s="19">
        <f>SUMIFS(Acciones!$T$6:$T$19,Acciones!$H$6:$H$19,"&gt;="&amp;DATE(Resumen!$C$5,10,1),Acciones!$H$6:$H$19,"&lt;"&amp;EOMONTH(DATE(Resumen!$C$5,10,1),0)+1)</f>
        <v>0</v>
      </c>
      <c r="L26" s="19">
        <f>SUMIFS(Acciones!$T$6:$T$19,Acciones!$H$6:$H$19,"&gt;="&amp;DATE(Resumen!$C$5,11,1),Acciones!$H$6:$H$19,"&lt;"&amp;EOMONTH(DATE(Resumen!$C$5,11,1),0)+1)</f>
        <v>0</v>
      </c>
      <c r="M26" s="19">
        <f>SUMIFS(Acciones!$T$6:$T$19,Acciones!$H$6:$H$19,"&gt;="&amp;DATE(Resumen!$C$5,12,1),Acciones!$H$6:$H$19,"&lt;"&amp;EOMONTH(DATE(Resumen!$C$5,12,1),0)+1)</f>
        <v>0</v>
      </c>
    </row>
  </sheetData>
  <mergeCells count="4">
    <mergeCell ref="A8:M8"/>
    <mergeCell ref="A2:M2"/>
    <mergeCell ref="A21:M21"/>
    <mergeCell ref="A1:M1"/>
  </mergeCells>
  <conditionalFormatting sqref="D10:D18">
    <cfRule type="cellIs" dxfId="5" priority="1" operator="greaterThanOrEqual">
      <formula>1</formula>
    </cfRule>
    <cfRule type="cellIs" dxfId="4" priority="2" operator="between">
      <formula>0.85</formula>
      <formula>0.9999</formula>
    </cfRule>
    <cfRule type="cellIs" dxfId="3" priority="3" operator="lessThan">
      <formula>0.85</formula>
    </cfRule>
  </conditionalFormatting>
  <conditionalFormatting sqref="G10:G18">
    <cfRule type="cellIs" dxfId="2" priority="4" operator="greaterThanOrEqual">
      <formula>1</formula>
    </cfRule>
    <cfRule type="cellIs" dxfId="1" priority="5" operator="between">
      <formula>0.85</formula>
      <formula>0.9999</formula>
    </cfRule>
    <cfRule type="cellIs" dxfId="0" priority="6" operator="lessThan">
      <formula>0.85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Resumen</vt:lpstr>
      <vt:lpstr>Listas</vt:lpstr>
      <vt:lpstr>Acciones</vt:lpstr>
      <vt:lpstr>Calendario</vt:lpstr>
      <vt:lpstr>Presupuesto</vt:lpstr>
      <vt:lpstr>KPIs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2026-04-11T08:26:14Z</dcterms:modified>
</cp:coreProperties>
</file>