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abilidad doméstica\"/>
    </mc:Choice>
  </mc:AlternateContent>
  <xr:revisionPtr revIDLastSave="0" documentId="13_ncr:1_{D7EA3CF7-09BC-4582-89C3-5D5C7DCB36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Movimientos" sheetId="2" r:id="rId2"/>
    <sheet name="Presupuesto" sheetId="3" r:id="rId3"/>
    <sheet name="Listas" sheetId="4" r:id="rId4"/>
  </sheets>
  <definedNames>
    <definedName name="_xlnm._FilterDatabase" localSheetId="1" hidden="1">Movimientos!$A$8:$O$400</definedName>
    <definedName name="_xlnm._FilterDatabase" localSheetId="2" hidden="1">Presupuesto!$A$7:$I$223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2" i="3" l="1"/>
  <c r="H262" i="3"/>
  <c r="G262" i="3"/>
  <c r="F262" i="3"/>
  <c r="I261" i="3"/>
  <c r="H261" i="3"/>
  <c r="G261" i="3"/>
  <c r="F261" i="3"/>
  <c r="I260" i="3"/>
  <c r="H260" i="3"/>
  <c r="G260" i="3"/>
  <c r="F260" i="3"/>
  <c r="I259" i="3"/>
  <c r="H259" i="3"/>
  <c r="G259" i="3"/>
  <c r="F259" i="3"/>
  <c r="I258" i="3"/>
  <c r="H258" i="3"/>
  <c r="G258" i="3"/>
  <c r="F258" i="3"/>
  <c r="I257" i="3"/>
  <c r="H257" i="3"/>
  <c r="G257" i="3"/>
  <c r="F257" i="3"/>
  <c r="I256" i="3"/>
  <c r="H256" i="3"/>
  <c r="G256" i="3"/>
  <c r="F256" i="3"/>
  <c r="I255" i="3"/>
  <c r="H255" i="3"/>
  <c r="G255" i="3"/>
  <c r="F255" i="3"/>
  <c r="I254" i="3"/>
  <c r="H254" i="3"/>
  <c r="G254" i="3"/>
  <c r="F254" i="3"/>
  <c r="I253" i="3"/>
  <c r="H253" i="3"/>
  <c r="G253" i="3"/>
  <c r="F253" i="3"/>
  <c r="I252" i="3"/>
  <c r="H252" i="3"/>
  <c r="G252" i="3"/>
  <c r="F252" i="3"/>
  <c r="I251" i="3"/>
  <c r="H251" i="3"/>
  <c r="G251" i="3"/>
  <c r="F251" i="3"/>
  <c r="I250" i="3"/>
  <c r="H250" i="3"/>
  <c r="G250" i="3"/>
  <c r="F250" i="3"/>
  <c r="I249" i="3"/>
  <c r="H249" i="3"/>
  <c r="G249" i="3"/>
  <c r="F249" i="3"/>
  <c r="I248" i="3"/>
  <c r="H248" i="3"/>
  <c r="G248" i="3"/>
  <c r="F248" i="3"/>
  <c r="I247" i="3"/>
  <c r="H247" i="3"/>
  <c r="G247" i="3"/>
  <c r="F247" i="3"/>
  <c r="I246" i="3"/>
  <c r="H246" i="3"/>
  <c r="G246" i="3"/>
  <c r="F246" i="3"/>
  <c r="I245" i="3"/>
  <c r="H245" i="3"/>
  <c r="G245" i="3"/>
  <c r="F245" i="3"/>
  <c r="I244" i="3"/>
  <c r="H244" i="3"/>
  <c r="G244" i="3"/>
  <c r="F244" i="3"/>
  <c r="I243" i="3"/>
  <c r="H243" i="3"/>
  <c r="G243" i="3"/>
  <c r="F243" i="3"/>
  <c r="I242" i="3"/>
  <c r="H242" i="3"/>
  <c r="G242" i="3"/>
  <c r="F242" i="3"/>
  <c r="I241" i="3"/>
  <c r="H241" i="3"/>
  <c r="G241" i="3"/>
  <c r="F241" i="3"/>
  <c r="I240" i="3"/>
  <c r="H240" i="3"/>
  <c r="G240" i="3"/>
  <c r="F240" i="3"/>
  <c r="I239" i="3"/>
  <c r="H239" i="3"/>
  <c r="G239" i="3"/>
  <c r="F239" i="3"/>
  <c r="I238" i="3"/>
  <c r="H238" i="3"/>
  <c r="G238" i="3"/>
  <c r="F238" i="3"/>
  <c r="I237" i="3"/>
  <c r="H237" i="3"/>
  <c r="G237" i="3"/>
  <c r="F237" i="3"/>
  <c r="I236" i="3"/>
  <c r="H236" i="3"/>
  <c r="G236" i="3"/>
  <c r="F236" i="3"/>
  <c r="I235" i="3"/>
  <c r="H235" i="3"/>
  <c r="G235" i="3"/>
  <c r="F235" i="3"/>
  <c r="I234" i="3"/>
  <c r="H234" i="3"/>
  <c r="G234" i="3"/>
  <c r="F234" i="3"/>
  <c r="I233" i="3"/>
  <c r="H233" i="3"/>
  <c r="G233" i="3"/>
  <c r="F233" i="3"/>
  <c r="I232" i="3"/>
  <c r="H232" i="3"/>
  <c r="G232" i="3"/>
  <c r="F232" i="3"/>
  <c r="I231" i="3"/>
  <c r="H231" i="3"/>
  <c r="G231" i="3"/>
  <c r="F231" i="3"/>
  <c r="I230" i="3"/>
  <c r="H230" i="3"/>
  <c r="G230" i="3"/>
  <c r="F230" i="3"/>
  <c r="I229" i="3"/>
  <c r="H229" i="3"/>
  <c r="G229" i="3"/>
  <c r="F229" i="3"/>
  <c r="I228" i="3"/>
  <c r="H228" i="3"/>
  <c r="G228" i="3"/>
  <c r="F228" i="3"/>
  <c r="I227" i="3"/>
  <c r="H227" i="3"/>
  <c r="G227" i="3"/>
  <c r="F227" i="3"/>
  <c r="I226" i="3"/>
  <c r="H226" i="3"/>
  <c r="G226" i="3"/>
  <c r="F226" i="3"/>
  <c r="I225" i="3"/>
  <c r="H225" i="3"/>
  <c r="G225" i="3"/>
  <c r="F225" i="3"/>
  <c r="I224" i="3"/>
  <c r="H224" i="3"/>
  <c r="G224" i="3"/>
  <c r="F224" i="3"/>
  <c r="F223" i="3"/>
  <c r="H223" i="3" s="1"/>
  <c r="I223" i="3" s="1"/>
  <c r="F222" i="3"/>
  <c r="H222" i="3" s="1"/>
  <c r="I222" i="3" s="1"/>
  <c r="F221" i="3"/>
  <c r="H221" i="3" s="1"/>
  <c r="I221" i="3" s="1"/>
  <c r="F220" i="3"/>
  <c r="H220" i="3" s="1"/>
  <c r="I220" i="3" s="1"/>
  <c r="F219" i="3"/>
  <c r="H219" i="3" s="1"/>
  <c r="I219" i="3" s="1"/>
  <c r="F218" i="3"/>
  <c r="F217" i="3"/>
  <c r="F216" i="3"/>
  <c r="H216" i="3" s="1"/>
  <c r="I216" i="3" s="1"/>
  <c r="F215" i="3"/>
  <c r="H215" i="3" s="1"/>
  <c r="I215" i="3" s="1"/>
  <c r="F214" i="3"/>
  <c r="H214" i="3" s="1"/>
  <c r="I214" i="3" s="1"/>
  <c r="F213" i="3"/>
  <c r="F212" i="3"/>
  <c r="F211" i="3"/>
  <c r="H210" i="3"/>
  <c r="I210" i="3" s="1"/>
  <c r="G210" i="3"/>
  <c r="F210" i="3"/>
  <c r="G209" i="3"/>
  <c r="F209" i="3"/>
  <c r="H209" i="3" s="1"/>
  <c r="I209" i="3" s="1"/>
  <c r="F208" i="3"/>
  <c r="I207" i="3"/>
  <c r="H207" i="3"/>
  <c r="F207" i="3"/>
  <c r="G207" i="3" s="1"/>
  <c r="F206" i="3"/>
  <c r="H206" i="3" s="1"/>
  <c r="I206" i="3" s="1"/>
  <c r="F205" i="3"/>
  <c r="H205" i="3" s="1"/>
  <c r="I205" i="3" s="1"/>
  <c r="F204" i="3"/>
  <c r="H204" i="3" s="1"/>
  <c r="I204" i="3" s="1"/>
  <c r="F203" i="3"/>
  <c r="F202" i="3"/>
  <c r="F201" i="3"/>
  <c r="H200" i="3"/>
  <c r="I200" i="3" s="1"/>
  <c r="F200" i="3"/>
  <c r="G200" i="3" s="1"/>
  <c r="F199" i="3"/>
  <c r="H199" i="3" s="1"/>
  <c r="I199" i="3" s="1"/>
  <c r="F198" i="3"/>
  <c r="F197" i="3"/>
  <c r="F196" i="3"/>
  <c r="H196" i="3" s="1"/>
  <c r="I196" i="3" s="1"/>
  <c r="F195" i="3"/>
  <c r="G195" i="3" s="1"/>
  <c r="F194" i="3"/>
  <c r="F193" i="3"/>
  <c r="F192" i="3"/>
  <c r="F191" i="3"/>
  <c r="H191" i="3" s="1"/>
  <c r="I191" i="3" s="1"/>
  <c r="H190" i="3"/>
  <c r="I190" i="3" s="1"/>
  <c r="F190" i="3"/>
  <c r="G190" i="3" s="1"/>
  <c r="G189" i="3"/>
  <c r="F189" i="3"/>
  <c r="H189" i="3" s="1"/>
  <c r="I189" i="3" s="1"/>
  <c r="F188" i="3"/>
  <c r="F187" i="3"/>
  <c r="F186" i="3"/>
  <c r="H186" i="3" s="1"/>
  <c r="I186" i="3" s="1"/>
  <c r="F185" i="3"/>
  <c r="F184" i="3"/>
  <c r="H184" i="3" s="1"/>
  <c r="I184" i="3" s="1"/>
  <c r="F183" i="3"/>
  <c r="F182" i="3"/>
  <c r="F181" i="3"/>
  <c r="H181" i="3" s="1"/>
  <c r="I181" i="3" s="1"/>
  <c r="H180" i="3"/>
  <c r="I180" i="3" s="1"/>
  <c r="F180" i="3"/>
  <c r="G180" i="3" s="1"/>
  <c r="F179" i="3"/>
  <c r="H179" i="3" s="1"/>
  <c r="I179" i="3" s="1"/>
  <c r="F178" i="3"/>
  <c r="F177" i="3"/>
  <c r="F176" i="3"/>
  <c r="H176" i="3" s="1"/>
  <c r="I176" i="3" s="1"/>
  <c r="H175" i="3"/>
  <c r="I175" i="3" s="1"/>
  <c r="F175" i="3"/>
  <c r="G175" i="3" s="1"/>
  <c r="G174" i="3"/>
  <c r="F174" i="3"/>
  <c r="H174" i="3" s="1"/>
  <c r="I174" i="3" s="1"/>
  <c r="F173" i="3"/>
  <c r="F172" i="3"/>
  <c r="H171" i="3"/>
  <c r="I171" i="3" s="1"/>
  <c r="G171" i="3"/>
  <c r="F171" i="3"/>
  <c r="F170" i="3"/>
  <c r="G170" i="3" s="1"/>
  <c r="F169" i="3"/>
  <c r="H169" i="3" s="1"/>
  <c r="I169" i="3" s="1"/>
  <c r="F168" i="3"/>
  <c r="F167" i="3"/>
  <c r="G166" i="3"/>
  <c r="F166" i="3"/>
  <c r="H166" i="3" s="1"/>
  <c r="I166" i="3" s="1"/>
  <c r="H165" i="3"/>
  <c r="I165" i="3" s="1"/>
  <c r="F165" i="3"/>
  <c r="G165" i="3" s="1"/>
  <c r="F164" i="3"/>
  <c r="H164" i="3" s="1"/>
  <c r="I164" i="3" s="1"/>
  <c r="F163" i="3"/>
  <c r="F162" i="3"/>
  <c r="F161" i="3"/>
  <c r="H161" i="3" s="1"/>
  <c r="I161" i="3" s="1"/>
  <c r="F160" i="3"/>
  <c r="H160" i="3" s="1"/>
  <c r="I160" i="3" s="1"/>
  <c r="F159" i="3"/>
  <c r="H159" i="3" s="1"/>
  <c r="I159" i="3" s="1"/>
  <c r="F158" i="3"/>
  <c r="F157" i="3"/>
  <c r="F156" i="3"/>
  <c r="F155" i="3"/>
  <c r="H155" i="3" s="1"/>
  <c r="I155" i="3" s="1"/>
  <c r="F154" i="3"/>
  <c r="H154" i="3" s="1"/>
  <c r="I154" i="3" s="1"/>
  <c r="F153" i="3"/>
  <c r="F152" i="3"/>
  <c r="F151" i="3"/>
  <c r="H151" i="3" s="1"/>
  <c r="I151" i="3" s="1"/>
  <c r="F150" i="3"/>
  <c r="H150" i="3" s="1"/>
  <c r="I150" i="3" s="1"/>
  <c r="F149" i="3"/>
  <c r="H149" i="3" s="1"/>
  <c r="I149" i="3" s="1"/>
  <c r="F148" i="3"/>
  <c r="F147" i="3"/>
  <c r="F146" i="3"/>
  <c r="H146" i="3" s="1"/>
  <c r="I146" i="3" s="1"/>
  <c r="H145" i="3"/>
  <c r="I145" i="3" s="1"/>
  <c r="F145" i="3"/>
  <c r="G145" i="3" s="1"/>
  <c r="G144" i="3"/>
  <c r="F144" i="3"/>
  <c r="H144" i="3" s="1"/>
  <c r="I144" i="3" s="1"/>
  <c r="F143" i="3"/>
  <c r="F142" i="3"/>
  <c r="F141" i="3"/>
  <c r="H141" i="3" s="1"/>
  <c r="I141" i="3" s="1"/>
  <c r="G140" i="3"/>
  <c r="F140" i="3"/>
  <c r="H140" i="3" s="1"/>
  <c r="I140" i="3" s="1"/>
  <c r="F139" i="3"/>
  <c r="H139" i="3" s="1"/>
  <c r="I139" i="3" s="1"/>
  <c r="F138" i="3"/>
  <c r="F137" i="3"/>
  <c r="F136" i="3"/>
  <c r="H136" i="3" s="1"/>
  <c r="I136" i="3" s="1"/>
  <c r="H135" i="3"/>
  <c r="I135" i="3" s="1"/>
  <c r="G135" i="3"/>
  <c r="F135" i="3"/>
  <c r="F134" i="3"/>
  <c r="H134" i="3" s="1"/>
  <c r="I134" i="3" s="1"/>
  <c r="F133" i="3"/>
  <c r="F132" i="3"/>
  <c r="F131" i="3"/>
  <c r="H131" i="3" s="1"/>
  <c r="I131" i="3" s="1"/>
  <c r="H130" i="3"/>
  <c r="I130" i="3" s="1"/>
  <c r="F130" i="3"/>
  <c r="G130" i="3" s="1"/>
  <c r="G129" i="3"/>
  <c r="F129" i="3"/>
  <c r="H129" i="3" s="1"/>
  <c r="I129" i="3" s="1"/>
  <c r="F128" i="3"/>
  <c r="F127" i="3"/>
  <c r="F126" i="3"/>
  <c r="H126" i="3" s="1"/>
  <c r="I126" i="3" s="1"/>
  <c r="F125" i="3"/>
  <c r="H125" i="3" s="1"/>
  <c r="I125" i="3" s="1"/>
  <c r="F124" i="3"/>
  <c r="H124" i="3" s="1"/>
  <c r="I124" i="3" s="1"/>
  <c r="F123" i="3"/>
  <c r="F122" i="3"/>
  <c r="G121" i="3"/>
  <c r="F121" i="3"/>
  <c r="H121" i="3" s="1"/>
  <c r="I121" i="3" s="1"/>
  <c r="H120" i="3"/>
  <c r="I120" i="3" s="1"/>
  <c r="G120" i="3"/>
  <c r="F120" i="3"/>
  <c r="G119" i="3"/>
  <c r="F119" i="3"/>
  <c r="H119" i="3" s="1"/>
  <c r="I119" i="3" s="1"/>
  <c r="F118" i="3"/>
  <c r="F117" i="3"/>
  <c r="F116" i="3"/>
  <c r="H116" i="3" s="1"/>
  <c r="I116" i="3" s="1"/>
  <c r="F115" i="3"/>
  <c r="H115" i="3" s="1"/>
  <c r="I115" i="3" s="1"/>
  <c r="F114" i="3"/>
  <c r="H114" i="3" s="1"/>
  <c r="I114" i="3" s="1"/>
  <c r="F113" i="3"/>
  <c r="F112" i="3"/>
  <c r="F111" i="3"/>
  <c r="H111" i="3" s="1"/>
  <c r="I111" i="3" s="1"/>
  <c r="G110" i="3"/>
  <c r="F110" i="3"/>
  <c r="H110" i="3" s="1"/>
  <c r="I110" i="3" s="1"/>
  <c r="G109" i="3"/>
  <c r="F109" i="3"/>
  <c r="H109" i="3" s="1"/>
  <c r="I109" i="3" s="1"/>
  <c r="F108" i="3"/>
  <c r="F107" i="3"/>
  <c r="F106" i="3"/>
  <c r="H106" i="3" s="1"/>
  <c r="I106" i="3" s="1"/>
  <c r="F105" i="3"/>
  <c r="H105" i="3" s="1"/>
  <c r="I105" i="3" s="1"/>
  <c r="F104" i="3"/>
  <c r="F103" i="3"/>
  <c r="F102" i="3"/>
  <c r="G101" i="3"/>
  <c r="F101" i="3"/>
  <c r="H101" i="3" s="1"/>
  <c r="I101" i="3" s="1"/>
  <c r="G100" i="3"/>
  <c r="F100" i="3"/>
  <c r="H100" i="3" s="1"/>
  <c r="I100" i="3" s="1"/>
  <c r="I99" i="3"/>
  <c r="H99" i="3"/>
  <c r="F99" i="3"/>
  <c r="G99" i="3" s="1"/>
  <c r="F98" i="3"/>
  <c r="F97" i="3"/>
  <c r="F96" i="3"/>
  <c r="H96" i="3" s="1"/>
  <c r="I96" i="3" s="1"/>
  <c r="H95" i="3"/>
  <c r="I95" i="3" s="1"/>
  <c r="G95" i="3"/>
  <c r="F95" i="3"/>
  <c r="G94" i="3"/>
  <c r="F94" i="3"/>
  <c r="H94" i="3" s="1"/>
  <c r="I94" i="3" s="1"/>
  <c r="F93" i="3"/>
  <c r="F92" i="3"/>
  <c r="F91" i="3"/>
  <c r="H91" i="3" s="1"/>
  <c r="I91" i="3" s="1"/>
  <c r="F90" i="3"/>
  <c r="H90" i="3" s="1"/>
  <c r="I90" i="3" s="1"/>
  <c r="F89" i="3"/>
  <c r="H89" i="3" s="1"/>
  <c r="I89" i="3" s="1"/>
  <c r="F88" i="3"/>
  <c r="F87" i="3"/>
  <c r="F86" i="3"/>
  <c r="F85" i="3"/>
  <c r="H85" i="3" s="1"/>
  <c r="I85" i="3" s="1"/>
  <c r="F84" i="3"/>
  <c r="H84" i="3" s="1"/>
  <c r="I84" i="3" s="1"/>
  <c r="F83" i="3"/>
  <c r="F82" i="3"/>
  <c r="H81" i="3"/>
  <c r="I81" i="3" s="1"/>
  <c r="F81" i="3"/>
  <c r="G81" i="3" s="1"/>
  <c r="F80" i="3"/>
  <c r="H80" i="3" s="1"/>
  <c r="I80" i="3" s="1"/>
  <c r="F79" i="3"/>
  <c r="H79" i="3" s="1"/>
  <c r="I79" i="3" s="1"/>
  <c r="F78" i="3"/>
  <c r="F77" i="3"/>
  <c r="F76" i="3"/>
  <c r="G75" i="3"/>
  <c r="F75" i="3"/>
  <c r="H75" i="3" s="1"/>
  <c r="I75" i="3" s="1"/>
  <c r="F74" i="3"/>
  <c r="H74" i="3" s="1"/>
  <c r="I74" i="3" s="1"/>
  <c r="F73" i="3"/>
  <c r="F72" i="3"/>
  <c r="F71" i="3"/>
  <c r="H71" i="3" s="1"/>
  <c r="I71" i="3" s="1"/>
  <c r="F70" i="3"/>
  <c r="H70" i="3" s="1"/>
  <c r="I70" i="3" s="1"/>
  <c r="F69" i="3"/>
  <c r="F68" i="3"/>
  <c r="F67" i="3"/>
  <c r="G66" i="3"/>
  <c r="F66" i="3"/>
  <c r="H66" i="3" s="1"/>
  <c r="I66" i="3" s="1"/>
  <c r="F65" i="3"/>
  <c r="H65" i="3" s="1"/>
  <c r="I65" i="3" s="1"/>
  <c r="G64" i="3"/>
  <c r="F64" i="3"/>
  <c r="H64" i="3" s="1"/>
  <c r="I64" i="3" s="1"/>
  <c r="F63" i="3"/>
  <c r="F62" i="3"/>
  <c r="F61" i="3"/>
  <c r="H61" i="3" s="1"/>
  <c r="I61" i="3" s="1"/>
  <c r="F60" i="3"/>
  <c r="G59" i="3"/>
  <c r="F59" i="3"/>
  <c r="H59" i="3" s="1"/>
  <c r="I59" i="3" s="1"/>
  <c r="F58" i="3"/>
  <c r="F57" i="3"/>
  <c r="G56" i="3"/>
  <c r="F56" i="3"/>
  <c r="H56" i="3" s="1"/>
  <c r="I56" i="3" s="1"/>
  <c r="H55" i="3"/>
  <c r="I55" i="3" s="1"/>
  <c r="G55" i="3"/>
  <c r="F55" i="3"/>
  <c r="G54" i="3"/>
  <c r="F54" i="3"/>
  <c r="H54" i="3" s="1"/>
  <c r="I54" i="3" s="1"/>
  <c r="F53" i="3"/>
  <c r="F52" i="3"/>
  <c r="F51" i="3"/>
  <c r="H51" i="3" s="1"/>
  <c r="I51" i="3" s="1"/>
  <c r="H50" i="3"/>
  <c r="I50" i="3" s="1"/>
  <c r="G50" i="3"/>
  <c r="F50" i="3"/>
  <c r="F49" i="3"/>
  <c r="H49" i="3" s="1"/>
  <c r="I49" i="3" s="1"/>
  <c r="F48" i="3"/>
  <c r="F47" i="3"/>
  <c r="F46" i="3"/>
  <c r="H46" i="3" s="1"/>
  <c r="I46" i="3" s="1"/>
  <c r="I45" i="3"/>
  <c r="H45" i="3"/>
  <c r="F45" i="3"/>
  <c r="G45" i="3" s="1"/>
  <c r="F44" i="3"/>
  <c r="H44" i="3" s="1"/>
  <c r="I44" i="3" s="1"/>
  <c r="F43" i="3"/>
  <c r="F42" i="3"/>
  <c r="F41" i="3"/>
  <c r="I40" i="3"/>
  <c r="F40" i="3"/>
  <c r="H40" i="3" s="1"/>
  <c r="F39" i="3"/>
  <c r="H39" i="3" s="1"/>
  <c r="I39" i="3" s="1"/>
  <c r="F38" i="3"/>
  <c r="F37" i="3"/>
  <c r="G36" i="3"/>
  <c r="F36" i="3"/>
  <c r="H36" i="3" s="1"/>
  <c r="I36" i="3" s="1"/>
  <c r="F35" i="3"/>
  <c r="G35" i="3" s="1"/>
  <c r="F34" i="3"/>
  <c r="H34" i="3" s="1"/>
  <c r="I34" i="3" s="1"/>
  <c r="F33" i="3"/>
  <c r="F32" i="3"/>
  <c r="G31" i="3"/>
  <c r="F31" i="3"/>
  <c r="H31" i="3" s="1"/>
  <c r="I31" i="3" s="1"/>
  <c r="H30" i="3"/>
  <c r="I30" i="3" s="1"/>
  <c r="F30" i="3"/>
  <c r="G30" i="3" s="1"/>
  <c r="G29" i="3"/>
  <c r="F29" i="3"/>
  <c r="H29" i="3" s="1"/>
  <c r="I29" i="3" s="1"/>
  <c r="F28" i="3"/>
  <c r="F27" i="3"/>
  <c r="F26" i="3"/>
  <c r="H26" i="3" s="1"/>
  <c r="I26" i="3" s="1"/>
  <c r="F25" i="3"/>
  <c r="H25" i="3" s="1"/>
  <c r="I25" i="3" s="1"/>
  <c r="F24" i="3"/>
  <c r="H24" i="3" s="1"/>
  <c r="I24" i="3" s="1"/>
  <c r="F23" i="3"/>
  <c r="F22" i="3"/>
  <c r="F21" i="3"/>
  <c r="H21" i="3" s="1"/>
  <c r="I21" i="3" s="1"/>
  <c r="F20" i="3"/>
  <c r="H20" i="3" s="1"/>
  <c r="I20" i="3" s="1"/>
  <c r="G19" i="3"/>
  <c r="F19" i="3"/>
  <c r="H19" i="3" s="1"/>
  <c r="I19" i="3" s="1"/>
  <c r="F18" i="3"/>
  <c r="F17" i="3"/>
  <c r="F16" i="3"/>
  <c r="H16" i="3" s="1"/>
  <c r="I16" i="3" s="1"/>
  <c r="F15" i="3"/>
  <c r="H15" i="3" s="1"/>
  <c r="I15" i="3" s="1"/>
  <c r="F14" i="3"/>
  <c r="H14" i="3" s="1"/>
  <c r="I14" i="3" s="1"/>
  <c r="F13" i="3"/>
  <c r="F12" i="3"/>
  <c r="F11" i="3"/>
  <c r="H11" i="3" s="1"/>
  <c r="I11" i="3" s="1"/>
  <c r="H10" i="3"/>
  <c r="I10" i="3" s="1"/>
  <c r="G10" i="3"/>
  <c r="F10" i="3"/>
  <c r="I9" i="3"/>
  <c r="H9" i="3"/>
  <c r="F9" i="3"/>
  <c r="G9" i="3" s="1"/>
  <c r="F8" i="3"/>
  <c r="M400" i="2"/>
  <c r="C400" i="2"/>
  <c r="B400" i="2"/>
  <c r="O400" i="2" s="1"/>
  <c r="M399" i="2"/>
  <c r="C399" i="2"/>
  <c r="B399" i="2"/>
  <c r="M398" i="2"/>
  <c r="O398" i="2" s="1"/>
  <c r="C398" i="2"/>
  <c r="B398" i="2"/>
  <c r="M397" i="2"/>
  <c r="C397" i="2"/>
  <c r="B397" i="2"/>
  <c r="O397" i="2" s="1"/>
  <c r="M396" i="2"/>
  <c r="C396" i="2"/>
  <c r="B396" i="2"/>
  <c r="O396" i="2" s="1"/>
  <c r="M395" i="2"/>
  <c r="C395" i="2"/>
  <c r="B395" i="2"/>
  <c r="O395" i="2" s="1"/>
  <c r="M394" i="2"/>
  <c r="C394" i="2"/>
  <c r="B394" i="2"/>
  <c r="O394" i="2" s="1"/>
  <c r="M393" i="2"/>
  <c r="C393" i="2"/>
  <c r="B393" i="2"/>
  <c r="O393" i="2" s="1"/>
  <c r="M392" i="2"/>
  <c r="C392" i="2"/>
  <c r="B392" i="2"/>
  <c r="O392" i="2" s="1"/>
  <c r="M391" i="2"/>
  <c r="C391" i="2"/>
  <c r="B391" i="2"/>
  <c r="O391" i="2" s="1"/>
  <c r="M390" i="2"/>
  <c r="C390" i="2"/>
  <c r="B390" i="2"/>
  <c r="O390" i="2" s="1"/>
  <c r="M389" i="2"/>
  <c r="C389" i="2"/>
  <c r="B389" i="2"/>
  <c r="O389" i="2" s="1"/>
  <c r="M388" i="2"/>
  <c r="C388" i="2"/>
  <c r="B388" i="2"/>
  <c r="O388" i="2" s="1"/>
  <c r="M387" i="2"/>
  <c r="C387" i="2"/>
  <c r="B387" i="2"/>
  <c r="O387" i="2" s="1"/>
  <c r="M386" i="2"/>
  <c r="C386" i="2"/>
  <c r="B386" i="2"/>
  <c r="O386" i="2" s="1"/>
  <c r="M385" i="2"/>
  <c r="O385" i="2" s="1"/>
  <c r="C385" i="2"/>
  <c r="B385" i="2"/>
  <c r="M384" i="2"/>
  <c r="C384" i="2"/>
  <c r="B384" i="2"/>
  <c r="O384" i="2" s="1"/>
  <c r="M383" i="2"/>
  <c r="C383" i="2"/>
  <c r="B383" i="2"/>
  <c r="O383" i="2" s="1"/>
  <c r="M382" i="2"/>
  <c r="C382" i="2"/>
  <c r="B382" i="2"/>
  <c r="O382" i="2" s="1"/>
  <c r="M381" i="2"/>
  <c r="C381" i="2"/>
  <c r="B381" i="2"/>
  <c r="O381" i="2" s="1"/>
  <c r="O380" i="2"/>
  <c r="M380" i="2"/>
  <c r="C380" i="2"/>
  <c r="B380" i="2"/>
  <c r="M379" i="2"/>
  <c r="C379" i="2"/>
  <c r="B379" i="2"/>
  <c r="M378" i="2"/>
  <c r="C378" i="2"/>
  <c r="B378" i="2"/>
  <c r="O378" i="2" s="1"/>
  <c r="M377" i="2"/>
  <c r="C377" i="2"/>
  <c r="B377" i="2"/>
  <c r="O377" i="2" s="1"/>
  <c r="M376" i="2"/>
  <c r="C376" i="2"/>
  <c r="B376" i="2"/>
  <c r="O376" i="2" s="1"/>
  <c r="M375" i="2"/>
  <c r="C375" i="2"/>
  <c r="B375" i="2"/>
  <c r="O375" i="2" s="1"/>
  <c r="M374" i="2"/>
  <c r="C374" i="2"/>
  <c r="B374" i="2"/>
  <c r="M373" i="2"/>
  <c r="O373" i="2" s="1"/>
  <c r="C373" i="2"/>
  <c r="B373" i="2"/>
  <c r="M372" i="2"/>
  <c r="C372" i="2"/>
  <c r="B372" i="2"/>
  <c r="O372" i="2" s="1"/>
  <c r="M371" i="2"/>
  <c r="C371" i="2"/>
  <c r="B371" i="2"/>
  <c r="O371" i="2" s="1"/>
  <c r="M370" i="2"/>
  <c r="C370" i="2"/>
  <c r="B370" i="2"/>
  <c r="O370" i="2" s="1"/>
  <c r="M369" i="2"/>
  <c r="C369" i="2"/>
  <c r="B369" i="2"/>
  <c r="O369" i="2" s="1"/>
  <c r="M368" i="2"/>
  <c r="C368" i="2"/>
  <c r="B368" i="2"/>
  <c r="O368" i="2" s="1"/>
  <c r="M367" i="2"/>
  <c r="C367" i="2"/>
  <c r="B367" i="2"/>
  <c r="M366" i="2"/>
  <c r="C366" i="2"/>
  <c r="B366" i="2"/>
  <c r="O366" i="2" s="1"/>
  <c r="M365" i="2"/>
  <c r="C365" i="2"/>
  <c r="B365" i="2"/>
  <c r="O365" i="2" s="1"/>
  <c r="M364" i="2"/>
  <c r="C364" i="2"/>
  <c r="B364" i="2"/>
  <c r="O364" i="2" s="1"/>
  <c r="M363" i="2"/>
  <c r="C363" i="2"/>
  <c r="B363" i="2"/>
  <c r="M362" i="2"/>
  <c r="C362" i="2"/>
  <c r="B362" i="2"/>
  <c r="O362" i="2" s="1"/>
  <c r="M361" i="2"/>
  <c r="C361" i="2"/>
  <c r="B361" i="2"/>
  <c r="O361" i="2" s="1"/>
  <c r="M360" i="2"/>
  <c r="C360" i="2"/>
  <c r="B360" i="2"/>
  <c r="O360" i="2" s="1"/>
  <c r="M359" i="2"/>
  <c r="C359" i="2"/>
  <c r="B359" i="2"/>
  <c r="O359" i="2" s="1"/>
  <c r="M358" i="2"/>
  <c r="C358" i="2"/>
  <c r="O358" i="2" s="1"/>
  <c r="B358" i="2"/>
  <c r="M357" i="2"/>
  <c r="C357" i="2"/>
  <c r="B357" i="2"/>
  <c r="M356" i="2"/>
  <c r="C356" i="2"/>
  <c r="B356" i="2"/>
  <c r="O356" i="2" s="1"/>
  <c r="O355" i="2"/>
  <c r="M355" i="2"/>
  <c r="C355" i="2"/>
  <c r="B355" i="2"/>
  <c r="M354" i="2"/>
  <c r="C354" i="2"/>
  <c r="B354" i="2"/>
  <c r="O354" i="2" s="1"/>
  <c r="M353" i="2"/>
  <c r="C353" i="2"/>
  <c r="B353" i="2"/>
  <c r="O353" i="2" s="1"/>
  <c r="M352" i="2"/>
  <c r="C352" i="2"/>
  <c r="B352" i="2"/>
  <c r="M351" i="2"/>
  <c r="C351" i="2"/>
  <c r="B351" i="2"/>
  <c r="O351" i="2" s="1"/>
  <c r="M350" i="2"/>
  <c r="C350" i="2"/>
  <c r="B350" i="2"/>
  <c r="O350" i="2" s="1"/>
  <c r="M349" i="2"/>
  <c r="C349" i="2"/>
  <c r="B349" i="2"/>
  <c r="M348" i="2"/>
  <c r="C348" i="2"/>
  <c r="B348" i="2"/>
  <c r="O348" i="2" s="1"/>
  <c r="M347" i="2"/>
  <c r="C347" i="2"/>
  <c r="B347" i="2"/>
  <c r="O347" i="2" s="1"/>
  <c r="M346" i="2"/>
  <c r="C346" i="2"/>
  <c r="B346" i="2"/>
  <c r="O346" i="2" s="1"/>
  <c r="M345" i="2"/>
  <c r="O345" i="2" s="1"/>
  <c r="C345" i="2"/>
  <c r="B345" i="2"/>
  <c r="M344" i="2"/>
  <c r="C344" i="2"/>
  <c r="B344" i="2"/>
  <c r="O344" i="2" s="1"/>
  <c r="M343" i="2"/>
  <c r="C343" i="2"/>
  <c r="B343" i="2"/>
  <c r="O343" i="2" s="1"/>
  <c r="M342" i="2"/>
  <c r="C342" i="2"/>
  <c r="B342" i="2"/>
  <c r="O342" i="2" s="1"/>
  <c r="M341" i="2"/>
  <c r="C341" i="2"/>
  <c r="B341" i="2"/>
  <c r="O341" i="2" s="1"/>
  <c r="M340" i="2"/>
  <c r="C340" i="2"/>
  <c r="B340" i="2"/>
  <c r="O340" i="2" s="1"/>
  <c r="M339" i="2"/>
  <c r="C339" i="2"/>
  <c r="B339" i="2"/>
  <c r="M338" i="2"/>
  <c r="C338" i="2"/>
  <c r="O338" i="2" s="1"/>
  <c r="B338" i="2"/>
  <c r="M337" i="2"/>
  <c r="C337" i="2"/>
  <c r="B337" i="2"/>
  <c r="O337" i="2" s="1"/>
  <c r="M336" i="2"/>
  <c r="C336" i="2"/>
  <c r="B336" i="2"/>
  <c r="O336" i="2" s="1"/>
  <c r="M335" i="2"/>
  <c r="C335" i="2"/>
  <c r="B335" i="2"/>
  <c r="O335" i="2" s="1"/>
  <c r="M334" i="2"/>
  <c r="C334" i="2"/>
  <c r="B334" i="2"/>
  <c r="O334" i="2" s="1"/>
  <c r="O333" i="2"/>
  <c r="M333" i="2"/>
  <c r="C333" i="2"/>
  <c r="B333" i="2"/>
  <c r="M332" i="2"/>
  <c r="C332" i="2"/>
  <c r="B332" i="2"/>
  <c r="M331" i="2"/>
  <c r="C331" i="2"/>
  <c r="B331" i="2"/>
  <c r="O331" i="2" s="1"/>
  <c r="M330" i="2"/>
  <c r="C330" i="2"/>
  <c r="B330" i="2"/>
  <c r="O330" i="2" s="1"/>
  <c r="M329" i="2"/>
  <c r="C329" i="2"/>
  <c r="B329" i="2"/>
  <c r="O329" i="2" s="1"/>
  <c r="M328" i="2"/>
  <c r="C328" i="2"/>
  <c r="B328" i="2"/>
  <c r="O328" i="2" s="1"/>
  <c r="M327" i="2"/>
  <c r="C327" i="2"/>
  <c r="B327" i="2"/>
  <c r="M326" i="2"/>
  <c r="C326" i="2"/>
  <c r="B326" i="2"/>
  <c r="O326" i="2" s="1"/>
  <c r="M325" i="2"/>
  <c r="C325" i="2"/>
  <c r="B325" i="2"/>
  <c r="O325" i="2" s="1"/>
  <c r="M324" i="2"/>
  <c r="C324" i="2"/>
  <c r="B324" i="2"/>
  <c r="O324" i="2" s="1"/>
  <c r="M323" i="2"/>
  <c r="C323" i="2"/>
  <c r="B323" i="2"/>
  <c r="O323" i="2" s="1"/>
  <c r="M322" i="2"/>
  <c r="C322" i="2"/>
  <c r="B322" i="2"/>
  <c r="O322" i="2" s="1"/>
  <c r="M321" i="2"/>
  <c r="C321" i="2"/>
  <c r="B321" i="2"/>
  <c r="O321" i="2" s="1"/>
  <c r="M320" i="2"/>
  <c r="O320" i="2" s="1"/>
  <c r="C320" i="2"/>
  <c r="B320" i="2"/>
  <c r="M319" i="2"/>
  <c r="C319" i="2"/>
  <c r="B319" i="2"/>
  <c r="O319" i="2" s="1"/>
  <c r="M318" i="2"/>
  <c r="C318" i="2"/>
  <c r="B318" i="2"/>
  <c r="O318" i="2" s="1"/>
  <c r="M317" i="2"/>
  <c r="C317" i="2"/>
  <c r="B317" i="2"/>
  <c r="O317" i="2" s="1"/>
  <c r="M316" i="2"/>
  <c r="C316" i="2"/>
  <c r="B316" i="2"/>
  <c r="O316" i="2" s="1"/>
  <c r="M315" i="2"/>
  <c r="C315" i="2"/>
  <c r="B315" i="2"/>
  <c r="O315" i="2" s="1"/>
  <c r="M314" i="2"/>
  <c r="C314" i="2"/>
  <c r="B314" i="2"/>
  <c r="M313" i="2"/>
  <c r="C313" i="2"/>
  <c r="B313" i="2"/>
  <c r="O313" i="2" s="1"/>
  <c r="M312" i="2"/>
  <c r="C312" i="2"/>
  <c r="B312" i="2"/>
  <c r="O312" i="2" s="1"/>
  <c r="M311" i="2"/>
  <c r="C311" i="2"/>
  <c r="B311" i="2"/>
  <c r="O311" i="2" s="1"/>
  <c r="M310" i="2"/>
  <c r="O310" i="2" s="1"/>
  <c r="C310" i="2"/>
  <c r="B310" i="2"/>
  <c r="M309" i="2"/>
  <c r="C309" i="2"/>
  <c r="B309" i="2"/>
  <c r="O309" i="2" s="1"/>
  <c r="M308" i="2"/>
  <c r="C308" i="2"/>
  <c r="B308" i="2"/>
  <c r="O308" i="2" s="1"/>
  <c r="M307" i="2"/>
  <c r="C307" i="2"/>
  <c r="B307" i="2"/>
  <c r="O307" i="2" s="1"/>
  <c r="M306" i="2"/>
  <c r="C306" i="2"/>
  <c r="B306" i="2"/>
  <c r="O306" i="2" s="1"/>
  <c r="M305" i="2"/>
  <c r="O305" i="2" s="1"/>
  <c r="C305" i="2"/>
  <c r="B305" i="2"/>
  <c r="O304" i="2"/>
  <c r="M304" i="2"/>
  <c r="C304" i="2"/>
  <c r="B304" i="2"/>
  <c r="M303" i="2"/>
  <c r="O303" i="2" s="1"/>
  <c r="C303" i="2"/>
  <c r="B303" i="2"/>
  <c r="M302" i="2"/>
  <c r="C302" i="2"/>
  <c r="B302" i="2"/>
  <c r="O302" i="2" s="1"/>
  <c r="M301" i="2"/>
  <c r="C301" i="2"/>
  <c r="B301" i="2"/>
  <c r="O301" i="2" s="1"/>
  <c r="M300" i="2"/>
  <c r="C300" i="2"/>
  <c r="B300" i="2"/>
  <c r="O300" i="2" s="1"/>
  <c r="M299" i="2"/>
  <c r="C299" i="2"/>
  <c r="O299" i="2" s="1"/>
  <c r="B299" i="2"/>
  <c r="M298" i="2"/>
  <c r="C298" i="2"/>
  <c r="B298" i="2"/>
  <c r="O298" i="2" s="1"/>
  <c r="M297" i="2"/>
  <c r="C297" i="2"/>
  <c r="B297" i="2"/>
  <c r="M296" i="2"/>
  <c r="C296" i="2"/>
  <c r="B296" i="2"/>
  <c r="O296" i="2" s="1"/>
  <c r="M295" i="2"/>
  <c r="C295" i="2"/>
  <c r="B295" i="2"/>
  <c r="O295" i="2" s="1"/>
  <c r="M294" i="2"/>
  <c r="O294" i="2" s="1"/>
  <c r="C294" i="2"/>
  <c r="B294" i="2"/>
  <c r="O293" i="2"/>
  <c r="M293" i="2"/>
  <c r="C293" i="2"/>
  <c r="B293" i="2"/>
  <c r="M292" i="2"/>
  <c r="C292" i="2"/>
  <c r="B292" i="2"/>
  <c r="M291" i="2"/>
  <c r="C291" i="2"/>
  <c r="B291" i="2"/>
  <c r="O291" i="2" s="1"/>
  <c r="M290" i="2"/>
  <c r="C290" i="2"/>
  <c r="B290" i="2"/>
  <c r="O290" i="2" s="1"/>
  <c r="M289" i="2"/>
  <c r="C289" i="2"/>
  <c r="B289" i="2"/>
  <c r="O289" i="2" s="1"/>
  <c r="M288" i="2"/>
  <c r="C288" i="2"/>
  <c r="O288" i="2" s="1"/>
  <c r="B288" i="2"/>
  <c r="M287" i="2"/>
  <c r="C287" i="2"/>
  <c r="B287" i="2"/>
  <c r="O287" i="2" s="1"/>
  <c r="M286" i="2"/>
  <c r="C286" i="2"/>
  <c r="B286" i="2"/>
  <c r="M285" i="2"/>
  <c r="C285" i="2"/>
  <c r="B285" i="2"/>
  <c r="O285" i="2" s="1"/>
  <c r="M284" i="2"/>
  <c r="C284" i="2"/>
  <c r="B284" i="2"/>
  <c r="O284" i="2" s="1"/>
  <c r="M283" i="2"/>
  <c r="C283" i="2"/>
  <c r="B283" i="2"/>
  <c r="O283" i="2" s="1"/>
  <c r="M282" i="2"/>
  <c r="C282" i="2"/>
  <c r="B282" i="2"/>
  <c r="O282" i="2" s="1"/>
  <c r="M281" i="2"/>
  <c r="C281" i="2"/>
  <c r="B281" i="2"/>
  <c r="O281" i="2" s="1"/>
  <c r="M280" i="2"/>
  <c r="C280" i="2"/>
  <c r="B280" i="2"/>
  <c r="O280" i="2" s="1"/>
  <c r="M279" i="2"/>
  <c r="C279" i="2"/>
  <c r="B279" i="2"/>
  <c r="O279" i="2" s="1"/>
  <c r="M278" i="2"/>
  <c r="C278" i="2"/>
  <c r="B278" i="2"/>
  <c r="O278" i="2" s="1"/>
  <c r="M277" i="2"/>
  <c r="C277" i="2"/>
  <c r="B277" i="2"/>
  <c r="O277" i="2" s="1"/>
  <c r="M276" i="2"/>
  <c r="C276" i="2"/>
  <c r="B276" i="2"/>
  <c r="O276" i="2" s="1"/>
  <c r="M275" i="2"/>
  <c r="O275" i="2" s="1"/>
  <c r="C275" i="2"/>
  <c r="B275" i="2"/>
  <c r="M274" i="2"/>
  <c r="C274" i="2"/>
  <c r="B274" i="2"/>
  <c r="O274" i="2" s="1"/>
  <c r="M273" i="2"/>
  <c r="C273" i="2"/>
  <c r="B273" i="2"/>
  <c r="O273" i="2" s="1"/>
  <c r="M272" i="2"/>
  <c r="C272" i="2"/>
  <c r="B272" i="2"/>
  <c r="M271" i="2"/>
  <c r="C271" i="2"/>
  <c r="B271" i="2"/>
  <c r="M270" i="2"/>
  <c r="C270" i="2"/>
  <c r="B270" i="2"/>
  <c r="O270" i="2" s="1"/>
  <c r="M269" i="2"/>
  <c r="C269" i="2"/>
  <c r="B269" i="2"/>
  <c r="O269" i="2" s="1"/>
  <c r="M268" i="2"/>
  <c r="C268" i="2"/>
  <c r="B268" i="2"/>
  <c r="O268" i="2" s="1"/>
  <c r="M267" i="2"/>
  <c r="C267" i="2"/>
  <c r="B267" i="2"/>
  <c r="O267" i="2" s="1"/>
  <c r="M266" i="2"/>
  <c r="C266" i="2"/>
  <c r="B266" i="2"/>
  <c r="O265" i="2"/>
  <c r="M265" i="2"/>
  <c r="C265" i="2"/>
  <c r="B265" i="2"/>
  <c r="M264" i="2"/>
  <c r="O264" i="2" s="1"/>
  <c r="C264" i="2"/>
  <c r="B264" i="2"/>
  <c r="M263" i="2"/>
  <c r="C263" i="2"/>
  <c r="B263" i="2"/>
  <c r="O263" i="2" s="1"/>
  <c r="M262" i="2"/>
  <c r="C262" i="2"/>
  <c r="B262" i="2"/>
  <c r="O262" i="2" s="1"/>
  <c r="M261" i="2"/>
  <c r="C261" i="2"/>
  <c r="B261" i="2"/>
  <c r="O261" i="2" s="1"/>
  <c r="M260" i="2"/>
  <c r="C260" i="2"/>
  <c r="B260" i="2"/>
  <c r="M259" i="2"/>
  <c r="C259" i="2"/>
  <c r="B259" i="2"/>
  <c r="O259" i="2" s="1"/>
  <c r="M258" i="2"/>
  <c r="C258" i="2"/>
  <c r="B258" i="2"/>
  <c r="O258" i="2" s="1"/>
  <c r="M257" i="2"/>
  <c r="C257" i="2"/>
  <c r="B257" i="2"/>
  <c r="O257" i="2" s="1"/>
  <c r="M256" i="2"/>
  <c r="C256" i="2"/>
  <c r="B256" i="2"/>
  <c r="O256" i="2" s="1"/>
  <c r="M255" i="2"/>
  <c r="O255" i="2" s="1"/>
  <c r="C255" i="2"/>
  <c r="B255" i="2"/>
  <c r="O254" i="2"/>
  <c r="M254" i="2"/>
  <c r="C254" i="2"/>
  <c r="B254" i="2"/>
  <c r="M253" i="2"/>
  <c r="O253" i="2" s="1"/>
  <c r="C253" i="2"/>
  <c r="B253" i="2"/>
  <c r="M252" i="2"/>
  <c r="C252" i="2"/>
  <c r="B252" i="2"/>
  <c r="O252" i="2" s="1"/>
  <c r="M251" i="2"/>
  <c r="C251" i="2"/>
  <c r="B251" i="2"/>
  <c r="O251" i="2" s="1"/>
  <c r="M250" i="2"/>
  <c r="C250" i="2"/>
  <c r="B250" i="2"/>
  <c r="O250" i="2" s="1"/>
  <c r="M249" i="2"/>
  <c r="C249" i="2"/>
  <c r="O249" i="2" s="1"/>
  <c r="B249" i="2"/>
  <c r="M248" i="2"/>
  <c r="C248" i="2"/>
  <c r="B248" i="2"/>
  <c r="O248" i="2" s="1"/>
  <c r="M247" i="2"/>
  <c r="C247" i="2"/>
  <c r="B247" i="2"/>
  <c r="M246" i="2"/>
  <c r="C246" i="2"/>
  <c r="B246" i="2"/>
  <c r="O246" i="2" s="1"/>
  <c r="M245" i="2"/>
  <c r="C245" i="2"/>
  <c r="B245" i="2"/>
  <c r="O245" i="2" s="1"/>
  <c r="M244" i="2"/>
  <c r="C244" i="2"/>
  <c r="B244" i="2"/>
  <c r="O244" i="2" s="1"/>
  <c r="O243" i="2"/>
  <c r="M243" i="2"/>
  <c r="C243" i="2"/>
  <c r="B243" i="2"/>
  <c r="M242" i="2"/>
  <c r="C242" i="2"/>
  <c r="B242" i="2"/>
  <c r="M241" i="2"/>
  <c r="C241" i="2"/>
  <c r="B241" i="2"/>
  <c r="O241" i="2" s="1"/>
  <c r="M240" i="2"/>
  <c r="C240" i="2"/>
  <c r="B240" i="2"/>
  <c r="O240" i="2" s="1"/>
  <c r="M239" i="2"/>
  <c r="C239" i="2"/>
  <c r="B239" i="2"/>
  <c r="O239" i="2" s="1"/>
  <c r="M238" i="2"/>
  <c r="C238" i="2"/>
  <c r="O238" i="2" s="1"/>
  <c r="B238" i="2"/>
  <c r="M237" i="2"/>
  <c r="C237" i="2"/>
  <c r="B237" i="2"/>
  <c r="O237" i="2" s="1"/>
  <c r="M236" i="2"/>
  <c r="C236" i="2"/>
  <c r="B236" i="2"/>
  <c r="M235" i="2"/>
  <c r="C235" i="2"/>
  <c r="B235" i="2"/>
  <c r="O235" i="2" s="1"/>
  <c r="M234" i="2"/>
  <c r="C234" i="2"/>
  <c r="B234" i="2"/>
  <c r="O234" i="2" s="1"/>
  <c r="M233" i="2"/>
  <c r="C233" i="2"/>
  <c r="B233" i="2"/>
  <c r="O233" i="2" s="1"/>
  <c r="M232" i="2"/>
  <c r="C232" i="2"/>
  <c r="B232" i="2"/>
  <c r="O232" i="2" s="1"/>
  <c r="M231" i="2"/>
  <c r="C231" i="2"/>
  <c r="B231" i="2"/>
  <c r="O231" i="2" s="1"/>
  <c r="M230" i="2"/>
  <c r="C230" i="2"/>
  <c r="B230" i="2"/>
  <c r="O230" i="2" s="1"/>
  <c r="M229" i="2"/>
  <c r="C229" i="2"/>
  <c r="B229" i="2"/>
  <c r="O229" i="2" s="1"/>
  <c r="M228" i="2"/>
  <c r="C228" i="2"/>
  <c r="B228" i="2"/>
  <c r="M227" i="2"/>
  <c r="C227" i="2"/>
  <c r="B227" i="2"/>
  <c r="O227" i="2" s="1"/>
  <c r="M226" i="2"/>
  <c r="C226" i="2"/>
  <c r="B226" i="2"/>
  <c r="O226" i="2" s="1"/>
  <c r="M225" i="2"/>
  <c r="O225" i="2" s="1"/>
  <c r="C225" i="2"/>
  <c r="B225" i="2"/>
  <c r="M224" i="2"/>
  <c r="C224" i="2"/>
  <c r="B224" i="2"/>
  <c r="O224" i="2" s="1"/>
  <c r="M223" i="2"/>
  <c r="C223" i="2"/>
  <c r="B223" i="2"/>
  <c r="O223" i="2" s="1"/>
  <c r="M222" i="2"/>
  <c r="C222" i="2"/>
  <c r="B222" i="2"/>
  <c r="M221" i="2"/>
  <c r="C221" i="2"/>
  <c r="B221" i="2"/>
  <c r="M220" i="2"/>
  <c r="C220" i="2"/>
  <c r="B220" i="2"/>
  <c r="O220" i="2" s="1"/>
  <c r="M219" i="2"/>
  <c r="C219" i="2"/>
  <c r="B219" i="2"/>
  <c r="O219" i="2" s="1"/>
  <c r="M218" i="2"/>
  <c r="C218" i="2"/>
  <c r="B218" i="2"/>
  <c r="O218" i="2" s="1"/>
  <c r="M217" i="2"/>
  <c r="C217" i="2"/>
  <c r="B217" i="2"/>
  <c r="O217" i="2" s="1"/>
  <c r="M216" i="2"/>
  <c r="C216" i="2"/>
  <c r="B216" i="2"/>
  <c r="O216" i="2" s="1"/>
  <c r="O215" i="2"/>
  <c r="M215" i="2"/>
  <c r="C215" i="2"/>
  <c r="B215" i="2"/>
  <c r="M214" i="2"/>
  <c r="O214" i="2" s="1"/>
  <c r="C214" i="2"/>
  <c r="B214" i="2"/>
  <c r="M213" i="2"/>
  <c r="C213" i="2"/>
  <c r="B213" i="2"/>
  <c r="O213" i="2" s="1"/>
  <c r="M212" i="2"/>
  <c r="C212" i="2"/>
  <c r="B212" i="2"/>
  <c r="O212" i="2" s="1"/>
  <c r="M211" i="2"/>
  <c r="C211" i="2"/>
  <c r="B211" i="2"/>
  <c r="O211" i="2" s="1"/>
  <c r="M210" i="2"/>
  <c r="C210" i="2"/>
  <c r="B210" i="2"/>
  <c r="M209" i="2"/>
  <c r="C209" i="2"/>
  <c r="B209" i="2"/>
  <c r="O209" i="2" s="1"/>
  <c r="M208" i="2"/>
  <c r="C208" i="2"/>
  <c r="B208" i="2"/>
  <c r="O208" i="2" s="1"/>
  <c r="M207" i="2"/>
  <c r="C207" i="2"/>
  <c r="B207" i="2"/>
  <c r="O207" i="2" s="1"/>
  <c r="M206" i="2"/>
  <c r="C206" i="2"/>
  <c r="B206" i="2"/>
  <c r="O206" i="2" s="1"/>
  <c r="M205" i="2"/>
  <c r="C205" i="2"/>
  <c r="B205" i="2"/>
  <c r="O205" i="2" s="1"/>
  <c r="O204" i="2"/>
  <c r="M204" i="2"/>
  <c r="C204" i="2"/>
  <c r="B204" i="2"/>
  <c r="M203" i="2"/>
  <c r="O203" i="2" s="1"/>
  <c r="C203" i="2"/>
  <c r="B203" i="2"/>
  <c r="M202" i="2"/>
  <c r="C202" i="2"/>
  <c r="B202" i="2"/>
  <c r="O202" i="2" s="1"/>
  <c r="M201" i="2"/>
  <c r="C201" i="2"/>
  <c r="B201" i="2"/>
  <c r="O201" i="2" s="1"/>
  <c r="M200" i="2"/>
  <c r="C200" i="2"/>
  <c r="B200" i="2"/>
  <c r="O200" i="2" s="1"/>
  <c r="M199" i="2"/>
  <c r="C199" i="2"/>
  <c r="O199" i="2" s="1"/>
  <c r="B199" i="2"/>
  <c r="M198" i="2"/>
  <c r="C198" i="2"/>
  <c r="B198" i="2"/>
  <c r="O198" i="2" s="1"/>
  <c r="M197" i="2"/>
  <c r="C197" i="2"/>
  <c r="B197" i="2"/>
  <c r="M196" i="2"/>
  <c r="C196" i="2"/>
  <c r="B196" i="2"/>
  <c r="O196" i="2" s="1"/>
  <c r="M195" i="2"/>
  <c r="C195" i="2"/>
  <c r="B195" i="2"/>
  <c r="O195" i="2" s="1"/>
  <c r="M194" i="2"/>
  <c r="C194" i="2"/>
  <c r="B194" i="2"/>
  <c r="O194" i="2" s="1"/>
  <c r="O193" i="2"/>
  <c r="M193" i="2"/>
  <c r="C193" i="2"/>
  <c r="B193" i="2"/>
  <c r="M192" i="2"/>
  <c r="C192" i="2"/>
  <c r="B192" i="2"/>
  <c r="M191" i="2"/>
  <c r="C191" i="2"/>
  <c r="B191" i="2"/>
  <c r="O191" i="2" s="1"/>
  <c r="M190" i="2"/>
  <c r="C190" i="2"/>
  <c r="B190" i="2"/>
  <c r="O190" i="2" s="1"/>
  <c r="M189" i="2"/>
  <c r="C189" i="2"/>
  <c r="O189" i="2" s="1"/>
  <c r="B189" i="2"/>
  <c r="M188" i="2"/>
  <c r="O188" i="2" s="1"/>
  <c r="C188" i="2"/>
  <c r="B188" i="2"/>
  <c r="M187" i="2"/>
  <c r="C187" i="2"/>
  <c r="O187" i="2" s="1"/>
  <c r="B187" i="2"/>
  <c r="M186" i="2"/>
  <c r="C186" i="2"/>
  <c r="B186" i="2"/>
  <c r="O186" i="2" s="1"/>
  <c r="M185" i="2"/>
  <c r="C185" i="2"/>
  <c r="B185" i="2"/>
  <c r="O185" i="2" s="1"/>
  <c r="M184" i="2"/>
  <c r="C184" i="2"/>
  <c r="O184" i="2" s="1"/>
  <c r="B184" i="2"/>
  <c r="O183" i="2"/>
  <c r="M183" i="2"/>
  <c r="C183" i="2"/>
  <c r="B183" i="2"/>
  <c r="M182" i="2"/>
  <c r="C182" i="2"/>
  <c r="O182" i="2" s="1"/>
  <c r="B182" i="2"/>
  <c r="M181" i="2"/>
  <c r="C181" i="2"/>
  <c r="B181" i="2"/>
  <c r="O181" i="2" s="1"/>
  <c r="M180" i="2"/>
  <c r="C180" i="2"/>
  <c r="B180" i="2"/>
  <c r="O180" i="2" s="1"/>
  <c r="M179" i="2"/>
  <c r="C179" i="2"/>
  <c r="O179" i="2" s="1"/>
  <c r="B179" i="2"/>
  <c r="M178" i="2"/>
  <c r="O178" i="2" s="1"/>
  <c r="C178" i="2"/>
  <c r="B178" i="2"/>
  <c r="M177" i="2"/>
  <c r="C177" i="2"/>
  <c r="O177" i="2" s="1"/>
  <c r="B177" i="2"/>
  <c r="M176" i="2"/>
  <c r="C176" i="2"/>
  <c r="B176" i="2"/>
  <c r="O176" i="2" s="1"/>
  <c r="M175" i="2"/>
  <c r="C175" i="2"/>
  <c r="B175" i="2"/>
  <c r="O175" i="2" s="1"/>
  <c r="M174" i="2"/>
  <c r="C174" i="2"/>
  <c r="O174" i="2" s="1"/>
  <c r="B174" i="2"/>
  <c r="M173" i="2"/>
  <c r="O173" i="2" s="1"/>
  <c r="C173" i="2"/>
  <c r="B173" i="2"/>
  <c r="M172" i="2"/>
  <c r="C172" i="2"/>
  <c r="O172" i="2" s="1"/>
  <c r="B172" i="2"/>
  <c r="M171" i="2"/>
  <c r="C171" i="2"/>
  <c r="B171" i="2"/>
  <c r="O171" i="2" s="1"/>
  <c r="M170" i="2"/>
  <c r="C170" i="2"/>
  <c r="B170" i="2"/>
  <c r="O170" i="2" s="1"/>
  <c r="M169" i="2"/>
  <c r="C169" i="2"/>
  <c r="O169" i="2" s="1"/>
  <c r="B169" i="2"/>
  <c r="M168" i="2"/>
  <c r="O168" i="2" s="1"/>
  <c r="C168" i="2"/>
  <c r="B168" i="2"/>
  <c r="M167" i="2"/>
  <c r="C167" i="2"/>
  <c r="O167" i="2" s="1"/>
  <c r="B167" i="2"/>
  <c r="M166" i="2"/>
  <c r="C166" i="2"/>
  <c r="B166" i="2"/>
  <c r="O166" i="2" s="1"/>
  <c r="M165" i="2"/>
  <c r="C165" i="2"/>
  <c r="B165" i="2"/>
  <c r="O165" i="2" s="1"/>
  <c r="M164" i="2"/>
  <c r="C164" i="2"/>
  <c r="O164" i="2" s="1"/>
  <c r="B164" i="2"/>
  <c r="M163" i="2"/>
  <c r="O163" i="2" s="1"/>
  <c r="C163" i="2"/>
  <c r="B163" i="2"/>
  <c r="M162" i="2"/>
  <c r="C162" i="2"/>
  <c r="O162" i="2" s="1"/>
  <c r="B162" i="2"/>
  <c r="M161" i="2"/>
  <c r="C161" i="2"/>
  <c r="B161" i="2"/>
  <c r="O161" i="2" s="1"/>
  <c r="M160" i="2"/>
  <c r="C160" i="2"/>
  <c r="B160" i="2"/>
  <c r="O160" i="2" s="1"/>
  <c r="M159" i="2"/>
  <c r="C159" i="2"/>
  <c r="O159" i="2" s="1"/>
  <c r="B159" i="2"/>
  <c r="O158" i="2"/>
  <c r="M158" i="2"/>
  <c r="C158" i="2"/>
  <c r="B158" i="2"/>
  <c r="M157" i="2"/>
  <c r="C157" i="2"/>
  <c r="O157" i="2" s="1"/>
  <c r="B157" i="2"/>
  <c r="M156" i="2"/>
  <c r="C156" i="2"/>
  <c r="B156" i="2"/>
  <c r="O156" i="2" s="1"/>
  <c r="M155" i="2"/>
  <c r="C155" i="2"/>
  <c r="B155" i="2"/>
  <c r="O155" i="2" s="1"/>
  <c r="M154" i="2"/>
  <c r="C154" i="2"/>
  <c r="O154" i="2" s="1"/>
  <c r="B154" i="2"/>
  <c r="M153" i="2"/>
  <c r="O153" i="2" s="1"/>
  <c r="C153" i="2"/>
  <c r="B153" i="2"/>
  <c r="M152" i="2"/>
  <c r="C152" i="2"/>
  <c r="O152" i="2" s="1"/>
  <c r="B152" i="2"/>
  <c r="M151" i="2"/>
  <c r="C151" i="2"/>
  <c r="B151" i="2"/>
  <c r="O151" i="2" s="1"/>
  <c r="M150" i="2"/>
  <c r="C150" i="2"/>
  <c r="B150" i="2"/>
  <c r="O150" i="2" s="1"/>
  <c r="M149" i="2"/>
  <c r="C149" i="2"/>
  <c r="O149" i="2" s="1"/>
  <c r="B149" i="2"/>
  <c r="M148" i="2"/>
  <c r="O148" i="2" s="1"/>
  <c r="C148" i="2"/>
  <c r="B148" i="2"/>
  <c r="M147" i="2"/>
  <c r="C147" i="2"/>
  <c r="O147" i="2" s="1"/>
  <c r="B147" i="2"/>
  <c r="M146" i="2"/>
  <c r="C146" i="2"/>
  <c r="B146" i="2"/>
  <c r="O146" i="2" s="1"/>
  <c r="M145" i="2"/>
  <c r="C145" i="2"/>
  <c r="B145" i="2"/>
  <c r="O145" i="2" s="1"/>
  <c r="M144" i="2"/>
  <c r="C144" i="2"/>
  <c r="O144" i="2" s="1"/>
  <c r="B144" i="2"/>
  <c r="M143" i="2"/>
  <c r="O143" i="2" s="1"/>
  <c r="C143" i="2"/>
  <c r="B143" i="2"/>
  <c r="M142" i="2"/>
  <c r="C142" i="2"/>
  <c r="O142" i="2" s="1"/>
  <c r="B142" i="2"/>
  <c r="M141" i="2"/>
  <c r="C141" i="2"/>
  <c r="B141" i="2"/>
  <c r="O141" i="2" s="1"/>
  <c r="M140" i="2"/>
  <c r="C140" i="2"/>
  <c r="B140" i="2"/>
  <c r="O140" i="2" s="1"/>
  <c r="M139" i="2"/>
  <c r="C139" i="2"/>
  <c r="O139" i="2" s="1"/>
  <c r="B139" i="2"/>
  <c r="M138" i="2"/>
  <c r="O138" i="2" s="1"/>
  <c r="C138" i="2"/>
  <c r="B138" i="2"/>
  <c r="M137" i="2"/>
  <c r="C137" i="2"/>
  <c r="O137" i="2" s="1"/>
  <c r="B137" i="2"/>
  <c r="M136" i="2"/>
  <c r="C136" i="2"/>
  <c r="B136" i="2"/>
  <c r="O136" i="2" s="1"/>
  <c r="M135" i="2"/>
  <c r="C135" i="2"/>
  <c r="B135" i="2"/>
  <c r="O135" i="2" s="1"/>
  <c r="M134" i="2"/>
  <c r="C134" i="2"/>
  <c r="O134" i="2" s="1"/>
  <c r="B134" i="2"/>
  <c r="O133" i="2"/>
  <c r="M133" i="2"/>
  <c r="C133" i="2"/>
  <c r="B133" i="2"/>
  <c r="M132" i="2"/>
  <c r="C132" i="2"/>
  <c r="O132" i="2" s="1"/>
  <c r="B132" i="2"/>
  <c r="M131" i="2"/>
  <c r="C131" i="2"/>
  <c r="B131" i="2"/>
  <c r="O131" i="2" s="1"/>
  <c r="M130" i="2"/>
  <c r="C130" i="2"/>
  <c r="B130" i="2"/>
  <c r="O130" i="2" s="1"/>
  <c r="M129" i="2"/>
  <c r="C129" i="2"/>
  <c r="O129" i="2" s="1"/>
  <c r="B129" i="2"/>
  <c r="M128" i="2"/>
  <c r="O128" i="2" s="1"/>
  <c r="C128" i="2"/>
  <c r="B128" i="2"/>
  <c r="M127" i="2"/>
  <c r="C127" i="2"/>
  <c r="O127" i="2" s="1"/>
  <c r="B127" i="2"/>
  <c r="M126" i="2"/>
  <c r="C126" i="2"/>
  <c r="B126" i="2"/>
  <c r="O126" i="2" s="1"/>
  <c r="M125" i="2"/>
  <c r="C125" i="2"/>
  <c r="B125" i="2"/>
  <c r="O125" i="2" s="1"/>
  <c r="M124" i="2"/>
  <c r="C124" i="2"/>
  <c r="O124" i="2" s="1"/>
  <c r="B124" i="2"/>
  <c r="M123" i="2"/>
  <c r="O123" i="2" s="1"/>
  <c r="C123" i="2"/>
  <c r="B123" i="2"/>
  <c r="M122" i="2"/>
  <c r="C122" i="2"/>
  <c r="O122" i="2" s="1"/>
  <c r="B122" i="2"/>
  <c r="M121" i="2"/>
  <c r="C121" i="2"/>
  <c r="B121" i="2"/>
  <c r="O121" i="2" s="1"/>
  <c r="M120" i="2"/>
  <c r="C120" i="2"/>
  <c r="B120" i="2"/>
  <c r="O120" i="2" s="1"/>
  <c r="M119" i="2"/>
  <c r="C119" i="2"/>
  <c r="O119" i="2" s="1"/>
  <c r="B119" i="2"/>
  <c r="M118" i="2"/>
  <c r="O118" i="2" s="1"/>
  <c r="C118" i="2"/>
  <c r="B118" i="2"/>
  <c r="M117" i="2"/>
  <c r="C117" i="2"/>
  <c r="O117" i="2" s="1"/>
  <c r="B117" i="2"/>
  <c r="M116" i="2"/>
  <c r="C116" i="2"/>
  <c r="B116" i="2"/>
  <c r="O116" i="2" s="1"/>
  <c r="M115" i="2"/>
  <c r="C115" i="2"/>
  <c r="B115" i="2"/>
  <c r="O115" i="2" s="1"/>
  <c r="M114" i="2"/>
  <c r="C114" i="2"/>
  <c r="O114" i="2" s="1"/>
  <c r="B114" i="2"/>
  <c r="M113" i="2"/>
  <c r="O113" i="2" s="1"/>
  <c r="C113" i="2"/>
  <c r="B113" i="2"/>
  <c r="M112" i="2"/>
  <c r="C112" i="2"/>
  <c r="O112" i="2" s="1"/>
  <c r="B112" i="2"/>
  <c r="M111" i="2"/>
  <c r="C111" i="2"/>
  <c r="B111" i="2"/>
  <c r="O111" i="2" s="1"/>
  <c r="M110" i="2"/>
  <c r="C110" i="2"/>
  <c r="B110" i="2"/>
  <c r="O110" i="2" s="1"/>
  <c r="M109" i="2"/>
  <c r="C109" i="2"/>
  <c r="O109" i="2" s="1"/>
  <c r="B109" i="2"/>
  <c r="O108" i="2"/>
  <c r="M108" i="2"/>
  <c r="C108" i="2"/>
  <c r="B108" i="2"/>
  <c r="M107" i="2"/>
  <c r="C107" i="2"/>
  <c r="O107" i="2" s="1"/>
  <c r="B107" i="2"/>
  <c r="M106" i="2"/>
  <c r="C106" i="2"/>
  <c r="B106" i="2"/>
  <c r="O106" i="2" s="1"/>
  <c r="M105" i="2"/>
  <c r="C105" i="2"/>
  <c r="B105" i="2"/>
  <c r="O105" i="2" s="1"/>
  <c r="M104" i="2"/>
  <c r="C104" i="2"/>
  <c r="O104" i="2" s="1"/>
  <c r="B104" i="2"/>
  <c r="M103" i="2"/>
  <c r="O103" i="2" s="1"/>
  <c r="C103" i="2"/>
  <c r="B103" i="2"/>
  <c r="M102" i="2"/>
  <c r="C102" i="2"/>
  <c r="O102" i="2" s="1"/>
  <c r="B102" i="2"/>
  <c r="M101" i="2"/>
  <c r="C101" i="2"/>
  <c r="B101" i="2"/>
  <c r="O101" i="2" s="1"/>
  <c r="M100" i="2"/>
  <c r="C100" i="2"/>
  <c r="B100" i="2"/>
  <c r="O100" i="2" s="1"/>
  <c r="M99" i="2"/>
  <c r="C99" i="2"/>
  <c r="O99" i="2" s="1"/>
  <c r="B99" i="2"/>
  <c r="M98" i="2"/>
  <c r="O98" i="2" s="1"/>
  <c r="C98" i="2"/>
  <c r="B98" i="2"/>
  <c r="M97" i="2"/>
  <c r="C97" i="2"/>
  <c r="O97" i="2" s="1"/>
  <c r="B97" i="2"/>
  <c r="M96" i="2"/>
  <c r="C96" i="2"/>
  <c r="B96" i="2"/>
  <c r="O96" i="2" s="1"/>
  <c r="M95" i="2"/>
  <c r="C95" i="2"/>
  <c r="B95" i="2"/>
  <c r="O95" i="2" s="1"/>
  <c r="M94" i="2"/>
  <c r="C94" i="2"/>
  <c r="O94" i="2" s="1"/>
  <c r="B94" i="2"/>
  <c r="M93" i="2"/>
  <c r="O93" i="2" s="1"/>
  <c r="C93" i="2"/>
  <c r="B93" i="2"/>
  <c r="M92" i="2"/>
  <c r="C92" i="2"/>
  <c r="O92" i="2" s="1"/>
  <c r="B92" i="2"/>
  <c r="M91" i="2"/>
  <c r="C91" i="2"/>
  <c r="B91" i="2"/>
  <c r="O91" i="2" s="1"/>
  <c r="M90" i="2"/>
  <c r="C90" i="2"/>
  <c r="B90" i="2"/>
  <c r="O90" i="2" s="1"/>
  <c r="M89" i="2"/>
  <c r="C89" i="2"/>
  <c r="O89" i="2" s="1"/>
  <c r="B89" i="2"/>
  <c r="M88" i="2"/>
  <c r="O88" i="2" s="1"/>
  <c r="C88" i="2"/>
  <c r="B88" i="2"/>
  <c r="M87" i="2"/>
  <c r="C87" i="2"/>
  <c r="O87" i="2" s="1"/>
  <c r="B87" i="2"/>
  <c r="M86" i="2"/>
  <c r="C86" i="2"/>
  <c r="B86" i="2"/>
  <c r="O86" i="2" s="1"/>
  <c r="M85" i="2"/>
  <c r="C85" i="2"/>
  <c r="B85" i="2"/>
  <c r="O85" i="2" s="1"/>
  <c r="M84" i="2"/>
  <c r="C84" i="2"/>
  <c r="O84" i="2" s="1"/>
  <c r="B84" i="2"/>
  <c r="O83" i="2"/>
  <c r="M83" i="2"/>
  <c r="C83" i="2"/>
  <c r="B83" i="2"/>
  <c r="M82" i="2"/>
  <c r="C82" i="2"/>
  <c r="O82" i="2" s="1"/>
  <c r="B82" i="2"/>
  <c r="M81" i="2"/>
  <c r="C81" i="2"/>
  <c r="B81" i="2"/>
  <c r="O81" i="2" s="1"/>
  <c r="M80" i="2"/>
  <c r="C80" i="2"/>
  <c r="B80" i="2"/>
  <c r="O80" i="2" s="1"/>
  <c r="M79" i="2"/>
  <c r="C79" i="2"/>
  <c r="O79" i="2" s="1"/>
  <c r="B79" i="2"/>
  <c r="M78" i="2"/>
  <c r="O78" i="2" s="1"/>
  <c r="C78" i="2"/>
  <c r="B78" i="2"/>
  <c r="M77" i="2"/>
  <c r="C77" i="2"/>
  <c r="O77" i="2" s="1"/>
  <c r="B77" i="2"/>
  <c r="M76" i="2"/>
  <c r="C76" i="2"/>
  <c r="B76" i="2"/>
  <c r="O76" i="2" s="1"/>
  <c r="M75" i="2"/>
  <c r="C75" i="2"/>
  <c r="B75" i="2"/>
  <c r="O75" i="2" s="1"/>
  <c r="M74" i="2"/>
  <c r="C74" i="2"/>
  <c r="O74" i="2" s="1"/>
  <c r="B74" i="2"/>
  <c r="M73" i="2"/>
  <c r="O73" i="2" s="1"/>
  <c r="C73" i="2"/>
  <c r="B73" i="2"/>
  <c r="M72" i="2"/>
  <c r="C72" i="2"/>
  <c r="O72" i="2" s="1"/>
  <c r="B72" i="2"/>
  <c r="M71" i="2"/>
  <c r="C71" i="2"/>
  <c r="B71" i="2"/>
  <c r="O71" i="2" s="1"/>
  <c r="M70" i="2"/>
  <c r="C70" i="2"/>
  <c r="B70" i="2"/>
  <c r="O70" i="2" s="1"/>
  <c r="M69" i="2"/>
  <c r="C69" i="2"/>
  <c r="O69" i="2" s="1"/>
  <c r="B69" i="2"/>
  <c r="M68" i="2"/>
  <c r="O68" i="2" s="1"/>
  <c r="C68" i="2"/>
  <c r="B68" i="2"/>
  <c r="M67" i="2"/>
  <c r="C67" i="2"/>
  <c r="O67" i="2" s="1"/>
  <c r="B67" i="2"/>
  <c r="M66" i="2"/>
  <c r="C66" i="2"/>
  <c r="B66" i="2"/>
  <c r="O66" i="2" s="1"/>
  <c r="M65" i="2"/>
  <c r="C65" i="2"/>
  <c r="B65" i="2"/>
  <c r="O65" i="2" s="1"/>
  <c r="M64" i="2"/>
  <c r="C64" i="2"/>
  <c r="O64" i="2" s="1"/>
  <c r="B64" i="2"/>
  <c r="M63" i="2"/>
  <c r="O63" i="2" s="1"/>
  <c r="C63" i="2"/>
  <c r="B63" i="2"/>
  <c r="M62" i="2"/>
  <c r="C62" i="2"/>
  <c r="O62" i="2" s="1"/>
  <c r="B62" i="2"/>
  <c r="M61" i="2"/>
  <c r="C61" i="2"/>
  <c r="B61" i="2"/>
  <c r="O61" i="2" s="1"/>
  <c r="M60" i="2"/>
  <c r="C60" i="2"/>
  <c r="B60" i="2"/>
  <c r="O60" i="2" s="1"/>
  <c r="M59" i="2"/>
  <c r="C59" i="2"/>
  <c r="O59" i="2" s="1"/>
  <c r="B59" i="2"/>
  <c r="O58" i="2"/>
  <c r="M58" i="2"/>
  <c r="C58" i="2"/>
  <c r="B58" i="2"/>
  <c r="M57" i="2"/>
  <c r="C57" i="2"/>
  <c r="O57" i="2" s="1"/>
  <c r="B57" i="2"/>
  <c r="M56" i="2"/>
  <c r="C56" i="2"/>
  <c r="B56" i="2"/>
  <c r="O56" i="2" s="1"/>
  <c r="M55" i="2"/>
  <c r="C55" i="2"/>
  <c r="B55" i="2"/>
  <c r="O55" i="2" s="1"/>
  <c r="M54" i="2"/>
  <c r="C54" i="2"/>
  <c r="O54" i="2" s="1"/>
  <c r="B54" i="2"/>
  <c r="M53" i="2"/>
  <c r="O53" i="2" s="1"/>
  <c r="C53" i="2"/>
  <c r="B53" i="2"/>
  <c r="M52" i="2"/>
  <c r="C52" i="2"/>
  <c r="O52" i="2" s="1"/>
  <c r="B52" i="2"/>
  <c r="M51" i="2"/>
  <c r="C51" i="2"/>
  <c r="B51" i="2"/>
  <c r="O51" i="2" s="1"/>
  <c r="M50" i="2"/>
  <c r="C50" i="2"/>
  <c r="B50" i="2"/>
  <c r="O50" i="2" s="1"/>
  <c r="M49" i="2"/>
  <c r="C49" i="2"/>
  <c r="O49" i="2" s="1"/>
  <c r="B49" i="2"/>
  <c r="M48" i="2"/>
  <c r="O48" i="2" s="1"/>
  <c r="C48" i="2"/>
  <c r="B48" i="2"/>
  <c r="M47" i="2"/>
  <c r="C47" i="2"/>
  <c r="O47" i="2" s="1"/>
  <c r="B47" i="2"/>
  <c r="M46" i="2"/>
  <c r="C46" i="2"/>
  <c r="B46" i="2"/>
  <c r="O46" i="2" s="1"/>
  <c r="M45" i="2"/>
  <c r="C45" i="2"/>
  <c r="B45" i="2"/>
  <c r="O45" i="2" s="1"/>
  <c r="M44" i="2"/>
  <c r="C44" i="2"/>
  <c r="O44" i="2" s="1"/>
  <c r="B44" i="2"/>
  <c r="M43" i="2"/>
  <c r="O43" i="2" s="1"/>
  <c r="C43" i="2"/>
  <c r="B43" i="2"/>
  <c r="M42" i="2"/>
  <c r="C42" i="2"/>
  <c r="O42" i="2" s="1"/>
  <c r="B42" i="2"/>
  <c r="M41" i="2"/>
  <c r="C41" i="2"/>
  <c r="B41" i="2"/>
  <c r="O41" i="2" s="1"/>
  <c r="M40" i="2"/>
  <c r="C40" i="2"/>
  <c r="B40" i="2"/>
  <c r="O40" i="2" s="1"/>
  <c r="M39" i="2"/>
  <c r="C39" i="2"/>
  <c r="O39" i="2" s="1"/>
  <c r="B39" i="2"/>
  <c r="M38" i="2"/>
  <c r="O38" i="2" s="1"/>
  <c r="C38" i="2"/>
  <c r="B38" i="2"/>
  <c r="M37" i="2"/>
  <c r="C37" i="2"/>
  <c r="O37" i="2" s="1"/>
  <c r="B37" i="2"/>
  <c r="M36" i="2"/>
  <c r="C36" i="2"/>
  <c r="B36" i="2"/>
  <c r="O36" i="2" s="1"/>
  <c r="M35" i="2"/>
  <c r="C35" i="2"/>
  <c r="B35" i="2"/>
  <c r="O35" i="2" s="1"/>
  <c r="M34" i="2"/>
  <c r="C34" i="2"/>
  <c r="O34" i="2" s="1"/>
  <c r="B34" i="2"/>
  <c r="O33" i="2"/>
  <c r="M33" i="2"/>
  <c r="C33" i="2"/>
  <c r="B33" i="2"/>
  <c r="M32" i="2"/>
  <c r="C32" i="2"/>
  <c r="O32" i="2" s="1"/>
  <c r="B32" i="2"/>
  <c r="M31" i="2"/>
  <c r="C31" i="2"/>
  <c r="B31" i="2"/>
  <c r="O31" i="2" s="1"/>
  <c r="M30" i="2"/>
  <c r="C30" i="2"/>
  <c r="B30" i="2"/>
  <c r="O30" i="2" s="1"/>
  <c r="M29" i="2"/>
  <c r="C29" i="2"/>
  <c r="O29" i="2" s="1"/>
  <c r="B29" i="2"/>
  <c r="M28" i="2"/>
  <c r="O28" i="2" s="1"/>
  <c r="C28" i="2"/>
  <c r="B28" i="2"/>
  <c r="M27" i="2"/>
  <c r="C27" i="2"/>
  <c r="O27" i="2" s="1"/>
  <c r="B27" i="2"/>
  <c r="M26" i="2"/>
  <c r="C26" i="2"/>
  <c r="B26" i="2"/>
  <c r="O26" i="2" s="1"/>
  <c r="M25" i="2"/>
  <c r="C25" i="2"/>
  <c r="B25" i="2"/>
  <c r="O25" i="2" s="1"/>
  <c r="M24" i="2"/>
  <c r="C24" i="2"/>
  <c r="O24" i="2" s="1"/>
  <c r="B24" i="2"/>
  <c r="M23" i="2"/>
  <c r="O23" i="2" s="1"/>
  <c r="C23" i="2"/>
  <c r="B23" i="2"/>
  <c r="M22" i="2"/>
  <c r="C22" i="2"/>
  <c r="O22" i="2" s="1"/>
  <c r="B22" i="2"/>
  <c r="M21" i="2"/>
  <c r="C21" i="2"/>
  <c r="B21" i="2"/>
  <c r="O21" i="2" s="1"/>
  <c r="M20" i="2"/>
  <c r="C20" i="2"/>
  <c r="B20" i="2"/>
  <c r="O20" i="2" s="1"/>
  <c r="M19" i="2"/>
  <c r="C19" i="2"/>
  <c r="O19" i="2" s="1"/>
  <c r="B19" i="2"/>
  <c r="M18" i="2"/>
  <c r="O18" i="2" s="1"/>
  <c r="C18" i="2"/>
  <c r="B18" i="2"/>
  <c r="M17" i="2"/>
  <c r="C17" i="2"/>
  <c r="O17" i="2" s="1"/>
  <c r="B17" i="2"/>
  <c r="M16" i="2"/>
  <c r="C16" i="2"/>
  <c r="B16" i="2"/>
  <c r="O16" i="2" s="1"/>
  <c r="M15" i="2"/>
  <c r="C15" i="2"/>
  <c r="B15" i="2"/>
  <c r="O15" i="2" s="1"/>
  <c r="M14" i="2"/>
  <c r="C14" i="2"/>
  <c r="O14" i="2" s="1"/>
  <c r="B14" i="2"/>
  <c r="M13" i="2"/>
  <c r="O13" i="2" s="1"/>
  <c r="C13" i="2"/>
  <c r="B13" i="2"/>
  <c r="M12" i="2"/>
  <c r="C12" i="2"/>
  <c r="O12" i="2" s="1"/>
  <c r="B12" i="2"/>
  <c r="M11" i="2"/>
  <c r="C11" i="2"/>
  <c r="B11" i="2"/>
  <c r="O11" i="2" s="1"/>
  <c r="M10" i="2"/>
  <c r="C10" i="2"/>
  <c r="B10" i="2"/>
  <c r="O10" i="2" s="1"/>
  <c r="M9" i="2"/>
  <c r="C9" i="2"/>
  <c r="O9" i="2" s="1"/>
  <c r="B9" i="2"/>
  <c r="E35" i="1"/>
  <c r="D35" i="1"/>
  <c r="C35" i="1"/>
  <c r="B35" i="1"/>
  <c r="E34" i="1"/>
  <c r="D34" i="1"/>
  <c r="C34" i="1"/>
  <c r="B34" i="1"/>
  <c r="E33" i="1"/>
  <c r="D33" i="1"/>
  <c r="C33" i="1"/>
  <c r="B33" i="1"/>
  <c r="F33" i="1" s="1"/>
  <c r="E32" i="1"/>
  <c r="D32" i="1"/>
  <c r="C32" i="1"/>
  <c r="B32" i="1"/>
  <c r="E31" i="1"/>
  <c r="D31" i="1"/>
  <c r="C31" i="1"/>
  <c r="B31" i="1"/>
  <c r="E30" i="1"/>
  <c r="D30" i="1"/>
  <c r="C30" i="1"/>
  <c r="B30" i="1"/>
  <c r="E29" i="1"/>
  <c r="D29" i="1"/>
  <c r="C29" i="1"/>
  <c r="B29" i="1"/>
  <c r="E28" i="1"/>
  <c r="D28" i="1"/>
  <c r="C28" i="1"/>
  <c r="B28" i="1"/>
  <c r="E27" i="1"/>
  <c r="D27" i="1"/>
  <c r="C27" i="1"/>
  <c r="B27" i="1"/>
  <c r="E26" i="1"/>
  <c r="D26" i="1"/>
  <c r="C26" i="1"/>
  <c r="B26" i="1"/>
  <c r="E25" i="1"/>
  <c r="D25" i="1"/>
  <c r="C25" i="1"/>
  <c r="B25" i="1"/>
  <c r="E24" i="1"/>
  <c r="D24" i="1"/>
  <c r="C24" i="1"/>
  <c r="B24" i="1"/>
  <c r="I22" i="1"/>
  <c r="H22" i="1"/>
  <c r="I18" i="1"/>
  <c r="H18" i="1"/>
  <c r="J18" i="1" s="1"/>
  <c r="J7" i="1"/>
  <c r="C19" i="1" s="1"/>
  <c r="G7" i="1"/>
  <c r="C18" i="1" s="1"/>
  <c r="A7" i="1"/>
  <c r="L4" i="1"/>
  <c r="H4" i="1"/>
  <c r="I24" i="1" s="1"/>
  <c r="F29" i="1" l="1"/>
  <c r="F30" i="1"/>
  <c r="F34" i="1"/>
  <c r="F26" i="1"/>
  <c r="F35" i="1"/>
  <c r="F28" i="1"/>
  <c r="F24" i="1"/>
  <c r="F27" i="1"/>
  <c r="F31" i="1"/>
  <c r="H67" i="3"/>
  <c r="I67" i="3" s="1"/>
  <c r="G67" i="3"/>
  <c r="H192" i="3"/>
  <c r="I192" i="3" s="1"/>
  <c r="G192" i="3"/>
  <c r="H194" i="3"/>
  <c r="I194" i="3" s="1"/>
  <c r="G194" i="3"/>
  <c r="H103" i="3"/>
  <c r="I103" i="3" s="1"/>
  <c r="G103" i="3"/>
  <c r="G60" i="3"/>
  <c r="H60" i="3"/>
  <c r="I60" i="3" s="1"/>
  <c r="H76" i="3"/>
  <c r="I76" i="3" s="1"/>
  <c r="G76" i="3"/>
  <c r="H211" i="3"/>
  <c r="I211" i="3" s="1"/>
  <c r="G211" i="3"/>
  <c r="H158" i="3"/>
  <c r="I158" i="3" s="1"/>
  <c r="G158" i="3"/>
  <c r="G49" i="3"/>
  <c r="H77" i="3"/>
  <c r="I77" i="3" s="1"/>
  <c r="G77" i="3"/>
  <c r="G149" i="3"/>
  <c r="H41" i="3"/>
  <c r="I41" i="3" s="1"/>
  <c r="G41" i="3"/>
  <c r="G85" i="3"/>
  <c r="H147" i="3"/>
  <c r="I147" i="3" s="1"/>
  <c r="G147" i="3"/>
  <c r="O228" i="2"/>
  <c r="O266" i="2"/>
  <c r="G21" i="3"/>
  <c r="H12" i="3"/>
  <c r="I12" i="3" s="1"/>
  <c r="G12" i="3"/>
  <c r="H69" i="3"/>
  <c r="I69" i="3" s="1"/>
  <c r="G69" i="3"/>
  <c r="H86" i="3"/>
  <c r="I86" i="3" s="1"/>
  <c r="G86" i="3"/>
  <c r="D18" i="1"/>
  <c r="E18" i="1" s="1"/>
  <c r="D12" i="1"/>
  <c r="D19" i="1"/>
  <c r="E19" i="1" s="1"/>
  <c r="H104" i="3"/>
  <c r="I104" i="3" s="1"/>
  <c r="G104" i="3"/>
  <c r="K18" i="1"/>
  <c r="L18" i="1" s="1"/>
  <c r="H183" i="3"/>
  <c r="I183" i="3" s="1"/>
  <c r="G183" i="3"/>
  <c r="H68" i="3"/>
  <c r="I68" i="3" s="1"/>
  <c r="G68" i="3"/>
  <c r="H32" i="3"/>
  <c r="I32" i="3" s="1"/>
  <c r="G32" i="3"/>
  <c r="O260" i="2"/>
  <c r="O363" i="2"/>
  <c r="H201" i="3"/>
  <c r="I201" i="3" s="1"/>
  <c r="G201" i="3"/>
  <c r="H23" i="3"/>
  <c r="I23" i="3" s="1"/>
  <c r="G23" i="3"/>
  <c r="H185" i="3"/>
  <c r="I185" i="3" s="1"/>
  <c r="G185" i="3"/>
  <c r="H138" i="3"/>
  <c r="I138" i="3" s="1"/>
  <c r="G138" i="3"/>
  <c r="H30" i="1"/>
  <c r="F25" i="1"/>
  <c r="K22" i="1"/>
  <c r="L22" i="1" s="1"/>
  <c r="J22" i="1"/>
  <c r="H112" i="3"/>
  <c r="I112" i="3" s="1"/>
  <c r="G112" i="3"/>
  <c r="G14" i="3"/>
  <c r="H58" i="3"/>
  <c r="I58" i="3" s="1"/>
  <c r="G58" i="3"/>
  <c r="F32" i="1"/>
  <c r="O210" i="2"/>
  <c r="G40" i="3"/>
  <c r="H156" i="3"/>
  <c r="I156" i="3" s="1"/>
  <c r="G156" i="3"/>
  <c r="H102" i="3"/>
  <c r="I102" i="3" s="1"/>
  <c r="G102" i="3"/>
  <c r="D7" i="1"/>
  <c r="C17" i="1" s="1"/>
  <c r="D17" i="1" s="1"/>
  <c r="E17" i="1" s="1"/>
  <c r="O222" i="2"/>
  <c r="O272" i="2"/>
  <c r="O352" i="2"/>
  <c r="O399" i="2"/>
  <c r="H13" i="3"/>
  <c r="I13" i="3" s="1"/>
  <c r="G13" i="3"/>
  <c r="H22" i="3"/>
  <c r="I22" i="3" s="1"/>
  <c r="G22" i="3"/>
  <c r="G111" i="3"/>
  <c r="G139" i="3"/>
  <c r="H148" i="3"/>
  <c r="I148" i="3" s="1"/>
  <c r="G148" i="3"/>
  <c r="H157" i="3"/>
  <c r="I157" i="3" s="1"/>
  <c r="G157" i="3"/>
  <c r="G184" i="3"/>
  <c r="H193" i="3"/>
  <c r="I193" i="3" s="1"/>
  <c r="G193" i="3"/>
  <c r="H202" i="3"/>
  <c r="I202" i="3" s="1"/>
  <c r="G202" i="3"/>
  <c r="H122" i="3"/>
  <c r="I122" i="3" s="1"/>
  <c r="G122" i="3"/>
  <c r="H195" i="3"/>
  <c r="I195" i="3" s="1"/>
  <c r="J12" i="1"/>
  <c r="G25" i="3"/>
  <c r="G34" i="3"/>
  <c r="G115" i="3"/>
  <c r="G124" i="3"/>
  <c r="G214" i="3"/>
  <c r="H167" i="3"/>
  <c r="I167" i="3" s="1"/>
  <c r="G167" i="3"/>
  <c r="H168" i="3"/>
  <c r="I168" i="3" s="1"/>
  <c r="G168" i="3"/>
  <c r="H132" i="3"/>
  <c r="I132" i="3" s="1"/>
  <c r="G132" i="3"/>
  <c r="H43" i="3"/>
  <c r="I43" i="3" s="1"/>
  <c r="G43" i="3"/>
  <c r="G141" i="3"/>
  <c r="G160" i="3"/>
  <c r="G169" i="3"/>
  <c r="G186" i="3"/>
  <c r="G205" i="3"/>
  <c r="G61" i="3"/>
  <c r="G80" i="3"/>
  <c r="H62" i="3"/>
  <c r="I62" i="3" s="1"/>
  <c r="G62" i="3"/>
  <c r="G196" i="3"/>
  <c r="H17" i="3"/>
  <c r="I17" i="3" s="1"/>
  <c r="G17" i="3"/>
  <c r="H35" i="3"/>
  <c r="I35" i="3" s="1"/>
  <c r="G71" i="3"/>
  <c r="G106" i="3"/>
  <c r="G125" i="3"/>
  <c r="G134" i="3"/>
  <c r="H143" i="3"/>
  <c r="I143" i="3" s="1"/>
  <c r="G143" i="3"/>
  <c r="H152" i="3"/>
  <c r="I152" i="3" s="1"/>
  <c r="G152" i="3"/>
  <c r="H170" i="3"/>
  <c r="I170" i="3" s="1"/>
  <c r="G179" i="3"/>
  <c r="H188" i="3"/>
  <c r="I188" i="3" s="1"/>
  <c r="G188" i="3"/>
  <c r="H197" i="3"/>
  <c r="I197" i="3" s="1"/>
  <c r="G197" i="3"/>
  <c r="G215" i="3"/>
  <c r="A12" i="1"/>
  <c r="H113" i="3"/>
  <c r="I113" i="3" s="1"/>
  <c r="G113" i="3"/>
  <c r="G15" i="3"/>
  <c r="G51" i="3"/>
  <c r="G70" i="3"/>
  <c r="G79" i="3"/>
  <c r="G96" i="3"/>
  <c r="G105" i="3"/>
  <c r="G114" i="3"/>
  <c r="H213" i="3"/>
  <c r="I213" i="3" s="1"/>
  <c r="G213" i="3"/>
  <c r="H19" i="1"/>
  <c r="H97" i="3"/>
  <c r="I97" i="3" s="1"/>
  <c r="G97" i="3"/>
  <c r="H142" i="3"/>
  <c r="I142" i="3" s="1"/>
  <c r="G142" i="3"/>
  <c r="H178" i="3"/>
  <c r="I178" i="3" s="1"/>
  <c r="G178" i="3"/>
  <c r="G16" i="3"/>
  <c r="G44" i="3"/>
  <c r="H98" i="3"/>
  <c r="I98" i="3" s="1"/>
  <c r="G98" i="3"/>
  <c r="G151" i="3"/>
  <c r="H17" i="1"/>
  <c r="O197" i="2"/>
  <c r="O247" i="2"/>
  <c r="O297" i="2"/>
  <c r="O349" i="2"/>
  <c r="G26" i="3"/>
  <c r="H63" i="3"/>
  <c r="I63" i="3" s="1"/>
  <c r="G63" i="3"/>
  <c r="H72" i="3"/>
  <c r="I72" i="3" s="1"/>
  <c r="G72" i="3"/>
  <c r="G90" i="3"/>
  <c r="H107" i="3"/>
  <c r="I107" i="3" s="1"/>
  <c r="G107" i="3"/>
  <c r="G161" i="3"/>
  <c r="G206" i="3"/>
  <c r="H203" i="3"/>
  <c r="I203" i="3" s="1"/>
  <c r="G203" i="3"/>
  <c r="H78" i="3"/>
  <c r="I78" i="3" s="1"/>
  <c r="G78" i="3"/>
  <c r="H33" i="3"/>
  <c r="I33" i="3" s="1"/>
  <c r="G33" i="3"/>
  <c r="H52" i="3"/>
  <c r="I52" i="3" s="1"/>
  <c r="G52" i="3"/>
  <c r="I19" i="1"/>
  <c r="I23" i="1"/>
  <c r="H8" i="3"/>
  <c r="I8" i="3" s="1"/>
  <c r="G8" i="3"/>
  <c r="H133" i="3"/>
  <c r="I133" i="3" s="1"/>
  <c r="G133" i="3"/>
  <c r="G89" i="3"/>
  <c r="I17" i="1"/>
  <c r="H20" i="1"/>
  <c r="O236" i="2"/>
  <c r="O286" i="2"/>
  <c r="O314" i="2"/>
  <c r="O367" i="2"/>
  <c r="H18" i="3"/>
  <c r="I18" i="3" s="1"/>
  <c r="G18" i="3"/>
  <c r="H27" i="3"/>
  <c r="I27" i="3" s="1"/>
  <c r="G27" i="3"/>
  <c r="G116" i="3"/>
  <c r="H153" i="3"/>
  <c r="I153" i="3" s="1"/>
  <c r="G153" i="3"/>
  <c r="H162" i="3"/>
  <c r="I162" i="3" s="1"/>
  <c r="G162" i="3"/>
  <c r="H198" i="3"/>
  <c r="I198" i="3" s="1"/>
  <c r="G198" i="3"/>
  <c r="H212" i="3"/>
  <c r="I212" i="3" s="1"/>
  <c r="G212" i="3"/>
  <c r="G159" i="3"/>
  <c r="H123" i="3"/>
  <c r="I123" i="3" s="1"/>
  <c r="G123" i="3"/>
  <c r="H187" i="3"/>
  <c r="I187" i="3" s="1"/>
  <c r="G187" i="3"/>
  <c r="H53" i="3"/>
  <c r="I53" i="3" s="1"/>
  <c r="G53" i="3"/>
  <c r="I20" i="1"/>
  <c r="O192" i="2"/>
  <c r="O242" i="2"/>
  <c r="O292" i="2"/>
  <c r="O332" i="2"/>
  <c r="O379" i="2"/>
  <c r="H73" i="3"/>
  <c r="I73" i="3" s="1"/>
  <c r="G73" i="3"/>
  <c r="H108" i="3"/>
  <c r="I108" i="3" s="1"/>
  <c r="G108" i="3"/>
  <c r="H117" i="3"/>
  <c r="I117" i="3" s="1"/>
  <c r="G117" i="3"/>
  <c r="H42" i="3"/>
  <c r="I42" i="3" s="1"/>
  <c r="G42" i="3"/>
  <c r="H82" i="3"/>
  <c r="I82" i="3" s="1"/>
  <c r="G82" i="3"/>
  <c r="G126" i="3"/>
  <c r="G154" i="3"/>
  <c r="H163" i="3"/>
  <c r="I163" i="3" s="1"/>
  <c r="G163" i="3"/>
  <c r="G199" i="3"/>
  <c r="G216" i="3"/>
  <c r="H87" i="3"/>
  <c r="I87" i="3" s="1"/>
  <c r="G87" i="3"/>
  <c r="H177" i="3"/>
  <c r="I177" i="3" s="1"/>
  <c r="G177" i="3"/>
  <c r="H23" i="1"/>
  <c r="G46" i="3"/>
  <c r="G65" i="3"/>
  <c r="G74" i="3"/>
  <c r="G91" i="3"/>
  <c r="H118" i="3"/>
  <c r="I118" i="3" s="1"/>
  <c r="G118" i="3"/>
  <c r="H127" i="3"/>
  <c r="I127" i="3" s="1"/>
  <c r="G127" i="3"/>
  <c r="H172" i="3"/>
  <c r="I172" i="3" s="1"/>
  <c r="G172" i="3"/>
  <c r="H208" i="3"/>
  <c r="I208" i="3" s="1"/>
  <c r="G208" i="3"/>
  <c r="H217" i="3"/>
  <c r="I217" i="3" s="1"/>
  <c r="G217" i="3"/>
  <c r="H88" i="3"/>
  <c r="I88" i="3" s="1"/>
  <c r="G88" i="3"/>
  <c r="H37" i="3"/>
  <c r="I37" i="3" s="1"/>
  <c r="G37" i="3"/>
  <c r="O327" i="2"/>
  <c r="O374" i="2"/>
  <c r="G20" i="3"/>
  <c r="H38" i="3"/>
  <c r="I38" i="3" s="1"/>
  <c r="G38" i="3"/>
  <c r="H47" i="3"/>
  <c r="I47" i="3" s="1"/>
  <c r="G47" i="3"/>
  <c r="H83" i="3"/>
  <c r="I83" i="3" s="1"/>
  <c r="G83" i="3"/>
  <c r="H92" i="3"/>
  <c r="I92" i="3" s="1"/>
  <c r="G92" i="3"/>
  <c r="G136" i="3"/>
  <c r="G155" i="3"/>
  <c r="G164" i="3"/>
  <c r="G181" i="3"/>
  <c r="G24" i="3"/>
  <c r="G131" i="3"/>
  <c r="G150" i="3"/>
  <c r="G176" i="3"/>
  <c r="G204" i="3"/>
  <c r="G12" i="1"/>
  <c r="H28" i="3"/>
  <c r="I28" i="3" s="1"/>
  <c r="G28" i="3"/>
  <c r="H21" i="1"/>
  <c r="H24" i="1"/>
  <c r="O339" i="2"/>
  <c r="H128" i="3"/>
  <c r="I128" i="3" s="1"/>
  <c r="G128" i="3"/>
  <c r="H137" i="3"/>
  <c r="I137" i="3" s="1"/>
  <c r="G137" i="3"/>
  <c r="H173" i="3"/>
  <c r="I173" i="3" s="1"/>
  <c r="G173" i="3"/>
  <c r="H182" i="3"/>
  <c r="I182" i="3" s="1"/>
  <c r="G182" i="3"/>
  <c r="H218" i="3"/>
  <c r="I218" i="3" s="1"/>
  <c r="G218" i="3"/>
  <c r="I21" i="1"/>
  <c r="O221" i="2"/>
  <c r="O271" i="2"/>
  <c r="O357" i="2"/>
  <c r="G11" i="3"/>
  <c r="G39" i="3"/>
  <c r="H48" i="3"/>
  <c r="I48" i="3" s="1"/>
  <c r="G48" i="3"/>
  <c r="H57" i="3"/>
  <c r="I57" i="3" s="1"/>
  <c r="G57" i="3"/>
  <c r="G84" i="3"/>
  <c r="H93" i="3"/>
  <c r="I93" i="3" s="1"/>
  <c r="G93" i="3"/>
  <c r="G146" i="3"/>
  <c r="G191" i="3"/>
  <c r="G223" i="3"/>
  <c r="G219" i="3"/>
  <c r="G220" i="3"/>
  <c r="G221" i="3"/>
  <c r="G222" i="3"/>
  <c r="H29" i="1" l="1"/>
  <c r="K19" i="1"/>
  <c r="L19" i="1" s="1"/>
  <c r="J19" i="1"/>
  <c r="K21" i="1"/>
  <c r="L21" i="1" s="1"/>
  <c r="J21" i="1"/>
  <c r="K17" i="1"/>
  <c r="L17" i="1" s="1"/>
  <c r="J17" i="1"/>
  <c r="H28" i="1"/>
  <c r="K20" i="1"/>
  <c r="L20" i="1" s="1"/>
  <c r="J20" i="1"/>
  <c r="K23" i="1"/>
  <c r="L23" i="1" s="1"/>
  <c r="J23" i="1"/>
  <c r="K24" i="1"/>
  <c r="L24" i="1" s="1"/>
  <c r="J24" i="1"/>
  <c r="H27" i="1" l="1"/>
</calcChain>
</file>

<file path=xl/sharedStrings.xml><?xml version="1.0" encoding="utf-8"?>
<sst xmlns="http://schemas.openxmlformats.org/spreadsheetml/2006/main" count="3560" uniqueCount="133">
  <si>
    <t>Contabilidad doméstica inteligente</t>
  </si>
  <si>
    <t>Panel de control listo para usar: ingresos, gasto esencial, deseos, ahorro, balance y seguimiento del presupuesto.</t>
  </si>
  <si>
    <t>Mes analizado</t>
  </si>
  <si>
    <t>Septiembre</t>
  </si>
  <si>
    <t>Año</t>
  </si>
  <si>
    <t>Inicio</t>
  </si>
  <si>
    <t>Fin</t>
  </si>
  <si>
    <t>Último movimiento</t>
  </si>
  <si>
    <t>Ingresos reales</t>
  </si>
  <si>
    <t>Necesidades</t>
  </si>
  <si>
    <t>Deseos</t>
  </si>
  <si>
    <t>Ahorro aportado</t>
  </si>
  <si>
    <t>Balance del mes</t>
  </si>
  <si>
    <t>% ahorro</t>
  </si>
  <si>
    <t>Gasto fijo</t>
  </si>
  <si>
    <t>Gasto variable</t>
  </si>
  <si>
    <t>Chequeo 50/30/20</t>
  </si>
  <si>
    <t>Presupuesto vs. real por categoría</t>
  </si>
  <si>
    <t>Grupo</t>
  </si>
  <si>
    <t>Objetivo</t>
  </si>
  <si>
    <t>Real €</t>
  </si>
  <si>
    <t>Real %</t>
  </si>
  <si>
    <t>Estado</t>
  </si>
  <si>
    <t>Categoría</t>
  </si>
  <si>
    <t>Presupuesto</t>
  </si>
  <si>
    <t>Real</t>
  </si>
  <si>
    <t>Desviación</t>
  </si>
  <si>
    <t>Uso</t>
  </si>
  <si>
    <t>Vivienda</t>
  </si>
  <si>
    <t>Alimentación</t>
  </si>
  <si>
    <t>Ahorro</t>
  </si>
  <si>
    <t>Movilidad</t>
  </si>
  <si>
    <t>Salud y cuidado</t>
  </si>
  <si>
    <t>Ocio y cultura</t>
  </si>
  <si>
    <t>Evolución mensual</t>
  </si>
  <si>
    <t>Desarrollo personal</t>
  </si>
  <si>
    <t>Mes</t>
  </si>
  <si>
    <t>Ingresos</t>
  </si>
  <si>
    <t>Balance</t>
  </si>
  <si>
    <t>Tecnología</t>
  </si>
  <si>
    <t>Enero</t>
  </si>
  <si>
    <t>Ahorro planificado</t>
  </si>
  <si>
    <t>Febrero</t>
  </si>
  <si>
    <t>Marzo</t>
  </si>
  <si>
    <t>Lectura rápida</t>
  </si>
  <si>
    <t>Abril</t>
  </si>
  <si>
    <t>Mayor sobrecoste</t>
  </si>
  <si>
    <t>Mayo</t>
  </si>
  <si>
    <t>Presupuesto usado</t>
  </si>
  <si>
    <t>Junio</t>
  </si>
  <si>
    <t>Mejor balance</t>
  </si>
  <si>
    <t>Julio</t>
  </si>
  <si>
    <t>Ahorro medio</t>
  </si>
  <si>
    <t>Agosto</t>
  </si>
  <si>
    <t>Octubre</t>
  </si>
  <si>
    <t>Noviembre</t>
  </si>
  <si>
    <t>Diciembre</t>
  </si>
  <si>
    <t>Registro de movimientos</t>
  </si>
  <si>
    <t>Escribe solo las columnas en azul. El resto se calcula automáticamente.</t>
  </si>
  <si>
    <t>Fecha</t>
  </si>
  <si>
    <t>Tipo</t>
  </si>
  <si>
    <t>Cuenta</t>
  </si>
  <si>
    <t>Subcategoría</t>
  </si>
  <si>
    <t>Grupo 50/30/20</t>
  </si>
  <si>
    <t>Naturaleza</t>
  </si>
  <si>
    <t>Concepto</t>
  </si>
  <si>
    <t>Medio de pago</t>
  </si>
  <si>
    <t>Importe (€)</t>
  </si>
  <si>
    <t>Flujo neto (€)</t>
  </si>
  <si>
    <t>Observaciones</t>
  </si>
  <si>
    <t>Control</t>
  </si>
  <si>
    <t>Ingreso</t>
  </si>
  <si>
    <t>Cuenta nómina</t>
  </si>
  <si>
    <t>Nómina principal</t>
  </si>
  <si>
    <t>Ingresos fijos</t>
  </si>
  <si>
    <t>Fijo</t>
  </si>
  <si>
    <t>Ingreso mensual neto</t>
  </si>
  <si>
    <t>Transferencia</t>
  </si>
  <si>
    <t/>
  </si>
  <si>
    <t>Gasto</t>
  </si>
  <si>
    <t>Cuenta hogar</t>
  </si>
  <si>
    <t>Alquiler</t>
  </si>
  <si>
    <t>Pago del alquiler</t>
  </si>
  <si>
    <t>Tarjeta débito</t>
  </si>
  <si>
    <t>Supermercado</t>
  </si>
  <si>
    <t>Variable</t>
  </si>
  <si>
    <t>Compra de supermercado</t>
  </si>
  <si>
    <t>Tarjeta</t>
  </si>
  <si>
    <t>Tarjeta transporte</t>
  </si>
  <si>
    <t>Transporte público</t>
  </si>
  <si>
    <t>Recarga o trayecto urbano</t>
  </si>
  <si>
    <t>Electricidad</t>
  </si>
  <si>
    <t>Factura de electricidad</t>
  </si>
  <si>
    <t>Domiciliado</t>
  </si>
  <si>
    <t>Agua</t>
  </si>
  <si>
    <t>Factura de agua</t>
  </si>
  <si>
    <t>Internet hogar</t>
  </si>
  <si>
    <t>Internet doméstico</t>
  </si>
  <si>
    <t>Seguro salud</t>
  </si>
  <si>
    <t>Cuota del seguro</t>
  </si>
  <si>
    <t>Suscripciones</t>
  </si>
  <si>
    <t>Servicios digitales</t>
  </si>
  <si>
    <t>Mercado local</t>
  </si>
  <si>
    <t>Compra en mercado local</t>
  </si>
  <si>
    <t>Efectivo</t>
  </si>
  <si>
    <t>Farmacia</t>
  </si>
  <si>
    <t>Compra en farmacia</t>
  </si>
  <si>
    <t>Cafetería</t>
  </si>
  <si>
    <t>Consumo fuera de casa</t>
  </si>
  <si>
    <t>Cine o eventos</t>
  </si>
  <si>
    <t>Plan cultural o evento</t>
  </si>
  <si>
    <t>Libros y cursos</t>
  </si>
  <si>
    <t>Libro, curso o material</t>
  </si>
  <si>
    <t>Cuenta ahorro</t>
  </si>
  <si>
    <t>Fondo de emergencia</t>
  </si>
  <si>
    <t>Transferencia a ahorro base</t>
  </si>
  <si>
    <t>Viaje anual</t>
  </si>
  <si>
    <t>Ahorro para objetivo anual</t>
  </si>
  <si>
    <t>Ingreso puntual</t>
  </si>
  <si>
    <t>Ingresos extra</t>
  </si>
  <si>
    <t>Trabajo extra de fin de semana</t>
  </si>
  <si>
    <t>Ingreso no recurrente</t>
  </si>
  <si>
    <t>Bicicleta / taller</t>
  </si>
  <si>
    <t>Ajuste o repuesto</t>
  </si>
  <si>
    <t>Bizum</t>
  </si>
  <si>
    <t>Venta puntual de segunda mano</t>
  </si>
  <si>
    <t>Proyecto pequeño cobrado</t>
  </si>
  <si>
    <t>Presupuesto mensual vs. realidad</t>
  </si>
  <si>
    <t>Puedes cambiar importes presupuestados o añadir nuevas líneas con tus propias subcategorías.</t>
  </si>
  <si>
    <t>Periodo</t>
  </si>
  <si>
    <t>Cumplimiento</t>
  </si>
  <si>
    <t>Nombre del mes</t>
  </si>
  <si>
    <t>Mapa editable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</si>
</sst>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.00;[Red]\(\€\ #,##0.00\);\-"/>
    <numFmt numFmtId="165" formatCode="0.0%"/>
  </numFmts>
  <fonts count="14" x14ac:knownFonts="1">
    <font>
      <sz val="11"/>
      <color theme="1"/>
      <name val="Calibri"/>
      <family val="2"/>
      <scheme val="minor"/>
    </font>
    <font>
      <b/>
      <sz val="10"/>
      <color rgb="FF0F172A"/>
      <name val="Calibri"/>
    </font>
    <font>
      <b/>
      <sz val="17"/>
      <color rgb="FFFFFFFF"/>
      <name val="Calibri"/>
    </font>
    <font>
      <sz val="10"/>
      <color rgb="FF5B6573"/>
      <name val="Calibri"/>
    </font>
    <font>
      <b/>
      <sz val="11"/>
      <color rgb="FFFFFFFF"/>
      <name val="Calibri"/>
    </font>
    <font>
      <sz val="10"/>
      <color rgb="FF0000FF"/>
      <name val="Calibri"/>
    </font>
    <font>
      <sz val="10"/>
      <color rgb="FF000000"/>
      <name val="Calibri"/>
    </font>
    <font>
      <b/>
      <sz val="11"/>
      <color rgb="FF7030A0"/>
      <name val="Calibri"/>
    </font>
    <font>
      <b/>
      <sz val="10"/>
      <color rgb="FFFFFFFF"/>
      <name val="Calibri"/>
    </font>
    <font>
      <b/>
      <sz val="20"/>
      <color rgb="FF111111"/>
      <name val="Calibri"/>
    </font>
    <font>
      <b/>
      <sz val="12"/>
      <color rgb="FF1F4E78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AF2F8"/>
      </patternFill>
    </fill>
    <fill>
      <patternFill patternType="solid">
        <fgColor rgb="FF1F4E78"/>
      </patternFill>
    </fill>
    <fill>
      <patternFill patternType="solid">
        <fgColor rgb="FF0F766E"/>
      </patternFill>
    </fill>
    <fill>
      <patternFill patternType="solid">
        <fgColor rgb="FFF2F8FF"/>
      </patternFill>
    </fill>
    <fill>
      <patternFill patternType="solid">
        <fgColor rgb="FFF8FAFC"/>
      </patternFill>
    </fill>
    <fill>
      <patternFill patternType="solid">
        <fgColor rgb="FFFFFFFF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D9E2F3"/>
      </bottom>
      <diagonal/>
    </border>
  </borders>
  <cellStyleXfs count="2">
    <xf numFmtId="0" fontId="0" fillId="0" borderId="0"/>
    <xf numFmtId="0" fontId="11" fillId="0" borderId="0"/>
  </cellStyleXfs>
  <cellXfs count="31">
    <xf numFmtId="0" fontId="0" fillId="0" borderId="0" xfId="0"/>
    <xf numFmtId="0" fontId="0" fillId="7" borderId="0" xfId="1" applyFont="1" applyFill="1"/>
    <xf numFmtId="0" fontId="7" fillId="2" borderId="0" xfId="1" applyFont="1" applyFill="1"/>
    <xf numFmtId="0" fontId="5" fillId="5" borderId="0" xfId="1" applyFont="1" applyFill="1" applyAlignment="1">
      <alignment horizontal="center" vertical="center"/>
    </xf>
    <xf numFmtId="14" fontId="0" fillId="6" borderId="0" xfId="1" applyNumberFormat="1" applyFont="1" applyFill="1" applyAlignment="1">
      <alignment horizontal="center" vertical="center"/>
    </xf>
    <xf numFmtId="14" fontId="7" fillId="6" borderId="0" xfId="1" applyNumberFormat="1" applyFont="1" applyFill="1" applyAlignment="1">
      <alignment horizontal="center" vertical="center"/>
    </xf>
    <xf numFmtId="0" fontId="10" fillId="0" borderId="0" xfId="1" applyFont="1"/>
    <xf numFmtId="0" fontId="4" fillId="4" borderId="0" xfId="1" applyFont="1" applyFill="1" applyAlignment="1">
      <alignment horizontal="center" vertical="center"/>
    </xf>
    <xf numFmtId="0" fontId="0" fillId="0" borderId="1" xfId="1" applyFont="1" applyBorder="1" applyAlignment="1">
      <alignment horizontal="left" vertical="center"/>
    </xf>
    <xf numFmtId="165" fontId="0" fillId="0" borderId="1" xfId="1" applyNumberFormat="1" applyFont="1" applyBorder="1" applyAlignment="1">
      <alignment horizontal="right" vertical="center"/>
    </xf>
    <xf numFmtId="164" fontId="0" fillId="0" borderId="1" xfId="1" applyNumberFormat="1" applyFont="1" applyBorder="1" applyAlignment="1">
      <alignment horizontal="right" vertical="center"/>
    </xf>
    <xf numFmtId="0" fontId="1" fillId="2" borderId="0" xfId="1" applyFont="1" applyFill="1"/>
    <xf numFmtId="49" fontId="0" fillId="6" borderId="0" xfId="1" applyNumberFormat="1" applyFont="1" applyFill="1"/>
    <xf numFmtId="165" fontId="0" fillId="6" borderId="0" xfId="1" applyNumberFormat="1" applyFont="1" applyFill="1"/>
    <xf numFmtId="14" fontId="5" fillId="5" borderId="1" xfId="1" applyNumberFormat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5" fillId="5" borderId="1" xfId="1" applyFont="1" applyFill="1" applyBorder="1" applyAlignment="1">
      <alignment horizontal="left" vertical="center"/>
    </xf>
    <xf numFmtId="164" fontId="5" fillId="5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Border="1" applyAlignment="1">
      <alignment horizontal="right" vertical="center"/>
    </xf>
    <xf numFmtId="14" fontId="6" fillId="0" borderId="1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right" vertical="center"/>
    </xf>
    <xf numFmtId="14" fontId="7" fillId="2" borderId="0" xfId="1" applyNumberFormat="1" applyFont="1" applyFill="1" applyAlignment="1">
      <alignment horizontal="center" vertical="center"/>
    </xf>
    <xf numFmtId="0" fontId="8" fillId="4" borderId="0" xfId="1" applyFont="1" applyFill="1" applyAlignment="1">
      <alignment horizontal="center" vertical="center"/>
    </xf>
    <xf numFmtId="0" fontId="0" fillId="0" borderId="0" xfId="0"/>
    <xf numFmtId="0" fontId="3" fillId="0" borderId="0" xfId="1" applyFont="1"/>
    <xf numFmtId="0" fontId="2" fillId="3" borderId="0" xfId="1" applyFont="1" applyFill="1" applyAlignment="1">
      <alignment horizontal="left" vertical="center"/>
    </xf>
    <xf numFmtId="0" fontId="12" fillId="3" borderId="0" xfId="1" applyFont="1" applyFill="1" applyAlignment="1">
      <alignment horizontal="left" vertical="center"/>
    </xf>
    <xf numFmtId="0" fontId="13" fillId="0" borderId="0" xfId="0" applyFont="1"/>
    <xf numFmtId="164" fontId="9" fillId="8" borderId="0" xfId="1" applyNumberFormat="1" applyFont="1" applyFill="1" applyAlignment="1">
      <alignment horizontal="center" vertical="center"/>
    </xf>
    <xf numFmtId="0" fontId="0" fillId="8" borderId="0" xfId="0" applyFill="1"/>
    <xf numFmtId="165" fontId="9" fillId="8" borderId="0" xfId="1" applyNumberFormat="1" applyFont="1" applyFill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15"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ont>
        <color rgb="FF9C6500"/>
      </font>
      <fill>
        <patternFill>
          <bgColor rgb="FFFFF2CC"/>
        </patternFill>
      </fill>
    </dxf>
    <dxf>
      <font>
        <color rgb="FFC00000"/>
      </font>
      <fill>
        <patternFill>
          <bgColor rgb="FFFDECEC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ont>
        <color rgb="FF1A5E20"/>
      </font>
      <fill>
        <patternFill>
          <bgColor rgb="FFEEF7EE"/>
        </patternFill>
      </fill>
    </dxf>
    <dxf>
      <font>
        <color rgb="FFC00000"/>
      </font>
      <fill>
        <patternFill>
          <bgColor rgb="FFFDECE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64478"/>
  </sheetPr>
  <dimension ref="A1:L42"/>
  <sheetViews>
    <sheetView showGridLines="0" tabSelected="1" zoomScale="90" zoomScaleNormal="90" workbookViewId="0">
      <selection activeCell="X25" sqref="X25"/>
    </sheetView>
  </sheetViews>
  <sheetFormatPr baseColWidth="10" defaultColWidth="9.140625" defaultRowHeight="15" x14ac:dyDescent="0.25"/>
  <cols>
    <col min="1" max="1" width="16" customWidth="1"/>
    <col min="2" max="6" width="15" customWidth="1"/>
    <col min="7" max="7" width="16" customWidth="1"/>
    <col min="8" max="10" width="15" customWidth="1"/>
    <col min="11" max="11" width="18" customWidth="1"/>
    <col min="12" max="12" width="15" customWidth="1"/>
  </cols>
  <sheetData>
    <row r="1" spans="1:12" ht="32.25" x14ac:dyDescent="0.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21.95" customHeight="1" x14ac:dyDescent="0.25">
      <c r="A2" s="24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21.95" customHeight="1" x14ac:dyDescent="0.25">
      <c r="A4" s="2" t="s">
        <v>2</v>
      </c>
      <c r="B4" s="3" t="s">
        <v>3</v>
      </c>
      <c r="C4" s="1"/>
      <c r="D4" s="2" t="s">
        <v>4</v>
      </c>
      <c r="E4" s="3">
        <v>2025</v>
      </c>
      <c r="F4" s="1"/>
      <c r="G4" s="2" t="s">
        <v>5</v>
      </c>
      <c r="H4" s="4">
        <f>DATE($E$4,MATCH($B$4,Listas!$B$2:$B$13,0),1)</f>
        <v>45901</v>
      </c>
      <c r="I4" s="2" t="s">
        <v>6</v>
      </c>
      <c r="J4" s="5"/>
      <c r="K4" s="21" t="s">
        <v>7</v>
      </c>
      <c r="L4" s="4">
        <f>MAX(Movimientos!$A$9:$A$400)</f>
        <v>46019</v>
      </c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1.95" customHeight="1" x14ac:dyDescent="0.25">
      <c r="A6" s="22" t="s">
        <v>8</v>
      </c>
      <c r="B6" s="23"/>
      <c r="C6" s="23"/>
      <c r="D6" s="22" t="s">
        <v>9</v>
      </c>
      <c r="E6" s="23"/>
      <c r="F6" s="23"/>
      <c r="G6" s="22" t="s">
        <v>10</v>
      </c>
      <c r="H6" s="23"/>
      <c r="I6" s="23"/>
      <c r="J6" s="22" t="s">
        <v>11</v>
      </c>
      <c r="K6" s="23"/>
      <c r="L6" s="23"/>
    </row>
    <row r="7" spans="1:12" ht="21.95" customHeight="1" x14ac:dyDescent="0.25">
      <c r="A7" s="28">
        <f>SUMIFS(Movimientos!$L$9:$L$400,Movimientos!$A$9:$A$400,"&gt;="&amp;$H$4,Movimientos!$A$9:$A$400,"&lt;"&amp;EDATE($H$4,1),Movimientos!$D$9:$D$400,"Ingreso")</f>
        <v>2724.34</v>
      </c>
      <c r="B7" s="29"/>
      <c r="C7" s="29"/>
      <c r="D7" s="28">
        <f>SUMIFS(Movimientos!$L$9:$L$400,Movimientos!$A$9:$A$400,"&gt;="&amp;$H$4,Movimientos!$A$9:$A$400,"&lt;"&amp;EDATE($H$4,1),Movimientos!$D$9:$D$400,"Gasto",Movimientos!$H$9:$H$400,"Necesidades")</f>
        <v>1581.4599999999998</v>
      </c>
      <c r="E7" s="29"/>
      <c r="F7" s="29"/>
      <c r="G7" s="28">
        <f>SUMIFS(Movimientos!$L$9:$L$400,Movimientos!$A$9:$A$400,"&gt;="&amp;$H$4,Movimientos!$A$9:$A$400,"&lt;"&amp;EDATE($H$4,1),Movimientos!$D$9:$D$400,"Gasto",Movimientos!$H$9:$H$400,"Deseos")</f>
        <v>67.59</v>
      </c>
      <c r="H7" s="29"/>
      <c r="I7" s="29"/>
      <c r="J7" s="28">
        <f>SUMIFS(Movimientos!$L$9:$L$400,Movimientos!$A$9:$A$400,"&gt;="&amp;$H$4,Movimientos!$A$9:$A$400,"&lt;"&amp;EDATE($H$4,1),Movimientos!$D$9:$D$400,"Ahorro")</f>
        <v>309.18</v>
      </c>
      <c r="K7" s="29"/>
      <c r="L7" s="29"/>
    </row>
    <row r="8" spans="1:12" ht="21.95" customHeight="1" x14ac:dyDescent="0.2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</row>
    <row r="9" spans="1:12" ht="21.95" customHeight="1" x14ac:dyDescent="0.2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</row>
    <row r="10" spans="1:12" ht="21.9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1.95" customHeight="1" x14ac:dyDescent="0.25">
      <c r="A11" s="22" t="s">
        <v>12</v>
      </c>
      <c r="B11" s="23"/>
      <c r="C11" s="23"/>
      <c r="D11" s="22" t="s">
        <v>13</v>
      </c>
      <c r="E11" s="23"/>
      <c r="F11" s="23"/>
      <c r="G11" s="22" t="s">
        <v>14</v>
      </c>
      <c r="H11" s="23"/>
      <c r="I11" s="23"/>
      <c r="J11" s="22" t="s">
        <v>15</v>
      </c>
      <c r="K11" s="23"/>
      <c r="L11" s="23"/>
    </row>
    <row r="12" spans="1:12" ht="21.95" customHeight="1" x14ac:dyDescent="0.25">
      <c r="A12" s="28">
        <f>SUMIFS(Movimientos!$M$9:$M$400,Movimientos!$A$9:$A$400,"&gt;="&amp;$H$4,Movimientos!$A$9:$A$400,"&lt;"&amp;EDATE($H$4,1))</f>
        <v>766.11000000000047</v>
      </c>
      <c r="B12" s="29"/>
      <c r="C12" s="29"/>
      <c r="D12" s="30">
        <f>IF(A7=0,"",J7/A7)</f>
        <v>0.11348803746962567</v>
      </c>
      <c r="E12" s="29"/>
      <c r="F12" s="29"/>
      <c r="G12" s="28">
        <f>SUMIFS(Movimientos!$L$9:$L$400,Movimientos!$A$9:$A$400,"&gt;="&amp;$H$4,Movimientos!$A$9:$A$400,"&lt;"&amp;EDATE($H$4,1),Movimientos!$D$9:$D$400,"Gasto",Movimientos!$I$9:$I$400,"Fijo")</f>
        <v>1104.9000000000001</v>
      </c>
      <c r="H12" s="29"/>
      <c r="I12" s="29"/>
      <c r="J12" s="28">
        <f>SUMIFS(Movimientos!$L$9:$L$400,Movimientos!$A$9:$A$400,"&gt;="&amp;$H$4,Movimientos!$A$9:$A$400,"&lt;"&amp;EDATE($H$4,1),Movimientos!$D$9:$D$400,"Gasto",Movimientos!$I$9:$I$400,"Variable")</f>
        <v>544.15</v>
      </c>
      <c r="K12" s="29"/>
      <c r="L12" s="29"/>
    </row>
    <row r="13" spans="1:12" ht="21.95" customHeight="1" x14ac:dyDescent="0.25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1.95" customHeight="1" x14ac:dyDescent="0.25">
      <c r="A15" s="6" t="s">
        <v>16</v>
      </c>
      <c r="B15" s="1"/>
      <c r="C15" s="1"/>
      <c r="D15" s="1"/>
      <c r="E15" s="1"/>
      <c r="F15" s="1"/>
      <c r="G15" s="6" t="s">
        <v>17</v>
      </c>
      <c r="H15" s="1"/>
      <c r="I15" s="1"/>
      <c r="J15" s="1"/>
      <c r="K15" s="1"/>
      <c r="L15" s="1"/>
    </row>
    <row r="16" spans="1:12" ht="21.95" customHeight="1" x14ac:dyDescent="0.25">
      <c r="A16" s="7" t="s">
        <v>18</v>
      </c>
      <c r="B16" s="7" t="s">
        <v>19</v>
      </c>
      <c r="C16" s="7" t="s">
        <v>20</v>
      </c>
      <c r="D16" s="7" t="s">
        <v>21</v>
      </c>
      <c r="E16" s="7" t="s">
        <v>22</v>
      </c>
      <c r="F16" s="1"/>
      <c r="G16" s="7" t="s">
        <v>23</v>
      </c>
      <c r="H16" s="7" t="s">
        <v>24</v>
      </c>
      <c r="I16" s="7" t="s">
        <v>25</v>
      </c>
      <c r="J16" s="7" t="s">
        <v>26</v>
      </c>
      <c r="K16" s="7" t="s">
        <v>27</v>
      </c>
      <c r="L16" s="7" t="s">
        <v>22</v>
      </c>
    </row>
    <row r="17" spans="1:12" ht="21.95" customHeight="1" x14ac:dyDescent="0.25">
      <c r="A17" s="8" t="s">
        <v>9</v>
      </c>
      <c r="B17" s="9">
        <v>0.5</v>
      </c>
      <c r="C17" s="10">
        <f>D7</f>
        <v>1581.4599999999998</v>
      </c>
      <c r="D17" s="9">
        <f>IF($A$7=0,"",C17/$A$7)</f>
        <v>0.58049289002106919</v>
      </c>
      <c r="E17" s="8" t="str">
        <f>IF(D17&lt;=0.5,"Dentro",IF(D17&lt;=0.55,"Vigilar","Exceso"))</f>
        <v>Exceso</v>
      </c>
      <c r="F17" s="1"/>
      <c r="G17" s="8" t="s">
        <v>28</v>
      </c>
      <c r="H17" s="10">
        <f>SUMIFS(Presupuesto!$E$8:$E$400,Presupuesto!$A$8:$A$400,$H$4,Presupuesto!$C$8:$C$400,$G17)</f>
        <v>1068</v>
      </c>
      <c r="I17" s="10">
        <f>SUMIFS(Presupuesto!$F$8:$F$400,Presupuesto!$A$8:$A$400,$H$4,Presupuesto!$C$8:$C$400,$G17)</f>
        <v>1062.9000000000001</v>
      </c>
      <c r="J17" s="10">
        <f t="shared" ref="J17:J24" si="0">IF(H17="","",I17-H17)</f>
        <v>-5.0999999999999091</v>
      </c>
      <c r="K17" s="9">
        <f t="shared" ref="K17:K24" si="1">IF(H17=0,"",I17/H17)</f>
        <v>0.99522471910112364</v>
      </c>
      <c r="L17" s="8" t="str">
        <f t="shared" ref="L17:L24" si="2">IF(G17="Ahorro planificado",IF(K17&gt;=1,"Bien",IF(K17&gt;=0.9,"Vigilar","Bajo")),IF(K17&lt;=1,"Bien",IF(K17&lt;=1.1,"Vigilar","Exceso")))</f>
        <v>Bien</v>
      </c>
    </row>
    <row r="18" spans="1:12" ht="21.95" customHeight="1" x14ac:dyDescent="0.25">
      <c r="A18" s="8" t="s">
        <v>10</v>
      </c>
      <c r="B18" s="9">
        <v>0.3</v>
      </c>
      <c r="C18" s="10">
        <f>G7</f>
        <v>67.59</v>
      </c>
      <c r="D18" s="9">
        <f>IF($A$7=0,"",C18/$A$7)</f>
        <v>2.4809678674467945E-2</v>
      </c>
      <c r="E18" s="8" t="str">
        <f>IF(D18&lt;=0.3,"Dentro",IF(D18&lt;=0.35,"Vigilar","Exceso"))</f>
        <v>Dentro</v>
      </c>
      <c r="F18" s="1"/>
      <c r="G18" s="8" t="s">
        <v>29</v>
      </c>
      <c r="H18" s="10">
        <f>SUMIFS(Presupuesto!$E$8:$E$400,Presupuesto!$A$8:$A$400,$H$4,Presupuesto!$C$8:$C$400,$G18)</f>
        <v>415</v>
      </c>
      <c r="I18" s="10">
        <f>SUMIFS(Presupuesto!$F$8:$F$400,Presupuesto!$A$8:$A$400,$H$4,Presupuesto!$C$8:$C$400,$G18)</f>
        <v>438.35</v>
      </c>
      <c r="J18" s="10">
        <f t="shared" si="0"/>
        <v>23.350000000000023</v>
      </c>
      <c r="K18" s="9">
        <f t="shared" si="1"/>
        <v>1.056265060240964</v>
      </c>
      <c r="L18" s="8" t="str">
        <f t="shared" si="2"/>
        <v>Vigilar</v>
      </c>
    </row>
    <row r="19" spans="1:12" ht="21.95" customHeight="1" x14ac:dyDescent="0.25">
      <c r="A19" s="8" t="s">
        <v>30</v>
      </c>
      <c r="B19" s="9">
        <v>0.2</v>
      </c>
      <c r="C19" s="10">
        <f>J7</f>
        <v>309.18</v>
      </c>
      <c r="D19" s="9">
        <f>IF($A$7=0,"",C19/$A$7)</f>
        <v>0.11348803746962567</v>
      </c>
      <c r="E19" s="8" t="str">
        <f>IF(D19&gt;=0.2,"Dentro",IF(D19&gt;=0.15,"Vigilar","Bajo"))</f>
        <v>Bajo</v>
      </c>
      <c r="F19" s="1"/>
      <c r="G19" s="8" t="s">
        <v>31</v>
      </c>
      <c r="H19" s="10">
        <f>SUMIFS(Presupuesto!$E$8:$E$400,Presupuesto!$A$8:$A$400,$H$4,Presupuesto!$C$8:$C$400,$G19)</f>
        <v>54</v>
      </c>
      <c r="I19" s="10">
        <f>SUMIFS(Presupuesto!$F$8:$F$400,Presupuesto!$A$8:$A$400,$H$4,Presupuesto!$C$8:$C$400,$G19)</f>
        <v>38.21</v>
      </c>
      <c r="J19" s="10">
        <f t="shared" si="0"/>
        <v>-15.79</v>
      </c>
      <c r="K19" s="9">
        <f t="shared" si="1"/>
        <v>0.70759259259259266</v>
      </c>
      <c r="L19" s="8" t="str">
        <f t="shared" si="2"/>
        <v>Bien</v>
      </c>
    </row>
    <row r="20" spans="1:12" ht="21.95" customHeight="1" x14ac:dyDescent="0.25">
      <c r="A20" s="1"/>
      <c r="B20" s="1"/>
      <c r="C20" s="1"/>
      <c r="D20" s="1"/>
      <c r="E20" s="1"/>
      <c r="F20" s="1"/>
      <c r="G20" s="8" t="s">
        <v>32</v>
      </c>
      <c r="H20" s="10">
        <f>SUMIFS(Presupuesto!$E$8:$E$400,Presupuesto!$A$8:$A$400,$H$4,Presupuesto!$C$8:$C$400,$G20)</f>
        <v>36</v>
      </c>
      <c r="I20" s="10">
        <f>SUMIFS(Presupuesto!$F$8:$F$400,Presupuesto!$A$8:$A$400,$H$4,Presupuesto!$C$8:$C$400,$G20)</f>
        <v>18</v>
      </c>
      <c r="J20" s="10">
        <f t="shared" si="0"/>
        <v>-18</v>
      </c>
      <c r="K20" s="9">
        <f t="shared" si="1"/>
        <v>0.5</v>
      </c>
      <c r="L20" s="8" t="str">
        <f t="shared" si="2"/>
        <v>Bien</v>
      </c>
    </row>
    <row r="21" spans="1:12" ht="21.95" customHeight="1" x14ac:dyDescent="0.25">
      <c r="A21" s="1"/>
      <c r="B21" s="1"/>
      <c r="C21" s="1"/>
      <c r="D21" s="1"/>
      <c r="E21" s="1"/>
      <c r="F21" s="1"/>
      <c r="G21" s="8" t="s">
        <v>33</v>
      </c>
      <c r="H21" s="10">
        <f>SUMIFS(Presupuesto!$E$8:$E$400,Presupuesto!$A$8:$A$400,$H$4,Presupuesto!$C$8:$C$400,$G21)</f>
        <v>90</v>
      </c>
      <c r="I21" s="10">
        <f>SUMIFS(Presupuesto!$F$8:$F$400,Presupuesto!$A$8:$A$400,$H$4,Presupuesto!$C$8:$C$400,$G21)</f>
        <v>46</v>
      </c>
      <c r="J21" s="10">
        <f t="shared" si="0"/>
        <v>-44</v>
      </c>
      <c r="K21" s="9">
        <f t="shared" si="1"/>
        <v>0.51111111111111107</v>
      </c>
      <c r="L21" s="8" t="str">
        <f t="shared" si="2"/>
        <v>Bien</v>
      </c>
    </row>
    <row r="22" spans="1:12" ht="21.95" customHeight="1" x14ac:dyDescent="0.25">
      <c r="A22" s="6" t="s">
        <v>34</v>
      </c>
      <c r="B22" s="1"/>
      <c r="C22" s="1"/>
      <c r="D22" s="1"/>
      <c r="E22" s="1"/>
      <c r="F22" s="1"/>
      <c r="G22" s="8" t="s">
        <v>35</v>
      </c>
      <c r="H22" s="10">
        <f>SUMIFS(Presupuesto!$E$8:$E$400,Presupuesto!$A$8:$A$400,$H$4,Presupuesto!$C$8:$C$400,$G22)</f>
        <v>40</v>
      </c>
      <c r="I22" s="10">
        <f>SUMIFS(Presupuesto!$F$8:$F$400,Presupuesto!$A$8:$A$400,$H$4,Presupuesto!$C$8:$C$400,$G22)</f>
        <v>21.59</v>
      </c>
      <c r="J22" s="10">
        <f t="shared" si="0"/>
        <v>-18.41</v>
      </c>
      <c r="K22" s="9">
        <f t="shared" si="1"/>
        <v>0.53974999999999995</v>
      </c>
      <c r="L22" s="8" t="str">
        <f t="shared" si="2"/>
        <v>Bien</v>
      </c>
    </row>
    <row r="23" spans="1:12" ht="21.95" customHeight="1" x14ac:dyDescent="0.25">
      <c r="A23" s="7" t="s">
        <v>36</v>
      </c>
      <c r="B23" s="7" t="s">
        <v>37</v>
      </c>
      <c r="C23" s="7" t="s">
        <v>9</v>
      </c>
      <c r="D23" s="7" t="s">
        <v>10</v>
      </c>
      <c r="E23" s="7" t="s">
        <v>30</v>
      </c>
      <c r="F23" s="7" t="s">
        <v>38</v>
      </c>
      <c r="G23" s="8" t="s">
        <v>39</v>
      </c>
      <c r="H23" s="10">
        <f>SUMIFS(Presupuesto!$E$8:$E$400,Presupuesto!$A$8:$A$400,$H$4,Presupuesto!$C$8:$C$400,$G23)</f>
        <v>24</v>
      </c>
      <c r="I23" s="10">
        <f>SUMIFS(Presupuesto!$F$8:$F$400,Presupuesto!$A$8:$A$400,$H$4,Presupuesto!$C$8:$C$400,$G23)</f>
        <v>24</v>
      </c>
      <c r="J23" s="10">
        <f t="shared" si="0"/>
        <v>0</v>
      </c>
      <c r="K23" s="9">
        <f t="shared" si="1"/>
        <v>1</v>
      </c>
      <c r="L23" s="8" t="str">
        <f t="shared" si="2"/>
        <v>Bien</v>
      </c>
    </row>
    <row r="24" spans="1:12" ht="21.95" customHeight="1" x14ac:dyDescent="0.25">
      <c r="A24" s="8" t="s">
        <v>40</v>
      </c>
      <c r="B24" s="10">
        <f>SUMIFS(Movimientos!$L$9:$L$400,Movimientos!$A$9:$A$400,"&gt;="&amp;DATE($E$4,1,1),Movimientos!$A$9:$A$400,"&lt;"&amp;EDATE(DATE($E$4,1,1),1),Movimientos!$D$9:$D$400,"Ingreso")</f>
        <v>2436.35</v>
      </c>
      <c r="C24" s="10">
        <f>SUMIFS(Movimientos!$L$9:$L$400,Movimientos!$A$9:$A$400,"&gt;="&amp;DATE($E$4,1,1),Movimientos!$A$9:$A$400,"&lt;"&amp;EDATE(DATE($E$4,1,1),1),Movimientos!$D$9:$D$400,"Gasto",Movimientos!$H$9:$H$400,"Necesidades")</f>
        <v>1578.6899999999998</v>
      </c>
      <c r="D24" s="10">
        <f>SUMIFS(Movimientos!$L$9:$L$400,Movimientos!$A$9:$A$400,"&gt;="&amp;DATE($E$4,1,1),Movimientos!$A$9:$A$400,"&lt;"&amp;EDATE(DATE($E$4,1,1),1),Movimientos!$D$9:$D$400,"Gasto",Movimientos!$H$9:$H$400,"Deseos")</f>
        <v>150.43</v>
      </c>
      <c r="E24" s="10">
        <f>SUMIFS(Movimientos!$L$9:$L$400,Movimientos!$A$9:$A$400,"&gt;="&amp;DATE($E$4,1,1),Movimientos!$A$9:$A$400,"&lt;"&amp;EDATE(DATE($E$4,1,1),1),Movimientos!$D$9:$D$400,"Ahorro")</f>
        <v>295.39999999999998</v>
      </c>
      <c r="F24" s="10">
        <f t="shared" ref="F24:F35" si="3">B24-C24-D24-E24</f>
        <v>411.83000000000004</v>
      </c>
      <c r="G24" s="8" t="s">
        <v>41</v>
      </c>
      <c r="H24" s="10">
        <f>SUMIFS(Presupuesto!$E$8:$E$400,Presupuesto!$A$8:$A$400,$H$4,Presupuesto!$C$8:$C$400,$G24)</f>
        <v>310</v>
      </c>
      <c r="I24" s="10">
        <f>SUMIFS(Presupuesto!$F$8:$F$400,Presupuesto!$A$8:$A$400,$H$4,Presupuesto!$C$8:$C$400,$G24)</f>
        <v>309.18</v>
      </c>
      <c r="J24" s="10">
        <f t="shared" si="0"/>
        <v>-0.81999999999999318</v>
      </c>
      <c r="K24" s="9">
        <f t="shared" si="1"/>
        <v>0.99735483870967745</v>
      </c>
      <c r="L24" s="8" t="str">
        <f t="shared" si="2"/>
        <v>Vigilar</v>
      </c>
    </row>
    <row r="25" spans="1:12" ht="21.95" customHeight="1" x14ac:dyDescent="0.25">
      <c r="A25" s="8" t="s">
        <v>42</v>
      </c>
      <c r="B25" s="10">
        <f>SUMIFS(Movimientos!$L$9:$L$400,Movimientos!$A$9:$A$400,"&gt;="&amp;DATE($E$4,2,1),Movimientos!$A$9:$A$400,"&lt;"&amp;EDATE(DATE($E$4,2,1),1),Movimientos!$D$9:$D$400,"Ingreso")</f>
        <v>2565.7600000000002</v>
      </c>
      <c r="C25" s="10">
        <f>SUMIFS(Movimientos!$L$9:$L$400,Movimientos!$A$9:$A$400,"&gt;="&amp;DATE($E$4,2,1),Movimientos!$A$9:$A$400,"&lt;"&amp;EDATE(DATE($E$4,2,1),1),Movimientos!$D$9:$D$400,"Gasto",Movimientos!$H$9:$H$400,"Necesidades")</f>
        <v>1541.82</v>
      </c>
      <c r="D25" s="10">
        <f>SUMIFS(Movimientos!$L$9:$L$400,Movimientos!$A$9:$A$400,"&gt;="&amp;DATE($E$4,2,1),Movimientos!$A$9:$A$400,"&lt;"&amp;EDATE(DATE($E$4,2,1),1),Movimientos!$D$9:$D$400,"Gasto",Movimientos!$H$9:$H$400,"Deseos")</f>
        <v>111.34</v>
      </c>
      <c r="E25" s="10">
        <f>SUMIFS(Movimientos!$L$9:$L$400,Movimientos!$A$9:$A$400,"&gt;="&amp;DATE($E$4,2,1),Movimientos!$A$9:$A$400,"&lt;"&amp;EDATE(DATE($E$4,2,1),1),Movimientos!$D$9:$D$400,"Ahorro")</f>
        <v>298.49</v>
      </c>
      <c r="F25" s="10">
        <f t="shared" si="3"/>
        <v>614.11000000000024</v>
      </c>
      <c r="G25" s="1"/>
      <c r="H25" s="1"/>
      <c r="I25" s="1"/>
      <c r="J25" s="1"/>
      <c r="K25" s="1"/>
      <c r="L25" s="1"/>
    </row>
    <row r="26" spans="1:12" ht="21.95" customHeight="1" x14ac:dyDescent="0.25">
      <c r="A26" s="8" t="s">
        <v>43</v>
      </c>
      <c r="B26" s="10">
        <f>SUMIFS(Movimientos!$L$9:$L$400,Movimientos!$A$9:$A$400,"&gt;="&amp;DATE($E$4,3,1),Movimientos!$A$9:$A$400,"&lt;"&amp;EDATE(DATE($E$4,3,1),1),Movimientos!$D$9:$D$400,"Ingreso")</f>
        <v>2418.69</v>
      </c>
      <c r="C26" s="10">
        <f>SUMIFS(Movimientos!$L$9:$L$400,Movimientos!$A$9:$A$400,"&gt;="&amp;DATE($E$4,3,1),Movimientos!$A$9:$A$400,"&lt;"&amp;EDATE(DATE($E$4,3,1),1),Movimientos!$D$9:$D$400,"Gasto",Movimientos!$H$9:$H$400,"Necesidades")</f>
        <v>1568.17</v>
      </c>
      <c r="D26" s="10">
        <f>SUMIFS(Movimientos!$L$9:$L$400,Movimientos!$A$9:$A$400,"&gt;="&amp;DATE($E$4,3,1),Movimientos!$A$9:$A$400,"&lt;"&amp;EDATE(DATE($E$4,3,1),1),Movimientos!$D$9:$D$400,"Gasto",Movimientos!$H$9:$H$400,"Deseos")</f>
        <v>94.64</v>
      </c>
      <c r="E26" s="10">
        <f>SUMIFS(Movimientos!$L$9:$L$400,Movimientos!$A$9:$A$400,"&gt;="&amp;DATE($E$4,3,1),Movimientos!$A$9:$A$400,"&lt;"&amp;EDATE(DATE($E$4,3,1),1),Movimientos!$D$9:$D$400,"Ahorro")</f>
        <v>303.27</v>
      </c>
      <c r="F26" s="10">
        <f t="shared" si="3"/>
        <v>452.61</v>
      </c>
      <c r="G26" s="6" t="s">
        <v>44</v>
      </c>
      <c r="H26" s="1"/>
      <c r="I26" s="1"/>
      <c r="J26" s="1"/>
      <c r="K26" s="1"/>
      <c r="L26" s="1"/>
    </row>
    <row r="27" spans="1:12" ht="21.95" customHeight="1" x14ac:dyDescent="0.25">
      <c r="A27" s="8" t="s">
        <v>45</v>
      </c>
      <c r="B27" s="10">
        <f>SUMIFS(Movimientos!$L$9:$L$400,Movimientos!$A$9:$A$400,"&gt;="&amp;DATE($E$4,4,1),Movimientos!$A$9:$A$400,"&lt;"&amp;EDATE(DATE($E$4,4,1),1),Movimientos!$D$9:$D$400,"Ingreso")</f>
        <v>2667.0699999999997</v>
      </c>
      <c r="C27" s="10">
        <f>SUMIFS(Movimientos!$L$9:$L$400,Movimientos!$A$9:$A$400,"&gt;="&amp;DATE($E$4,4,1),Movimientos!$A$9:$A$400,"&lt;"&amp;EDATE(DATE($E$4,4,1),1),Movimientos!$D$9:$D$400,"Gasto",Movimientos!$H$9:$H$400,"Necesidades")</f>
        <v>1585.7800000000002</v>
      </c>
      <c r="D27" s="10">
        <f>SUMIFS(Movimientos!$L$9:$L$400,Movimientos!$A$9:$A$400,"&gt;="&amp;DATE($E$4,4,1),Movimientos!$A$9:$A$400,"&lt;"&amp;EDATE(DATE($E$4,4,1),1),Movimientos!$D$9:$D$400,"Gasto",Movimientos!$H$9:$H$400,"Deseos")</f>
        <v>138.57000000000002</v>
      </c>
      <c r="E27" s="10">
        <f>SUMIFS(Movimientos!$L$9:$L$400,Movimientos!$A$9:$A$400,"&gt;="&amp;DATE($E$4,4,1),Movimientos!$A$9:$A$400,"&lt;"&amp;EDATE(DATE($E$4,4,1),1),Movimientos!$D$9:$D$400,"Ahorro")</f>
        <v>306.61</v>
      </c>
      <c r="F27" s="10">
        <f t="shared" si="3"/>
        <v>636.10999999999945</v>
      </c>
      <c r="G27" s="11" t="s">
        <v>46</v>
      </c>
      <c r="H27" s="12" t="str">
        <f>IFERROR(INDEX($G$17:$G$24,MATCH(MAX($J$17:$J$24),$J$17:$J$24,0)),"")</f>
        <v>Alimentación</v>
      </c>
      <c r="I27" s="1"/>
      <c r="J27" s="1"/>
      <c r="K27" s="1"/>
      <c r="L27" s="1"/>
    </row>
    <row r="28" spans="1:12" ht="21.95" customHeight="1" x14ac:dyDescent="0.25">
      <c r="A28" s="8" t="s">
        <v>47</v>
      </c>
      <c r="B28" s="10">
        <f>SUMIFS(Movimientos!$L$9:$L$400,Movimientos!$A$9:$A$400,"&gt;="&amp;DATE($E$4,5,1),Movimientos!$A$9:$A$400,"&lt;"&amp;EDATE(DATE($E$4,5,1),1),Movimientos!$D$9:$D$400,"Ingreso")</f>
        <v>2491.0700000000002</v>
      </c>
      <c r="C28" s="10">
        <f>SUMIFS(Movimientos!$L$9:$L$400,Movimientos!$A$9:$A$400,"&gt;="&amp;DATE($E$4,5,1),Movimientos!$A$9:$A$400,"&lt;"&amp;EDATE(DATE($E$4,5,1),1),Movimientos!$D$9:$D$400,"Gasto",Movimientos!$H$9:$H$400,"Necesidades")</f>
        <v>1584.8099999999997</v>
      </c>
      <c r="D28" s="10">
        <f>SUMIFS(Movimientos!$L$9:$L$400,Movimientos!$A$9:$A$400,"&gt;="&amp;DATE($E$4,5,1),Movimientos!$A$9:$A$400,"&lt;"&amp;EDATE(DATE($E$4,5,1),1),Movimientos!$D$9:$D$400,"Gasto",Movimientos!$H$9:$H$400,"Deseos")</f>
        <v>89.45</v>
      </c>
      <c r="E28" s="10">
        <f>SUMIFS(Movimientos!$L$9:$L$400,Movimientos!$A$9:$A$400,"&gt;="&amp;DATE($E$4,5,1),Movimientos!$A$9:$A$400,"&lt;"&amp;EDATE(DATE($E$4,5,1),1),Movimientos!$D$9:$D$400,"Ahorro")</f>
        <v>295.15999999999997</v>
      </c>
      <c r="F28" s="10">
        <f t="shared" si="3"/>
        <v>521.65000000000043</v>
      </c>
      <c r="G28" s="11" t="s">
        <v>48</v>
      </c>
      <c r="H28" s="13">
        <f>IF(SUM($H$17:$H$24)=0,"",SUM($I$17:$I$24)/SUM($H$17:$H$24))</f>
        <v>0.96133038782523317</v>
      </c>
      <c r="I28" s="1"/>
      <c r="J28" s="1"/>
      <c r="K28" s="1"/>
      <c r="L28" s="1"/>
    </row>
    <row r="29" spans="1:12" ht="21.95" customHeight="1" x14ac:dyDescent="0.25">
      <c r="A29" s="8" t="s">
        <v>49</v>
      </c>
      <c r="B29" s="10">
        <f>SUMIFS(Movimientos!$L$9:$L$400,Movimientos!$A$9:$A$400,"&gt;="&amp;DATE($E$4,6,1),Movimientos!$A$9:$A$400,"&lt;"&amp;EDATE(DATE($E$4,6,1),1),Movimientos!$D$9:$D$400,"Ingreso")</f>
        <v>2422.88</v>
      </c>
      <c r="C29" s="10">
        <f>SUMIFS(Movimientos!$L$9:$L$400,Movimientos!$A$9:$A$400,"&gt;="&amp;DATE($E$4,6,1),Movimientos!$A$9:$A$400,"&lt;"&amp;EDATE(DATE($E$4,6,1),1),Movimientos!$D$9:$D$400,"Gasto",Movimientos!$H$9:$H$400,"Necesidades")</f>
        <v>1581.3899999999999</v>
      </c>
      <c r="D29" s="10">
        <f>SUMIFS(Movimientos!$L$9:$L$400,Movimientos!$A$9:$A$400,"&gt;="&amp;DATE($E$4,6,1),Movimientos!$A$9:$A$400,"&lt;"&amp;EDATE(DATE($E$4,6,1),1),Movimientos!$D$9:$D$400,"Gasto",Movimientos!$H$9:$H$400,"Deseos")</f>
        <v>74.709999999999994</v>
      </c>
      <c r="E29" s="10">
        <f>SUMIFS(Movimientos!$L$9:$L$400,Movimientos!$A$9:$A$400,"&gt;="&amp;DATE($E$4,6,1),Movimientos!$A$9:$A$400,"&lt;"&amp;EDATE(DATE($E$4,6,1),1),Movimientos!$D$9:$D$400,"Ahorro")</f>
        <v>297.74</v>
      </c>
      <c r="F29" s="10">
        <f t="shared" si="3"/>
        <v>469.04000000000019</v>
      </c>
      <c r="G29" s="11" t="s">
        <v>50</v>
      </c>
      <c r="H29" s="12" t="str">
        <f>IFERROR(INDEX($A$23:$A$34,MATCH(MAX($F$23:$F$34),$F$23:$F$34,0)),"")</f>
        <v>Septiembre</v>
      </c>
      <c r="I29" s="1"/>
      <c r="J29" s="1"/>
      <c r="K29" s="1"/>
      <c r="L29" s="1"/>
    </row>
    <row r="30" spans="1:12" ht="21.95" customHeight="1" x14ac:dyDescent="0.25">
      <c r="A30" s="8" t="s">
        <v>51</v>
      </c>
      <c r="B30" s="10">
        <f>SUMIFS(Movimientos!$L$9:$L$400,Movimientos!$A$9:$A$400,"&gt;="&amp;DATE($E$4,7,1),Movimientos!$A$9:$A$400,"&lt;"&amp;EDATE(DATE($E$4,7,1),1),Movimientos!$D$9:$D$400,"Ingreso")</f>
        <v>2535.12</v>
      </c>
      <c r="C30" s="10">
        <f>SUMIFS(Movimientos!$L$9:$L$400,Movimientos!$A$9:$A$400,"&gt;="&amp;DATE($E$4,7,1),Movimientos!$A$9:$A$400,"&lt;"&amp;EDATE(DATE($E$4,7,1),1),Movimientos!$D$9:$D$400,"Gasto",Movimientos!$H$9:$H$400,"Necesidades")</f>
        <v>1546.96</v>
      </c>
      <c r="D30" s="10">
        <f>SUMIFS(Movimientos!$L$9:$L$400,Movimientos!$A$9:$A$400,"&gt;="&amp;DATE($E$4,7,1),Movimientos!$A$9:$A$400,"&lt;"&amp;EDATE(DATE($E$4,7,1),1),Movimientos!$D$9:$D$400,"Gasto",Movimientos!$H$9:$H$400,"Deseos")</f>
        <v>140.48000000000002</v>
      </c>
      <c r="E30" s="10">
        <f>SUMIFS(Movimientos!$L$9:$L$400,Movimientos!$A$9:$A$400,"&gt;="&amp;DATE($E$4,7,1),Movimientos!$A$9:$A$400,"&lt;"&amp;EDATE(DATE($E$4,7,1),1),Movimientos!$D$9:$D$400,"Ahorro")</f>
        <v>293.77</v>
      </c>
      <c r="F30" s="10">
        <f t="shared" si="3"/>
        <v>553.90999999999985</v>
      </c>
      <c r="G30" s="11" t="s">
        <v>52</v>
      </c>
      <c r="H30" s="13">
        <f>IF(SUM($B$23:$B$34)=0,"",SUM($E$23:$E$34)/SUM($B$23:$B$34))</f>
        <v>0.11886759992517525</v>
      </c>
      <c r="I30" s="1"/>
      <c r="J30" s="1"/>
      <c r="K30" s="1"/>
      <c r="L30" s="1"/>
    </row>
    <row r="31" spans="1:12" ht="21.95" customHeight="1" x14ac:dyDescent="0.25">
      <c r="A31" s="8" t="s">
        <v>53</v>
      </c>
      <c r="B31" s="10">
        <f>SUMIFS(Movimientos!$L$9:$L$400,Movimientos!$A$9:$A$400,"&gt;="&amp;DATE($E$4,8,1),Movimientos!$A$9:$A$400,"&lt;"&amp;EDATE(DATE($E$4,8,1),1),Movimientos!$D$9:$D$400,"Ingreso")</f>
        <v>2469.13</v>
      </c>
      <c r="C31" s="10">
        <f>SUMIFS(Movimientos!$L$9:$L$400,Movimientos!$A$9:$A$400,"&gt;="&amp;DATE($E$4,8,1),Movimientos!$A$9:$A$400,"&lt;"&amp;EDATE(DATE($E$4,8,1),1),Movimientos!$D$9:$D$400,"Gasto",Movimientos!$H$9:$H$400,"Necesidades")</f>
        <v>1618.5300000000004</v>
      </c>
      <c r="D31" s="10">
        <f>SUMIFS(Movimientos!$L$9:$L$400,Movimientos!$A$9:$A$400,"&gt;="&amp;DATE($E$4,8,1),Movimientos!$A$9:$A$400,"&lt;"&amp;EDATE(DATE($E$4,8,1),1),Movimientos!$D$9:$D$400,"Gasto",Movimientos!$H$9:$H$400,"Deseos")</f>
        <v>100.31</v>
      </c>
      <c r="E31" s="10">
        <f>SUMIFS(Movimientos!$L$9:$L$400,Movimientos!$A$9:$A$400,"&gt;="&amp;DATE($E$4,8,1),Movimientos!$A$9:$A$400,"&lt;"&amp;EDATE(DATE($E$4,8,1),1),Movimientos!$D$9:$D$400,"Ahorro")</f>
        <v>307.2</v>
      </c>
      <c r="F31" s="10">
        <f t="shared" si="3"/>
        <v>443.08999999999975</v>
      </c>
      <c r="G31" s="1"/>
      <c r="H31" s="1"/>
      <c r="I31" s="1"/>
      <c r="J31" s="1"/>
      <c r="K31" s="1"/>
      <c r="L31" s="1"/>
    </row>
    <row r="32" spans="1:12" ht="21.95" customHeight="1" x14ac:dyDescent="0.25">
      <c r="A32" s="8" t="s">
        <v>3</v>
      </c>
      <c r="B32" s="10">
        <f>SUMIFS(Movimientos!$L$9:$L$400,Movimientos!$A$9:$A$400,"&gt;="&amp;DATE($E$4,9,1),Movimientos!$A$9:$A$400,"&lt;"&amp;EDATE(DATE($E$4,9,1),1),Movimientos!$D$9:$D$400,"Ingreso")</f>
        <v>2724.34</v>
      </c>
      <c r="C32" s="10">
        <f>SUMIFS(Movimientos!$L$9:$L$400,Movimientos!$A$9:$A$400,"&gt;="&amp;DATE($E$4,9,1),Movimientos!$A$9:$A$400,"&lt;"&amp;EDATE(DATE($E$4,9,1),1),Movimientos!$D$9:$D$400,"Gasto",Movimientos!$H$9:$H$400,"Necesidades")</f>
        <v>1581.4599999999998</v>
      </c>
      <c r="D32" s="10">
        <f>SUMIFS(Movimientos!$L$9:$L$400,Movimientos!$A$9:$A$400,"&gt;="&amp;DATE($E$4,9,1),Movimientos!$A$9:$A$400,"&lt;"&amp;EDATE(DATE($E$4,9,1),1),Movimientos!$D$9:$D$400,"Gasto",Movimientos!$H$9:$H$400,"Deseos")</f>
        <v>67.59</v>
      </c>
      <c r="E32" s="10">
        <f>SUMIFS(Movimientos!$L$9:$L$400,Movimientos!$A$9:$A$400,"&gt;="&amp;DATE($E$4,9,1),Movimientos!$A$9:$A$400,"&lt;"&amp;EDATE(DATE($E$4,9,1),1),Movimientos!$D$9:$D$400,"Ahorro")</f>
        <v>309.18</v>
      </c>
      <c r="F32" s="10">
        <f t="shared" si="3"/>
        <v>766.11000000000035</v>
      </c>
      <c r="G32" s="1"/>
      <c r="H32" s="1"/>
      <c r="I32" s="1"/>
      <c r="J32" s="1"/>
      <c r="K32" s="1"/>
      <c r="L32" s="1"/>
    </row>
    <row r="33" spans="1:12" ht="21.95" customHeight="1" x14ac:dyDescent="0.25">
      <c r="A33" s="8" t="s">
        <v>54</v>
      </c>
      <c r="B33" s="10">
        <f>SUMIFS(Movimientos!$L$9:$L$400,Movimientos!$A$9:$A$400,"&gt;="&amp;DATE($E$4,10,1),Movimientos!$A$9:$A$400,"&lt;"&amp;EDATE(DATE($E$4,10,1),1),Movimientos!$D$9:$D$400,"Ingreso")</f>
        <v>2489.44</v>
      </c>
      <c r="C33" s="10">
        <f>SUMIFS(Movimientos!$L$9:$L$400,Movimientos!$A$9:$A$400,"&gt;="&amp;DATE($E$4,10,1),Movimientos!$A$9:$A$400,"&lt;"&amp;EDATE(DATE($E$4,10,1),1),Movimientos!$D$9:$D$400,"Gasto",Movimientos!$H$9:$H$400,"Necesidades")</f>
        <v>1604.4700000000005</v>
      </c>
      <c r="D33" s="10">
        <f>SUMIFS(Movimientos!$L$9:$L$400,Movimientos!$A$9:$A$400,"&gt;="&amp;DATE($E$4,10,1),Movimientos!$A$9:$A$400,"&lt;"&amp;EDATE(DATE($E$4,10,1),1),Movimientos!$D$9:$D$400,"Gasto",Movimientos!$H$9:$H$400,"Deseos")</f>
        <v>85.34</v>
      </c>
      <c r="E33" s="10">
        <f>SUMIFS(Movimientos!$L$9:$L$400,Movimientos!$A$9:$A$400,"&gt;="&amp;DATE($E$4,10,1),Movimientos!$A$9:$A$400,"&lt;"&amp;EDATE(DATE($E$4,10,1),1),Movimientos!$D$9:$D$400,"Ahorro")</f>
        <v>319.8</v>
      </c>
      <c r="F33" s="10">
        <f t="shared" si="3"/>
        <v>479.82999999999953</v>
      </c>
      <c r="G33" s="1"/>
      <c r="H33" s="1"/>
      <c r="I33" s="1"/>
      <c r="J33" s="1"/>
      <c r="K33" s="1"/>
      <c r="L33" s="1"/>
    </row>
    <row r="34" spans="1:12" ht="21.95" customHeight="1" x14ac:dyDescent="0.25">
      <c r="A34" s="8" t="s">
        <v>55</v>
      </c>
      <c r="B34" s="10">
        <f>SUMIFS(Movimientos!$L$9:$L$400,Movimientos!$A$9:$A$400,"&gt;="&amp;DATE($E$4,11,1),Movimientos!$A$9:$A$400,"&lt;"&amp;EDATE(DATE($E$4,11,1),1),Movimientos!$D$9:$D$400,"Ingreso")</f>
        <v>2738.8199999999997</v>
      </c>
      <c r="C34" s="10">
        <f>SUMIFS(Movimientos!$L$9:$L$400,Movimientos!$A$9:$A$400,"&gt;="&amp;DATE($E$4,11,1),Movimientos!$A$9:$A$400,"&lt;"&amp;EDATE(DATE($E$4,11,1),1),Movimientos!$D$9:$D$400,"Gasto",Movimientos!$H$9:$H$400,"Necesidades")</f>
        <v>1597.9999999999998</v>
      </c>
      <c r="D34" s="10">
        <f>SUMIFS(Movimientos!$L$9:$L$400,Movimientos!$A$9:$A$400,"&gt;="&amp;DATE($E$4,11,1),Movimientos!$A$9:$A$400,"&lt;"&amp;EDATE(DATE($E$4,11,1),1),Movimientos!$D$9:$D$400,"Gasto",Movimientos!$H$9:$H$400,"Deseos")</f>
        <v>131.55000000000001</v>
      </c>
      <c r="E34" s="10">
        <f>SUMIFS(Movimientos!$L$9:$L$400,Movimientos!$A$9:$A$400,"&gt;="&amp;DATE($E$4,11,1),Movimientos!$A$9:$A$400,"&lt;"&amp;EDATE(DATE($E$4,11,1),1),Movimientos!$D$9:$D$400,"Ahorro")</f>
        <v>296.76</v>
      </c>
      <c r="F34" s="10">
        <f t="shared" si="3"/>
        <v>712.51</v>
      </c>
      <c r="G34" s="1"/>
      <c r="H34" s="1"/>
      <c r="I34" s="1"/>
      <c r="J34" s="1"/>
      <c r="K34" s="1"/>
      <c r="L34" s="1"/>
    </row>
    <row r="35" spans="1:12" ht="21.95" customHeight="1" x14ac:dyDescent="0.25">
      <c r="A35" s="8" t="s">
        <v>56</v>
      </c>
      <c r="B35" s="10">
        <f>SUMIFS(Movimientos!$L$9:$L$400,Movimientos!$A$9:$A$400,"&gt;="&amp;DATE($E$4,12,1),Movimientos!$A$9:$A$400,"&lt;"&amp;EDATE(DATE($E$4,12,1),1),Movimientos!$D$9:$D$400,"Ingreso")</f>
        <v>2518.98</v>
      </c>
      <c r="C35" s="10">
        <f>SUMIFS(Movimientos!$L$9:$L$400,Movimientos!$A$9:$A$400,"&gt;="&amp;DATE($E$4,12,1),Movimientos!$A$9:$A$400,"&lt;"&amp;EDATE(DATE($E$4,12,1),1),Movimientos!$D$9:$D$400,"Gasto",Movimientos!$H$9:$H$400,"Necesidades")</f>
        <v>1596.37</v>
      </c>
      <c r="D35" s="10">
        <f>SUMIFS(Movimientos!$L$9:$L$400,Movimientos!$A$9:$A$400,"&gt;="&amp;DATE($E$4,12,1),Movimientos!$A$9:$A$400,"&lt;"&amp;EDATE(DATE($E$4,12,1),1),Movimientos!$D$9:$D$400,"Gasto",Movimientos!$H$9:$H$400,"Deseos")</f>
        <v>99.86</v>
      </c>
      <c r="E35" s="10">
        <f>SUMIFS(Movimientos!$L$9:$L$400,Movimientos!$A$9:$A$400,"&gt;="&amp;DATE($E$4,12,1),Movimientos!$A$9:$A$400,"&lt;"&amp;EDATE(DATE($E$4,12,1),1),Movimientos!$D$9:$D$400,"Ahorro")</f>
        <v>308.23</v>
      </c>
      <c r="F35" s="10">
        <f t="shared" si="3"/>
        <v>514.5200000000001</v>
      </c>
      <c r="G35" s="1"/>
      <c r="H35" s="1"/>
      <c r="I35" s="1"/>
      <c r="J35" s="1"/>
      <c r="K35" s="1"/>
      <c r="L35" s="1"/>
    </row>
    <row r="36" spans="1:12" ht="21.9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1.95" customHeight="1" x14ac:dyDescent="0.25"/>
    <row r="38" spans="1:12" ht="21.95" customHeight="1" x14ac:dyDescent="0.25"/>
    <row r="39" spans="1:12" ht="21.95" customHeight="1" x14ac:dyDescent="0.25"/>
    <row r="40" spans="1:12" ht="21.95" customHeight="1" x14ac:dyDescent="0.25"/>
    <row r="41" spans="1:12" ht="21.95" customHeight="1" x14ac:dyDescent="0.25"/>
    <row r="42" spans="1:12" ht="21.95" customHeight="1" x14ac:dyDescent="0.25"/>
  </sheetData>
  <mergeCells count="18">
    <mergeCell ref="A1:L1"/>
    <mergeCell ref="A11:C11"/>
    <mergeCell ref="D11:F11"/>
    <mergeCell ref="A7:C9"/>
    <mergeCell ref="J12:L13"/>
    <mergeCell ref="G11:I11"/>
    <mergeCell ref="D6:F6"/>
    <mergeCell ref="A6:C6"/>
    <mergeCell ref="G6:I6"/>
    <mergeCell ref="D12:F13"/>
    <mergeCell ref="G12:I13"/>
    <mergeCell ref="D7:F9"/>
    <mergeCell ref="J6:L6"/>
    <mergeCell ref="A2:L2"/>
    <mergeCell ref="G7:I9"/>
    <mergeCell ref="J11:L11"/>
    <mergeCell ref="A12:C13"/>
    <mergeCell ref="J7:L9"/>
  </mergeCells>
  <conditionalFormatting sqref="B24:E35">
    <cfRule type="colorScale" priority="9">
      <colorScale>
        <cfvo type="min"/>
        <cfvo type="percentile" val="50"/>
        <cfvo type="max"/>
        <color rgb="FFE2F0D9"/>
        <color rgb="FFFFEB84"/>
        <color rgb="FF9DC3E6"/>
      </colorScale>
    </cfRule>
  </conditionalFormatting>
  <conditionalFormatting sqref="E17:E19">
    <cfRule type="expression" dxfId="14" priority="1">
      <formula>$E17="Dentro"</formula>
    </cfRule>
    <cfRule type="expression" dxfId="13" priority="2">
      <formula>$E17="Vigilar"</formula>
    </cfRule>
    <cfRule type="expression" dxfId="12" priority="3">
      <formula>OR($E17="Exceso",$E17="Bajo")</formula>
    </cfRule>
  </conditionalFormatting>
  <conditionalFormatting sqref="F24:F35">
    <cfRule type="dataBar" priority="8">
      <dataBar>
        <cfvo type="min"/>
        <cfvo type="max"/>
        <color rgb="FF5B9BD5"/>
      </dataBar>
    </cfRule>
  </conditionalFormatting>
  <conditionalFormatting sqref="K17:K24">
    <cfRule type="colorScale" priority="7">
      <colorScale>
        <cfvo type="num" val="0.8"/>
        <cfvo type="num" val="1"/>
        <cfvo type="num" val="1.2"/>
        <color rgb="FF63BE7B"/>
        <color rgb="FFFFEB84"/>
        <color rgb="FFF8696B"/>
      </colorScale>
    </cfRule>
  </conditionalFormatting>
  <conditionalFormatting sqref="L17:L24">
    <cfRule type="expression" dxfId="11" priority="4">
      <formula>$L17="Bien"</formula>
    </cfRule>
    <cfRule type="expression" dxfId="10" priority="5">
      <formula>$L17="Vigilar"</formula>
    </cfRule>
    <cfRule type="expression" dxfId="9" priority="6">
      <formula>OR($L17="Exceso",$L17="Bajo")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error="Selecciona un valor de la lista." prompt="Elige una opción de la lista." xr:uid="{00000000-0002-0000-0000-000000000000}">
          <x14:formula1>
            <xm:f>Listas!$B$2:$B$13</xm:f>
          </x14:formula1>
          <xm:sqref>B4</xm:sqref>
        </x14:dataValidation>
        <x14:dataValidation type="list" allowBlank="1" error="Selecciona un valor de la lista." prompt="Elige una opción de la lista." xr:uid="{00000000-0002-0000-0000-000001000000}">
          <x14:formula1>
            <xm:f>Listas!$R$2:$R$4</xm:f>
          </x14:formula1>
          <xm:sqref>E4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77B4"/>
  </sheetPr>
  <dimension ref="A1:O400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14" customWidth="1"/>
    <col min="3" max="3" width="10" customWidth="1"/>
    <col min="4" max="4" width="12" customWidth="1"/>
    <col min="5" max="5" width="18" customWidth="1"/>
    <col min="6" max="6" width="24" customWidth="1"/>
    <col min="7" max="8" width="18" customWidth="1"/>
    <col min="9" max="9" width="12" customWidth="1"/>
    <col min="10" max="10" width="30" customWidth="1"/>
    <col min="11" max="11" width="16" customWidth="1"/>
    <col min="12" max="12" width="14" customWidth="1"/>
    <col min="13" max="13" width="15" customWidth="1"/>
    <col min="14" max="14" width="20" customWidth="1"/>
    <col min="15" max="15" width="12" customWidth="1"/>
  </cols>
  <sheetData>
    <row r="1" spans="1:15" ht="20.100000000000001" customHeight="1" x14ac:dyDescent="0.25">
      <c r="A1" s="25" t="s">
        <v>57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0.100000000000001" customHeight="1" x14ac:dyDescent="0.25">
      <c r="A2" s="24" t="s">
        <v>58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20.100000000000001" customHeight="1" x14ac:dyDescent="0.25"/>
    <row r="4" spans="1:15" ht="20.100000000000001" customHeight="1" x14ac:dyDescent="0.25"/>
    <row r="5" spans="1:15" ht="20.100000000000001" customHeight="1" x14ac:dyDescent="0.25"/>
    <row r="6" spans="1:15" ht="20.100000000000001" customHeight="1" x14ac:dyDescent="0.25"/>
    <row r="7" spans="1:15" ht="20.100000000000001" customHeight="1" x14ac:dyDescent="0.25"/>
    <row r="8" spans="1:15" ht="20.100000000000001" customHeight="1" x14ac:dyDescent="0.25">
      <c r="A8" s="7" t="s">
        <v>59</v>
      </c>
      <c r="B8" s="7" t="s">
        <v>36</v>
      </c>
      <c r="C8" s="7" t="s">
        <v>4</v>
      </c>
      <c r="D8" s="7" t="s">
        <v>60</v>
      </c>
      <c r="E8" s="7" t="s">
        <v>61</v>
      </c>
      <c r="F8" s="7" t="s">
        <v>62</v>
      </c>
      <c r="G8" s="7" t="s">
        <v>23</v>
      </c>
      <c r="H8" s="7" t="s">
        <v>63</v>
      </c>
      <c r="I8" s="7" t="s">
        <v>64</v>
      </c>
      <c r="J8" s="7" t="s">
        <v>65</v>
      </c>
      <c r="K8" s="7" t="s">
        <v>66</v>
      </c>
      <c r="L8" s="7" t="s">
        <v>67</v>
      </c>
      <c r="M8" s="7" t="s">
        <v>68</v>
      </c>
      <c r="N8" s="7" t="s">
        <v>69</v>
      </c>
      <c r="O8" s="7" t="s">
        <v>70</v>
      </c>
    </row>
    <row r="9" spans="1:15" ht="20.100000000000001" customHeight="1" x14ac:dyDescent="0.25">
      <c r="A9" s="14">
        <v>45658</v>
      </c>
      <c r="B9" s="15" t="str">
        <f t="shared" ref="B9:B72" si="0">IF(A9="","",CHOOSE(MONTH(A9),"Enero","Febrero","Marzo","Abril","Mayo","Junio","Julio","Agosto","Septiembre","Octubre","Noviembre","Diciembre"))</f>
        <v>Enero</v>
      </c>
      <c r="C9" s="15">
        <f t="shared" ref="C9:C72" si="1">IF(A9="","",YEAR(A9))</f>
        <v>2025</v>
      </c>
      <c r="D9" s="16" t="s">
        <v>71</v>
      </c>
      <c r="E9" s="16" t="s">
        <v>72</v>
      </c>
      <c r="F9" s="16" t="s">
        <v>73</v>
      </c>
      <c r="G9" s="16" t="s">
        <v>74</v>
      </c>
      <c r="H9" s="16" t="s">
        <v>37</v>
      </c>
      <c r="I9" s="16" t="s">
        <v>75</v>
      </c>
      <c r="J9" s="16" t="s">
        <v>76</v>
      </c>
      <c r="K9" s="16" t="s">
        <v>77</v>
      </c>
      <c r="L9" s="17">
        <v>2436.35</v>
      </c>
      <c r="M9" s="18">
        <f t="shared" ref="M9:M72" si="2">IF(A9="","",IF(D9="Ingreso",L9,IF(D9="Ahorro",-L9,IF(D9="Transferencia",0,-L9))))</f>
        <v>2436.35</v>
      </c>
      <c r="N9" s="16" t="s">
        <v>78</v>
      </c>
      <c r="O9" s="15" t="str">
        <f t="shared" ref="O9:O72" si="3">IF(COUNTA(A9:N9)=0,"",IF(OR(A9="",D9="",F9="",G9="",H9="",I9="",L9=""),"Revisar","OK"))</f>
        <v>OK</v>
      </c>
    </row>
    <row r="10" spans="1:15" ht="20.100000000000001" customHeight="1" x14ac:dyDescent="0.25">
      <c r="A10" s="14">
        <v>45659</v>
      </c>
      <c r="B10" s="15" t="str">
        <f t="shared" si="0"/>
        <v>Enero</v>
      </c>
      <c r="C10" s="15">
        <f t="shared" si="1"/>
        <v>2025</v>
      </c>
      <c r="D10" s="16" t="s">
        <v>79</v>
      </c>
      <c r="E10" s="16" t="s">
        <v>80</v>
      </c>
      <c r="F10" s="16" t="s">
        <v>81</v>
      </c>
      <c r="G10" s="16" t="s">
        <v>28</v>
      </c>
      <c r="H10" s="16" t="s">
        <v>9</v>
      </c>
      <c r="I10" s="16" t="s">
        <v>75</v>
      </c>
      <c r="J10" s="16" t="s">
        <v>82</v>
      </c>
      <c r="K10" s="16" t="s">
        <v>77</v>
      </c>
      <c r="L10" s="17">
        <v>980</v>
      </c>
      <c r="M10" s="18">
        <f t="shared" si="2"/>
        <v>-980</v>
      </c>
      <c r="N10" s="16" t="s">
        <v>78</v>
      </c>
      <c r="O10" s="15" t="str">
        <f t="shared" si="3"/>
        <v>OK</v>
      </c>
    </row>
    <row r="11" spans="1:15" ht="20.100000000000001" customHeight="1" x14ac:dyDescent="0.25">
      <c r="A11" s="14">
        <v>45660</v>
      </c>
      <c r="B11" s="15" t="str">
        <f t="shared" si="0"/>
        <v>Enero</v>
      </c>
      <c r="C11" s="15">
        <f t="shared" si="1"/>
        <v>2025</v>
      </c>
      <c r="D11" s="16" t="s">
        <v>79</v>
      </c>
      <c r="E11" s="16" t="s">
        <v>83</v>
      </c>
      <c r="F11" s="16" t="s">
        <v>84</v>
      </c>
      <c r="G11" s="16" t="s">
        <v>29</v>
      </c>
      <c r="H11" s="16" t="s">
        <v>9</v>
      </c>
      <c r="I11" s="16" t="s">
        <v>85</v>
      </c>
      <c r="J11" s="16" t="s">
        <v>86</v>
      </c>
      <c r="K11" s="16" t="s">
        <v>87</v>
      </c>
      <c r="L11" s="17">
        <v>71.08</v>
      </c>
      <c r="M11" s="18">
        <f t="shared" si="2"/>
        <v>-71.08</v>
      </c>
      <c r="N11" s="16" t="s">
        <v>78</v>
      </c>
      <c r="O11" s="15" t="str">
        <f t="shared" si="3"/>
        <v>OK</v>
      </c>
    </row>
    <row r="12" spans="1:15" ht="20.100000000000001" customHeight="1" x14ac:dyDescent="0.25">
      <c r="A12" s="14">
        <v>45661</v>
      </c>
      <c r="B12" s="15" t="str">
        <f t="shared" si="0"/>
        <v>Enero</v>
      </c>
      <c r="C12" s="15">
        <f t="shared" si="1"/>
        <v>2025</v>
      </c>
      <c r="D12" s="16" t="s">
        <v>79</v>
      </c>
      <c r="E12" s="16" t="s">
        <v>88</v>
      </c>
      <c r="F12" s="16" t="s">
        <v>89</v>
      </c>
      <c r="G12" s="16" t="s">
        <v>31</v>
      </c>
      <c r="H12" s="16" t="s">
        <v>9</v>
      </c>
      <c r="I12" s="16" t="s">
        <v>85</v>
      </c>
      <c r="J12" s="16" t="s">
        <v>90</v>
      </c>
      <c r="K12" s="16" t="s">
        <v>87</v>
      </c>
      <c r="L12" s="17">
        <v>8.43</v>
      </c>
      <c r="M12" s="18">
        <f t="shared" si="2"/>
        <v>-8.43</v>
      </c>
      <c r="N12" s="16" t="s">
        <v>78</v>
      </c>
      <c r="O12" s="15" t="str">
        <f t="shared" si="3"/>
        <v>OK</v>
      </c>
    </row>
    <row r="13" spans="1:15" ht="20.100000000000001" customHeight="1" x14ac:dyDescent="0.25">
      <c r="A13" s="14">
        <v>45662</v>
      </c>
      <c r="B13" s="15" t="str">
        <f t="shared" si="0"/>
        <v>Enero</v>
      </c>
      <c r="C13" s="15">
        <f t="shared" si="1"/>
        <v>2025</v>
      </c>
      <c r="D13" s="16" t="s">
        <v>79</v>
      </c>
      <c r="E13" s="16" t="s">
        <v>80</v>
      </c>
      <c r="F13" s="16" t="s">
        <v>91</v>
      </c>
      <c r="G13" s="16" t="s">
        <v>28</v>
      </c>
      <c r="H13" s="16" t="s">
        <v>9</v>
      </c>
      <c r="I13" s="16" t="s">
        <v>75</v>
      </c>
      <c r="J13" s="16" t="s">
        <v>92</v>
      </c>
      <c r="K13" s="16" t="s">
        <v>93</v>
      </c>
      <c r="L13" s="17">
        <v>31.5</v>
      </c>
      <c r="M13" s="18">
        <f t="shared" si="2"/>
        <v>-31.5</v>
      </c>
      <c r="N13" s="16" t="s">
        <v>78</v>
      </c>
      <c r="O13" s="15" t="str">
        <f t="shared" si="3"/>
        <v>OK</v>
      </c>
    </row>
    <row r="14" spans="1:15" ht="20.100000000000001" customHeight="1" x14ac:dyDescent="0.25">
      <c r="A14" s="14">
        <v>45663</v>
      </c>
      <c r="B14" s="15" t="str">
        <f t="shared" si="0"/>
        <v>Enero</v>
      </c>
      <c r="C14" s="15">
        <f t="shared" si="1"/>
        <v>2025</v>
      </c>
      <c r="D14" s="16" t="s">
        <v>79</v>
      </c>
      <c r="E14" s="16" t="s">
        <v>80</v>
      </c>
      <c r="F14" s="16" t="s">
        <v>94</v>
      </c>
      <c r="G14" s="16" t="s">
        <v>28</v>
      </c>
      <c r="H14" s="16" t="s">
        <v>9</v>
      </c>
      <c r="I14" s="16" t="s">
        <v>75</v>
      </c>
      <c r="J14" s="16" t="s">
        <v>95</v>
      </c>
      <c r="K14" s="16" t="s">
        <v>93</v>
      </c>
      <c r="L14" s="17">
        <v>20.61</v>
      </c>
      <c r="M14" s="18">
        <f t="shared" si="2"/>
        <v>-20.61</v>
      </c>
      <c r="N14" s="16" t="s">
        <v>78</v>
      </c>
      <c r="O14" s="15" t="str">
        <f t="shared" si="3"/>
        <v>OK</v>
      </c>
    </row>
    <row r="15" spans="1:15" ht="20.100000000000001" customHeight="1" x14ac:dyDescent="0.25">
      <c r="A15" s="14">
        <v>45664</v>
      </c>
      <c r="B15" s="15" t="str">
        <f t="shared" si="0"/>
        <v>Enero</v>
      </c>
      <c r="C15" s="15">
        <f t="shared" si="1"/>
        <v>2025</v>
      </c>
      <c r="D15" s="16" t="s">
        <v>79</v>
      </c>
      <c r="E15" s="16" t="s">
        <v>80</v>
      </c>
      <c r="F15" s="16" t="s">
        <v>96</v>
      </c>
      <c r="G15" s="16" t="s">
        <v>28</v>
      </c>
      <c r="H15" s="16" t="s">
        <v>9</v>
      </c>
      <c r="I15" s="16" t="s">
        <v>75</v>
      </c>
      <c r="J15" s="16" t="s">
        <v>97</v>
      </c>
      <c r="K15" s="16" t="s">
        <v>93</v>
      </c>
      <c r="L15" s="17">
        <v>35</v>
      </c>
      <c r="M15" s="18">
        <f t="shared" si="2"/>
        <v>-35</v>
      </c>
      <c r="N15" s="16" t="s">
        <v>78</v>
      </c>
      <c r="O15" s="15" t="str">
        <f t="shared" si="3"/>
        <v>OK</v>
      </c>
    </row>
    <row r="16" spans="1:15" ht="20.100000000000001" customHeight="1" x14ac:dyDescent="0.25">
      <c r="A16" s="14">
        <v>45665</v>
      </c>
      <c r="B16" s="15" t="str">
        <f t="shared" si="0"/>
        <v>Enero</v>
      </c>
      <c r="C16" s="15">
        <f t="shared" si="1"/>
        <v>2025</v>
      </c>
      <c r="D16" s="16" t="s">
        <v>79</v>
      </c>
      <c r="E16" s="16" t="s">
        <v>80</v>
      </c>
      <c r="F16" s="16" t="s">
        <v>98</v>
      </c>
      <c r="G16" s="16" t="s">
        <v>32</v>
      </c>
      <c r="H16" s="16" t="s">
        <v>9</v>
      </c>
      <c r="I16" s="16" t="s">
        <v>75</v>
      </c>
      <c r="J16" s="16" t="s">
        <v>99</v>
      </c>
      <c r="K16" s="16" t="s">
        <v>93</v>
      </c>
      <c r="L16" s="17">
        <v>18</v>
      </c>
      <c r="M16" s="18">
        <f t="shared" si="2"/>
        <v>-18</v>
      </c>
      <c r="N16" s="16" t="s">
        <v>78</v>
      </c>
      <c r="O16" s="15" t="str">
        <f t="shared" si="3"/>
        <v>OK</v>
      </c>
    </row>
    <row r="17" spans="1:15" ht="20.100000000000001" customHeight="1" x14ac:dyDescent="0.25">
      <c r="A17" s="14">
        <v>45666</v>
      </c>
      <c r="B17" s="15" t="str">
        <f t="shared" si="0"/>
        <v>Enero</v>
      </c>
      <c r="C17" s="15">
        <f t="shared" si="1"/>
        <v>2025</v>
      </c>
      <c r="D17" s="16" t="s">
        <v>79</v>
      </c>
      <c r="E17" s="16" t="s">
        <v>83</v>
      </c>
      <c r="F17" s="16" t="s">
        <v>100</v>
      </c>
      <c r="G17" s="16" t="s">
        <v>39</v>
      </c>
      <c r="H17" s="16" t="s">
        <v>9</v>
      </c>
      <c r="I17" s="16" t="s">
        <v>75</v>
      </c>
      <c r="J17" s="16" t="s">
        <v>101</v>
      </c>
      <c r="K17" s="16" t="s">
        <v>87</v>
      </c>
      <c r="L17" s="17">
        <v>24</v>
      </c>
      <c r="M17" s="18">
        <f t="shared" si="2"/>
        <v>-24</v>
      </c>
      <c r="N17" s="16" t="s">
        <v>78</v>
      </c>
      <c r="O17" s="15" t="str">
        <f t="shared" si="3"/>
        <v>OK</v>
      </c>
    </row>
    <row r="18" spans="1:15" ht="20.100000000000001" customHeight="1" x14ac:dyDescent="0.25">
      <c r="A18" s="14">
        <v>45667</v>
      </c>
      <c r="B18" s="15" t="str">
        <f t="shared" si="0"/>
        <v>Enero</v>
      </c>
      <c r="C18" s="15">
        <f t="shared" si="1"/>
        <v>2025</v>
      </c>
      <c r="D18" s="16" t="s">
        <v>79</v>
      </c>
      <c r="E18" s="16" t="s">
        <v>83</v>
      </c>
      <c r="F18" s="16" t="s">
        <v>84</v>
      </c>
      <c r="G18" s="16" t="s">
        <v>29</v>
      </c>
      <c r="H18" s="16" t="s">
        <v>9</v>
      </c>
      <c r="I18" s="16" t="s">
        <v>85</v>
      </c>
      <c r="J18" s="16" t="s">
        <v>86</v>
      </c>
      <c r="K18" s="16" t="s">
        <v>87</v>
      </c>
      <c r="L18" s="17">
        <v>92.25</v>
      </c>
      <c r="M18" s="18">
        <f t="shared" si="2"/>
        <v>-92.25</v>
      </c>
      <c r="N18" s="16" t="s">
        <v>78</v>
      </c>
      <c r="O18" s="15" t="str">
        <f t="shared" si="3"/>
        <v>OK</v>
      </c>
    </row>
    <row r="19" spans="1:15" ht="20.100000000000001" customHeight="1" x14ac:dyDescent="0.25">
      <c r="A19" s="14">
        <v>45668</v>
      </c>
      <c r="B19" s="15" t="str">
        <f t="shared" si="0"/>
        <v>Enero</v>
      </c>
      <c r="C19" s="15">
        <f t="shared" si="1"/>
        <v>2025</v>
      </c>
      <c r="D19" s="16" t="s">
        <v>79</v>
      </c>
      <c r="E19" s="16" t="s">
        <v>88</v>
      </c>
      <c r="F19" s="16" t="s">
        <v>89</v>
      </c>
      <c r="G19" s="16" t="s">
        <v>31</v>
      </c>
      <c r="H19" s="16" t="s">
        <v>9</v>
      </c>
      <c r="I19" s="16" t="s">
        <v>85</v>
      </c>
      <c r="J19" s="16" t="s">
        <v>90</v>
      </c>
      <c r="K19" s="16" t="s">
        <v>87</v>
      </c>
      <c r="L19" s="17">
        <v>10.54</v>
      </c>
      <c r="M19" s="18">
        <f t="shared" si="2"/>
        <v>-10.54</v>
      </c>
      <c r="N19" s="16" t="s">
        <v>78</v>
      </c>
      <c r="O19" s="15" t="str">
        <f t="shared" si="3"/>
        <v>OK</v>
      </c>
    </row>
    <row r="20" spans="1:15" ht="20.100000000000001" customHeight="1" x14ac:dyDescent="0.25">
      <c r="A20" s="14">
        <v>45669</v>
      </c>
      <c r="B20" s="15" t="str">
        <f t="shared" si="0"/>
        <v>Enero</v>
      </c>
      <c r="C20" s="15">
        <f t="shared" si="1"/>
        <v>2025</v>
      </c>
      <c r="D20" s="16" t="s">
        <v>79</v>
      </c>
      <c r="E20" s="16" t="s">
        <v>83</v>
      </c>
      <c r="F20" s="16" t="s">
        <v>102</v>
      </c>
      <c r="G20" s="16" t="s">
        <v>29</v>
      </c>
      <c r="H20" s="16" t="s">
        <v>9</v>
      </c>
      <c r="I20" s="16" t="s">
        <v>85</v>
      </c>
      <c r="J20" s="16" t="s">
        <v>103</v>
      </c>
      <c r="K20" s="16" t="s">
        <v>104</v>
      </c>
      <c r="L20" s="17">
        <v>31.97</v>
      </c>
      <c r="M20" s="18">
        <f t="shared" si="2"/>
        <v>-31.97</v>
      </c>
      <c r="N20" s="16" t="s">
        <v>78</v>
      </c>
      <c r="O20" s="15" t="str">
        <f t="shared" si="3"/>
        <v>OK</v>
      </c>
    </row>
    <row r="21" spans="1:15" ht="20.100000000000001" customHeight="1" x14ac:dyDescent="0.25">
      <c r="A21" s="14">
        <v>45670</v>
      </c>
      <c r="B21" s="15" t="str">
        <f t="shared" si="0"/>
        <v>Enero</v>
      </c>
      <c r="C21" s="15">
        <f t="shared" si="1"/>
        <v>2025</v>
      </c>
      <c r="D21" s="16" t="s">
        <v>79</v>
      </c>
      <c r="E21" s="16" t="s">
        <v>83</v>
      </c>
      <c r="F21" s="16" t="s">
        <v>105</v>
      </c>
      <c r="G21" s="16" t="s">
        <v>32</v>
      </c>
      <c r="H21" s="16" t="s">
        <v>9</v>
      </c>
      <c r="I21" s="16" t="s">
        <v>85</v>
      </c>
      <c r="J21" s="16" t="s">
        <v>106</v>
      </c>
      <c r="K21" s="16" t="s">
        <v>87</v>
      </c>
      <c r="L21" s="17">
        <v>20.97</v>
      </c>
      <c r="M21" s="18">
        <f t="shared" si="2"/>
        <v>-20.97</v>
      </c>
      <c r="N21" s="16" t="s">
        <v>78</v>
      </c>
      <c r="O21" s="15" t="str">
        <f t="shared" si="3"/>
        <v>OK</v>
      </c>
    </row>
    <row r="22" spans="1:15" ht="20.100000000000001" customHeight="1" x14ac:dyDescent="0.25">
      <c r="A22" s="14">
        <v>45671</v>
      </c>
      <c r="B22" s="15" t="str">
        <f t="shared" si="0"/>
        <v>Enero</v>
      </c>
      <c r="C22" s="15">
        <f t="shared" si="1"/>
        <v>2025</v>
      </c>
      <c r="D22" s="16" t="s">
        <v>79</v>
      </c>
      <c r="E22" s="16" t="s">
        <v>83</v>
      </c>
      <c r="F22" s="16" t="s">
        <v>107</v>
      </c>
      <c r="G22" s="16" t="s">
        <v>33</v>
      </c>
      <c r="H22" s="16" t="s">
        <v>10</v>
      </c>
      <c r="I22" s="16" t="s">
        <v>85</v>
      </c>
      <c r="J22" s="16" t="s">
        <v>108</v>
      </c>
      <c r="K22" s="16" t="s">
        <v>87</v>
      </c>
      <c r="L22" s="17">
        <v>22.56</v>
      </c>
      <c r="M22" s="18">
        <f t="shared" si="2"/>
        <v>-22.56</v>
      </c>
      <c r="N22" s="16" t="s">
        <v>78</v>
      </c>
      <c r="O22" s="15" t="str">
        <f t="shared" si="3"/>
        <v>OK</v>
      </c>
    </row>
    <row r="23" spans="1:15" ht="20.100000000000001" customHeight="1" x14ac:dyDescent="0.25">
      <c r="A23" s="14">
        <v>45673</v>
      </c>
      <c r="B23" s="15" t="str">
        <f t="shared" si="0"/>
        <v>Enero</v>
      </c>
      <c r="C23" s="15">
        <f t="shared" si="1"/>
        <v>2025</v>
      </c>
      <c r="D23" s="16" t="s">
        <v>79</v>
      </c>
      <c r="E23" s="16" t="s">
        <v>83</v>
      </c>
      <c r="F23" s="16" t="s">
        <v>109</v>
      </c>
      <c r="G23" s="16" t="s">
        <v>33</v>
      </c>
      <c r="H23" s="16" t="s">
        <v>10</v>
      </c>
      <c r="I23" s="16" t="s">
        <v>85</v>
      </c>
      <c r="J23" s="16" t="s">
        <v>110</v>
      </c>
      <c r="K23" s="16" t="s">
        <v>87</v>
      </c>
      <c r="L23" s="17">
        <v>30.82</v>
      </c>
      <c r="M23" s="18">
        <f t="shared" si="2"/>
        <v>-30.82</v>
      </c>
      <c r="N23" s="16" t="s">
        <v>78</v>
      </c>
      <c r="O23" s="15" t="str">
        <f t="shared" si="3"/>
        <v>OK</v>
      </c>
    </row>
    <row r="24" spans="1:15" ht="20.100000000000001" customHeight="1" x14ac:dyDescent="0.25">
      <c r="A24" s="14">
        <v>45674</v>
      </c>
      <c r="B24" s="15" t="str">
        <f t="shared" si="0"/>
        <v>Enero</v>
      </c>
      <c r="C24" s="15">
        <f t="shared" si="1"/>
        <v>2025</v>
      </c>
      <c r="D24" s="16" t="s">
        <v>79</v>
      </c>
      <c r="E24" s="16" t="s">
        <v>83</v>
      </c>
      <c r="F24" s="16" t="s">
        <v>84</v>
      </c>
      <c r="G24" s="16" t="s">
        <v>29</v>
      </c>
      <c r="H24" s="16" t="s">
        <v>9</v>
      </c>
      <c r="I24" s="16" t="s">
        <v>85</v>
      </c>
      <c r="J24" s="16" t="s">
        <v>86</v>
      </c>
      <c r="K24" s="16" t="s">
        <v>87</v>
      </c>
      <c r="L24" s="17">
        <v>89.79</v>
      </c>
      <c r="M24" s="18">
        <f t="shared" si="2"/>
        <v>-89.79</v>
      </c>
      <c r="N24" s="16" t="s">
        <v>78</v>
      </c>
      <c r="O24" s="15" t="str">
        <f t="shared" si="3"/>
        <v>OK</v>
      </c>
    </row>
    <row r="25" spans="1:15" ht="20.100000000000001" customHeight="1" x14ac:dyDescent="0.25">
      <c r="A25" s="14">
        <v>45675</v>
      </c>
      <c r="B25" s="15" t="str">
        <f t="shared" si="0"/>
        <v>Enero</v>
      </c>
      <c r="C25" s="15">
        <f t="shared" si="1"/>
        <v>2025</v>
      </c>
      <c r="D25" s="16" t="s">
        <v>79</v>
      </c>
      <c r="E25" s="16" t="s">
        <v>88</v>
      </c>
      <c r="F25" s="16" t="s">
        <v>89</v>
      </c>
      <c r="G25" s="16" t="s">
        <v>31</v>
      </c>
      <c r="H25" s="16" t="s">
        <v>9</v>
      </c>
      <c r="I25" s="16" t="s">
        <v>85</v>
      </c>
      <c r="J25" s="16" t="s">
        <v>90</v>
      </c>
      <c r="K25" s="16" t="s">
        <v>87</v>
      </c>
      <c r="L25" s="17">
        <v>7.02</v>
      </c>
      <c r="M25" s="18">
        <f t="shared" si="2"/>
        <v>-7.02</v>
      </c>
      <c r="N25" s="16" t="s">
        <v>78</v>
      </c>
      <c r="O25" s="15" t="str">
        <f t="shared" si="3"/>
        <v>OK</v>
      </c>
    </row>
    <row r="26" spans="1:15" ht="20.100000000000001" customHeight="1" x14ac:dyDescent="0.25">
      <c r="A26" s="14">
        <v>45676</v>
      </c>
      <c r="B26" s="15" t="str">
        <f t="shared" si="0"/>
        <v>Enero</v>
      </c>
      <c r="C26" s="15">
        <f t="shared" si="1"/>
        <v>2025</v>
      </c>
      <c r="D26" s="16" t="s">
        <v>79</v>
      </c>
      <c r="E26" s="16" t="s">
        <v>83</v>
      </c>
      <c r="F26" s="16" t="s">
        <v>111</v>
      </c>
      <c r="G26" s="16" t="s">
        <v>35</v>
      </c>
      <c r="H26" s="16" t="s">
        <v>10</v>
      </c>
      <c r="I26" s="16" t="s">
        <v>85</v>
      </c>
      <c r="J26" s="16" t="s">
        <v>112</v>
      </c>
      <c r="K26" s="16" t="s">
        <v>87</v>
      </c>
      <c r="L26" s="17">
        <v>47.93</v>
      </c>
      <c r="M26" s="18">
        <f t="shared" si="2"/>
        <v>-47.93</v>
      </c>
      <c r="N26" s="16" t="s">
        <v>78</v>
      </c>
      <c r="O26" s="15" t="str">
        <f t="shared" si="3"/>
        <v>OK</v>
      </c>
    </row>
    <row r="27" spans="1:15" ht="20.100000000000001" customHeight="1" x14ac:dyDescent="0.25">
      <c r="A27" s="14">
        <v>45677</v>
      </c>
      <c r="B27" s="15" t="str">
        <f t="shared" si="0"/>
        <v>Enero</v>
      </c>
      <c r="C27" s="15">
        <f t="shared" si="1"/>
        <v>2025</v>
      </c>
      <c r="D27" s="16" t="s">
        <v>79</v>
      </c>
      <c r="E27" s="16" t="s">
        <v>83</v>
      </c>
      <c r="F27" s="16" t="s">
        <v>107</v>
      </c>
      <c r="G27" s="16" t="s">
        <v>33</v>
      </c>
      <c r="H27" s="16" t="s">
        <v>10</v>
      </c>
      <c r="I27" s="16" t="s">
        <v>85</v>
      </c>
      <c r="J27" s="16" t="s">
        <v>108</v>
      </c>
      <c r="K27" s="16" t="s">
        <v>104</v>
      </c>
      <c r="L27" s="17">
        <v>20.3</v>
      </c>
      <c r="M27" s="18">
        <f t="shared" si="2"/>
        <v>-20.3</v>
      </c>
      <c r="N27" s="16" t="s">
        <v>78</v>
      </c>
      <c r="O27" s="15" t="str">
        <f t="shared" si="3"/>
        <v>OK</v>
      </c>
    </row>
    <row r="28" spans="1:15" ht="20.100000000000001" customHeight="1" x14ac:dyDescent="0.25">
      <c r="A28" s="14">
        <v>45681</v>
      </c>
      <c r="B28" s="15" t="str">
        <f t="shared" si="0"/>
        <v>Enero</v>
      </c>
      <c r="C28" s="15">
        <f t="shared" si="1"/>
        <v>2025</v>
      </c>
      <c r="D28" s="16" t="s">
        <v>79</v>
      </c>
      <c r="E28" s="16" t="s">
        <v>83</v>
      </c>
      <c r="F28" s="16" t="s">
        <v>84</v>
      </c>
      <c r="G28" s="16" t="s">
        <v>29</v>
      </c>
      <c r="H28" s="16" t="s">
        <v>9</v>
      </c>
      <c r="I28" s="16" t="s">
        <v>85</v>
      </c>
      <c r="J28" s="16" t="s">
        <v>86</v>
      </c>
      <c r="K28" s="16" t="s">
        <v>87</v>
      </c>
      <c r="L28" s="17">
        <v>98.68</v>
      </c>
      <c r="M28" s="18">
        <f t="shared" si="2"/>
        <v>-98.68</v>
      </c>
      <c r="N28" s="16" t="s">
        <v>78</v>
      </c>
      <c r="O28" s="15" t="str">
        <f t="shared" si="3"/>
        <v>OK</v>
      </c>
    </row>
    <row r="29" spans="1:15" ht="20.100000000000001" customHeight="1" x14ac:dyDescent="0.25">
      <c r="A29" s="14">
        <v>45682</v>
      </c>
      <c r="B29" s="15" t="str">
        <f t="shared" si="0"/>
        <v>Enero</v>
      </c>
      <c r="C29" s="15">
        <f t="shared" si="1"/>
        <v>2025</v>
      </c>
      <c r="D29" s="16" t="s">
        <v>79</v>
      </c>
      <c r="E29" s="16" t="s">
        <v>88</v>
      </c>
      <c r="F29" s="16" t="s">
        <v>89</v>
      </c>
      <c r="G29" s="16" t="s">
        <v>31</v>
      </c>
      <c r="H29" s="16" t="s">
        <v>9</v>
      </c>
      <c r="I29" s="16" t="s">
        <v>85</v>
      </c>
      <c r="J29" s="16" t="s">
        <v>90</v>
      </c>
      <c r="K29" s="16" t="s">
        <v>87</v>
      </c>
      <c r="L29" s="17">
        <v>8.2899999999999991</v>
      </c>
      <c r="M29" s="18">
        <f t="shared" si="2"/>
        <v>-8.2899999999999991</v>
      </c>
      <c r="N29" s="16" t="s">
        <v>78</v>
      </c>
      <c r="O29" s="15" t="str">
        <f t="shared" si="3"/>
        <v>OK</v>
      </c>
    </row>
    <row r="30" spans="1:15" ht="20.100000000000001" customHeight="1" x14ac:dyDescent="0.25">
      <c r="A30" s="14">
        <v>45683</v>
      </c>
      <c r="B30" s="15" t="str">
        <f t="shared" si="0"/>
        <v>Enero</v>
      </c>
      <c r="C30" s="15">
        <f t="shared" si="1"/>
        <v>2025</v>
      </c>
      <c r="D30" s="16" t="s">
        <v>79</v>
      </c>
      <c r="E30" s="16" t="s">
        <v>83</v>
      </c>
      <c r="F30" s="16" t="s">
        <v>102</v>
      </c>
      <c r="G30" s="16" t="s">
        <v>29</v>
      </c>
      <c r="H30" s="16" t="s">
        <v>9</v>
      </c>
      <c r="I30" s="16" t="s">
        <v>85</v>
      </c>
      <c r="J30" s="16" t="s">
        <v>103</v>
      </c>
      <c r="K30" s="16" t="s">
        <v>87</v>
      </c>
      <c r="L30" s="17">
        <v>30.56</v>
      </c>
      <c r="M30" s="18">
        <f t="shared" si="2"/>
        <v>-30.56</v>
      </c>
      <c r="N30" s="16" t="s">
        <v>78</v>
      </c>
      <c r="O30" s="15" t="str">
        <f t="shared" si="3"/>
        <v>OK</v>
      </c>
    </row>
    <row r="31" spans="1:15" ht="20.100000000000001" customHeight="1" x14ac:dyDescent="0.25">
      <c r="A31" s="14">
        <v>45684</v>
      </c>
      <c r="B31" s="15" t="str">
        <f t="shared" si="0"/>
        <v>Enero</v>
      </c>
      <c r="C31" s="15">
        <f t="shared" si="1"/>
        <v>2025</v>
      </c>
      <c r="D31" s="16" t="s">
        <v>30</v>
      </c>
      <c r="E31" s="16" t="s">
        <v>113</v>
      </c>
      <c r="F31" s="16" t="s">
        <v>114</v>
      </c>
      <c r="G31" s="16" t="s">
        <v>41</v>
      </c>
      <c r="H31" s="16" t="s">
        <v>30</v>
      </c>
      <c r="I31" s="16" t="s">
        <v>75</v>
      </c>
      <c r="J31" s="16" t="s">
        <v>115</v>
      </c>
      <c r="K31" s="16" t="s">
        <v>77</v>
      </c>
      <c r="L31" s="17">
        <v>242.23</v>
      </c>
      <c r="M31" s="18">
        <f t="shared" si="2"/>
        <v>-242.23</v>
      </c>
      <c r="N31" s="16" t="s">
        <v>78</v>
      </c>
      <c r="O31" s="15" t="str">
        <f t="shared" si="3"/>
        <v>OK</v>
      </c>
    </row>
    <row r="32" spans="1:15" ht="20.100000000000001" customHeight="1" x14ac:dyDescent="0.25">
      <c r="A32" s="14">
        <v>45685</v>
      </c>
      <c r="B32" s="15" t="str">
        <f t="shared" si="0"/>
        <v>Enero</v>
      </c>
      <c r="C32" s="15">
        <f t="shared" si="1"/>
        <v>2025</v>
      </c>
      <c r="D32" s="16" t="s">
        <v>79</v>
      </c>
      <c r="E32" s="16" t="s">
        <v>83</v>
      </c>
      <c r="F32" s="16" t="s">
        <v>107</v>
      </c>
      <c r="G32" s="16" t="s">
        <v>33</v>
      </c>
      <c r="H32" s="16" t="s">
        <v>10</v>
      </c>
      <c r="I32" s="16" t="s">
        <v>85</v>
      </c>
      <c r="J32" s="16" t="s">
        <v>108</v>
      </c>
      <c r="K32" s="16" t="s">
        <v>87</v>
      </c>
      <c r="L32" s="17">
        <v>28.82</v>
      </c>
      <c r="M32" s="18">
        <f t="shared" si="2"/>
        <v>-28.82</v>
      </c>
      <c r="N32" s="16" t="s">
        <v>78</v>
      </c>
      <c r="O32" s="15" t="str">
        <f t="shared" si="3"/>
        <v>OK</v>
      </c>
    </row>
    <row r="33" spans="1:15" ht="20.100000000000001" customHeight="1" x14ac:dyDescent="0.25">
      <c r="A33" s="14">
        <v>45685</v>
      </c>
      <c r="B33" s="15" t="str">
        <f t="shared" si="0"/>
        <v>Enero</v>
      </c>
      <c r="C33" s="15">
        <f t="shared" si="1"/>
        <v>2025</v>
      </c>
      <c r="D33" s="16" t="s">
        <v>30</v>
      </c>
      <c r="E33" s="16" t="s">
        <v>113</v>
      </c>
      <c r="F33" s="16" t="s">
        <v>116</v>
      </c>
      <c r="G33" s="16" t="s">
        <v>41</v>
      </c>
      <c r="H33" s="16" t="s">
        <v>30</v>
      </c>
      <c r="I33" s="16" t="s">
        <v>85</v>
      </c>
      <c r="J33" s="16" t="s">
        <v>117</v>
      </c>
      <c r="K33" s="16" t="s">
        <v>77</v>
      </c>
      <c r="L33" s="17">
        <v>53.17</v>
      </c>
      <c r="M33" s="18">
        <f t="shared" si="2"/>
        <v>-53.17</v>
      </c>
      <c r="N33" s="16" t="s">
        <v>78</v>
      </c>
      <c r="O33" s="15" t="str">
        <f t="shared" si="3"/>
        <v>OK</v>
      </c>
    </row>
    <row r="34" spans="1:15" ht="20.100000000000001" customHeight="1" x14ac:dyDescent="0.25">
      <c r="A34" s="14">
        <v>45689</v>
      </c>
      <c r="B34" s="15" t="str">
        <f t="shared" si="0"/>
        <v>Febrero</v>
      </c>
      <c r="C34" s="15">
        <f t="shared" si="1"/>
        <v>2025</v>
      </c>
      <c r="D34" s="16" t="s">
        <v>71</v>
      </c>
      <c r="E34" s="16" t="s">
        <v>72</v>
      </c>
      <c r="F34" s="16" t="s">
        <v>73</v>
      </c>
      <c r="G34" s="16" t="s">
        <v>74</v>
      </c>
      <c r="H34" s="16" t="s">
        <v>37</v>
      </c>
      <c r="I34" s="16" t="s">
        <v>75</v>
      </c>
      <c r="J34" s="16" t="s">
        <v>76</v>
      </c>
      <c r="K34" s="16" t="s">
        <v>77</v>
      </c>
      <c r="L34" s="17">
        <v>2453.9</v>
      </c>
      <c r="M34" s="18">
        <f t="shared" si="2"/>
        <v>2453.9</v>
      </c>
      <c r="N34" s="16" t="s">
        <v>78</v>
      </c>
      <c r="O34" s="15" t="str">
        <f t="shared" si="3"/>
        <v>OK</v>
      </c>
    </row>
    <row r="35" spans="1:15" ht="20.100000000000001" customHeight="1" x14ac:dyDescent="0.25">
      <c r="A35" s="14">
        <v>45690</v>
      </c>
      <c r="B35" s="15" t="str">
        <f t="shared" si="0"/>
        <v>Febrero</v>
      </c>
      <c r="C35" s="15">
        <f t="shared" si="1"/>
        <v>2025</v>
      </c>
      <c r="D35" s="16" t="s">
        <v>79</v>
      </c>
      <c r="E35" s="16" t="s">
        <v>80</v>
      </c>
      <c r="F35" s="16" t="s">
        <v>81</v>
      </c>
      <c r="G35" s="16" t="s">
        <v>28</v>
      </c>
      <c r="H35" s="16" t="s">
        <v>9</v>
      </c>
      <c r="I35" s="16" t="s">
        <v>75</v>
      </c>
      <c r="J35" s="16" t="s">
        <v>82</v>
      </c>
      <c r="K35" s="16" t="s">
        <v>77</v>
      </c>
      <c r="L35" s="17">
        <v>980</v>
      </c>
      <c r="M35" s="18">
        <f t="shared" si="2"/>
        <v>-980</v>
      </c>
      <c r="N35" s="16" t="s">
        <v>78</v>
      </c>
      <c r="O35" s="15" t="str">
        <f t="shared" si="3"/>
        <v>OK</v>
      </c>
    </row>
    <row r="36" spans="1:15" ht="20.100000000000001" customHeight="1" x14ac:dyDescent="0.25">
      <c r="A36" s="14">
        <v>45691</v>
      </c>
      <c r="B36" s="15" t="str">
        <f t="shared" si="0"/>
        <v>Febrero</v>
      </c>
      <c r="C36" s="15">
        <f t="shared" si="1"/>
        <v>2025</v>
      </c>
      <c r="D36" s="16" t="s">
        <v>79</v>
      </c>
      <c r="E36" s="16" t="s">
        <v>83</v>
      </c>
      <c r="F36" s="16" t="s">
        <v>84</v>
      </c>
      <c r="G36" s="16" t="s">
        <v>29</v>
      </c>
      <c r="H36" s="16" t="s">
        <v>9</v>
      </c>
      <c r="I36" s="16" t="s">
        <v>85</v>
      </c>
      <c r="J36" s="16" t="s">
        <v>86</v>
      </c>
      <c r="K36" s="16" t="s">
        <v>87</v>
      </c>
      <c r="L36" s="17">
        <v>72.790000000000006</v>
      </c>
      <c r="M36" s="18">
        <f t="shared" si="2"/>
        <v>-72.790000000000006</v>
      </c>
      <c r="N36" s="16" t="s">
        <v>78</v>
      </c>
      <c r="O36" s="15" t="str">
        <f t="shared" si="3"/>
        <v>OK</v>
      </c>
    </row>
    <row r="37" spans="1:15" ht="20.100000000000001" customHeight="1" x14ac:dyDescent="0.25">
      <c r="A37" s="14">
        <v>45692</v>
      </c>
      <c r="B37" s="15" t="str">
        <f t="shared" si="0"/>
        <v>Febrero</v>
      </c>
      <c r="C37" s="15">
        <f t="shared" si="1"/>
        <v>2025</v>
      </c>
      <c r="D37" s="16" t="s">
        <v>79</v>
      </c>
      <c r="E37" s="16" t="s">
        <v>88</v>
      </c>
      <c r="F37" s="16" t="s">
        <v>89</v>
      </c>
      <c r="G37" s="16" t="s">
        <v>31</v>
      </c>
      <c r="H37" s="16" t="s">
        <v>9</v>
      </c>
      <c r="I37" s="16" t="s">
        <v>85</v>
      </c>
      <c r="J37" s="16" t="s">
        <v>90</v>
      </c>
      <c r="K37" s="16" t="s">
        <v>87</v>
      </c>
      <c r="L37" s="17">
        <v>11.07</v>
      </c>
      <c r="M37" s="18">
        <f t="shared" si="2"/>
        <v>-11.07</v>
      </c>
      <c r="N37" s="16" t="s">
        <v>78</v>
      </c>
      <c r="O37" s="15" t="str">
        <f t="shared" si="3"/>
        <v>OK</v>
      </c>
    </row>
    <row r="38" spans="1:15" ht="20.100000000000001" customHeight="1" x14ac:dyDescent="0.25">
      <c r="A38" s="14">
        <v>45693</v>
      </c>
      <c r="B38" s="15" t="str">
        <f t="shared" si="0"/>
        <v>Febrero</v>
      </c>
      <c r="C38" s="15">
        <f t="shared" si="1"/>
        <v>2025</v>
      </c>
      <c r="D38" s="16" t="s">
        <v>79</v>
      </c>
      <c r="E38" s="16" t="s">
        <v>80</v>
      </c>
      <c r="F38" s="16" t="s">
        <v>91</v>
      </c>
      <c r="G38" s="16" t="s">
        <v>28</v>
      </c>
      <c r="H38" s="16" t="s">
        <v>9</v>
      </c>
      <c r="I38" s="16" t="s">
        <v>75</v>
      </c>
      <c r="J38" s="16" t="s">
        <v>92</v>
      </c>
      <c r="K38" s="16" t="s">
        <v>93</v>
      </c>
      <c r="L38" s="17">
        <v>34.17</v>
      </c>
      <c r="M38" s="18">
        <f t="shared" si="2"/>
        <v>-34.17</v>
      </c>
      <c r="N38" s="16" t="s">
        <v>78</v>
      </c>
      <c r="O38" s="15" t="str">
        <f t="shared" si="3"/>
        <v>OK</v>
      </c>
    </row>
    <row r="39" spans="1:15" ht="20.100000000000001" customHeight="1" x14ac:dyDescent="0.25">
      <c r="A39" s="14">
        <v>45694</v>
      </c>
      <c r="B39" s="15" t="str">
        <f t="shared" si="0"/>
        <v>Febrero</v>
      </c>
      <c r="C39" s="15">
        <f t="shared" si="1"/>
        <v>2025</v>
      </c>
      <c r="D39" s="16" t="s">
        <v>79</v>
      </c>
      <c r="E39" s="16" t="s">
        <v>80</v>
      </c>
      <c r="F39" s="16" t="s">
        <v>94</v>
      </c>
      <c r="G39" s="16" t="s">
        <v>28</v>
      </c>
      <c r="H39" s="16" t="s">
        <v>9</v>
      </c>
      <c r="I39" s="16" t="s">
        <v>75</v>
      </c>
      <c r="J39" s="16" t="s">
        <v>95</v>
      </c>
      <c r="K39" s="16" t="s">
        <v>93</v>
      </c>
      <c r="L39" s="17">
        <v>21.04</v>
      </c>
      <c r="M39" s="18">
        <f t="shared" si="2"/>
        <v>-21.04</v>
      </c>
      <c r="N39" s="16" t="s">
        <v>78</v>
      </c>
      <c r="O39" s="15" t="str">
        <f t="shared" si="3"/>
        <v>OK</v>
      </c>
    </row>
    <row r="40" spans="1:15" ht="20.100000000000001" customHeight="1" x14ac:dyDescent="0.25">
      <c r="A40" s="14">
        <v>45695</v>
      </c>
      <c r="B40" s="15" t="str">
        <f t="shared" si="0"/>
        <v>Febrero</v>
      </c>
      <c r="C40" s="15">
        <f t="shared" si="1"/>
        <v>2025</v>
      </c>
      <c r="D40" s="16" t="s">
        <v>79</v>
      </c>
      <c r="E40" s="16" t="s">
        <v>80</v>
      </c>
      <c r="F40" s="16" t="s">
        <v>96</v>
      </c>
      <c r="G40" s="16" t="s">
        <v>28</v>
      </c>
      <c r="H40" s="16" t="s">
        <v>9</v>
      </c>
      <c r="I40" s="16" t="s">
        <v>75</v>
      </c>
      <c r="J40" s="16" t="s">
        <v>97</v>
      </c>
      <c r="K40" s="16" t="s">
        <v>93</v>
      </c>
      <c r="L40" s="17">
        <v>35</v>
      </c>
      <c r="M40" s="18">
        <f t="shared" si="2"/>
        <v>-35</v>
      </c>
      <c r="N40" s="16" t="s">
        <v>78</v>
      </c>
      <c r="O40" s="15" t="str">
        <f t="shared" si="3"/>
        <v>OK</v>
      </c>
    </row>
    <row r="41" spans="1:15" ht="20.100000000000001" customHeight="1" x14ac:dyDescent="0.25">
      <c r="A41" s="14">
        <v>45696</v>
      </c>
      <c r="B41" s="15" t="str">
        <f t="shared" si="0"/>
        <v>Febrero</v>
      </c>
      <c r="C41" s="15">
        <f t="shared" si="1"/>
        <v>2025</v>
      </c>
      <c r="D41" s="16" t="s">
        <v>79</v>
      </c>
      <c r="E41" s="16" t="s">
        <v>80</v>
      </c>
      <c r="F41" s="16" t="s">
        <v>98</v>
      </c>
      <c r="G41" s="16" t="s">
        <v>32</v>
      </c>
      <c r="H41" s="16" t="s">
        <v>9</v>
      </c>
      <c r="I41" s="16" t="s">
        <v>75</v>
      </c>
      <c r="J41" s="16" t="s">
        <v>99</v>
      </c>
      <c r="K41" s="16" t="s">
        <v>93</v>
      </c>
      <c r="L41" s="17">
        <v>18</v>
      </c>
      <c r="M41" s="18">
        <f t="shared" si="2"/>
        <v>-18</v>
      </c>
      <c r="N41" s="16" t="s">
        <v>78</v>
      </c>
      <c r="O41" s="15" t="str">
        <f t="shared" si="3"/>
        <v>OK</v>
      </c>
    </row>
    <row r="42" spans="1:15" ht="20.100000000000001" customHeight="1" x14ac:dyDescent="0.25">
      <c r="A42" s="14">
        <v>45697</v>
      </c>
      <c r="B42" s="15" t="str">
        <f t="shared" si="0"/>
        <v>Febrero</v>
      </c>
      <c r="C42" s="15">
        <f t="shared" si="1"/>
        <v>2025</v>
      </c>
      <c r="D42" s="16" t="s">
        <v>79</v>
      </c>
      <c r="E42" s="16" t="s">
        <v>83</v>
      </c>
      <c r="F42" s="16" t="s">
        <v>100</v>
      </c>
      <c r="G42" s="16" t="s">
        <v>39</v>
      </c>
      <c r="H42" s="16" t="s">
        <v>9</v>
      </c>
      <c r="I42" s="16" t="s">
        <v>75</v>
      </c>
      <c r="J42" s="16" t="s">
        <v>101</v>
      </c>
      <c r="K42" s="16" t="s">
        <v>87</v>
      </c>
      <c r="L42" s="17">
        <v>24</v>
      </c>
      <c r="M42" s="18">
        <f t="shared" si="2"/>
        <v>-24</v>
      </c>
      <c r="N42" s="16" t="s">
        <v>78</v>
      </c>
      <c r="O42" s="15" t="str">
        <f t="shared" si="3"/>
        <v>OK</v>
      </c>
    </row>
    <row r="43" spans="1:15" ht="20.100000000000001" customHeight="1" x14ac:dyDescent="0.25">
      <c r="A43" s="14">
        <v>45698</v>
      </c>
      <c r="B43" s="15" t="str">
        <f t="shared" si="0"/>
        <v>Febrero</v>
      </c>
      <c r="C43" s="15">
        <f t="shared" si="1"/>
        <v>2025</v>
      </c>
      <c r="D43" s="16" t="s">
        <v>79</v>
      </c>
      <c r="E43" s="16" t="s">
        <v>83</v>
      </c>
      <c r="F43" s="16" t="s">
        <v>84</v>
      </c>
      <c r="G43" s="16" t="s">
        <v>29</v>
      </c>
      <c r="H43" s="16" t="s">
        <v>9</v>
      </c>
      <c r="I43" s="16" t="s">
        <v>85</v>
      </c>
      <c r="J43" s="16" t="s">
        <v>86</v>
      </c>
      <c r="K43" s="16" t="s">
        <v>87</v>
      </c>
      <c r="L43" s="17">
        <v>63.67</v>
      </c>
      <c r="M43" s="18">
        <f t="shared" si="2"/>
        <v>-63.67</v>
      </c>
      <c r="N43" s="16" t="s">
        <v>78</v>
      </c>
      <c r="O43" s="15" t="str">
        <f t="shared" si="3"/>
        <v>OK</v>
      </c>
    </row>
    <row r="44" spans="1:15" ht="20.100000000000001" customHeight="1" x14ac:dyDescent="0.25">
      <c r="A44" s="14">
        <v>45699</v>
      </c>
      <c r="B44" s="15" t="str">
        <f t="shared" si="0"/>
        <v>Febrero</v>
      </c>
      <c r="C44" s="15">
        <f t="shared" si="1"/>
        <v>2025</v>
      </c>
      <c r="D44" s="16" t="s">
        <v>79</v>
      </c>
      <c r="E44" s="16" t="s">
        <v>88</v>
      </c>
      <c r="F44" s="16" t="s">
        <v>89</v>
      </c>
      <c r="G44" s="16" t="s">
        <v>31</v>
      </c>
      <c r="H44" s="16" t="s">
        <v>9</v>
      </c>
      <c r="I44" s="16" t="s">
        <v>85</v>
      </c>
      <c r="J44" s="16" t="s">
        <v>90</v>
      </c>
      <c r="K44" s="16" t="s">
        <v>87</v>
      </c>
      <c r="L44" s="17">
        <v>12</v>
      </c>
      <c r="M44" s="18">
        <f t="shared" si="2"/>
        <v>-12</v>
      </c>
      <c r="N44" s="16" t="s">
        <v>78</v>
      </c>
      <c r="O44" s="15" t="str">
        <f t="shared" si="3"/>
        <v>OK</v>
      </c>
    </row>
    <row r="45" spans="1:15" ht="20.100000000000001" customHeight="1" x14ac:dyDescent="0.25">
      <c r="A45" s="14">
        <v>45700</v>
      </c>
      <c r="B45" s="15" t="str">
        <f t="shared" si="0"/>
        <v>Febrero</v>
      </c>
      <c r="C45" s="15">
        <f t="shared" si="1"/>
        <v>2025</v>
      </c>
      <c r="D45" s="16" t="s">
        <v>79</v>
      </c>
      <c r="E45" s="16" t="s">
        <v>83</v>
      </c>
      <c r="F45" s="16" t="s">
        <v>102</v>
      </c>
      <c r="G45" s="16" t="s">
        <v>29</v>
      </c>
      <c r="H45" s="16" t="s">
        <v>9</v>
      </c>
      <c r="I45" s="16" t="s">
        <v>85</v>
      </c>
      <c r="J45" s="16" t="s">
        <v>103</v>
      </c>
      <c r="K45" s="16" t="s">
        <v>87</v>
      </c>
      <c r="L45" s="17">
        <v>53.27</v>
      </c>
      <c r="M45" s="18">
        <f t="shared" si="2"/>
        <v>-53.27</v>
      </c>
      <c r="N45" s="16" t="s">
        <v>78</v>
      </c>
      <c r="O45" s="15" t="str">
        <f t="shared" si="3"/>
        <v>OK</v>
      </c>
    </row>
    <row r="46" spans="1:15" ht="20.100000000000001" customHeight="1" x14ac:dyDescent="0.25">
      <c r="A46" s="14">
        <v>45702</v>
      </c>
      <c r="B46" s="15" t="str">
        <f t="shared" si="0"/>
        <v>Febrero</v>
      </c>
      <c r="C46" s="15">
        <f t="shared" si="1"/>
        <v>2025</v>
      </c>
      <c r="D46" s="16" t="s">
        <v>71</v>
      </c>
      <c r="E46" s="16" t="s">
        <v>72</v>
      </c>
      <c r="F46" s="16" t="s">
        <v>118</v>
      </c>
      <c r="G46" s="16" t="s">
        <v>119</v>
      </c>
      <c r="H46" s="16" t="s">
        <v>37</v>
      </c>
      <c r="I46" s="16" t="s">
        <v>85</v>
      </c>
      <c r="J46" s="16" t="s">
        <v>120</v>
      </c>
      <c r="K46" s="16" t="s">
        <v>77</v>
      </c>
      <c r="L46" s="17">
        <v>111.86</v>
      </c>
      <c r="M46" s="18">
        <f t="shared" si="2"/>
        <v>111.86</v>
      </c>
      <c r="N46" s="16" t="s">
        <v>121</v>
      </c>
      <c r="O46" s="15" t="str">
        <f t="shared" si="3"/>
        <v>OK</v>
      </c>
    </row>
    <row r="47" spans="1:15" ht="20.100000000000001" customHeight="1" x14ac:dyDescent="0.25">
      <c r="A47" s="14">
        <v>45702</v>
      </c>
      <c r="B47" s="15" t="str">
        <f t="shared" si="0"/>
        <v>Febrero</v>
      </c>
      <c r="C47" s="15">
        <f t="shared" si="1"/>
        <v>2025</v>
      </c>
      <c r="D47" s="16" t="s">
        <v>79</v>
      </c>
      <c r="E47" s="16" t="s">
        <v>83</v>
      </c>
      <c r="F47" s="16" t="s">
        <v>107</v>
      </c>
      <c r="G47" s="16" t="s">
        <v>33</v>
      </c>
      <c r="H47" s="16" t="s">
        <v>10</v>
      </c>
      <c r="I47" s="16" t="s">
        <v>85</v>
      </c>
      <c r="J47" s="16" t="s">
        <v>108</v>
      </c>
      <c r="K47" s="16" t="s">
        <v>87</v>
      </c>
      <c r="L47" s="17">
        <v>11.56</v>
      </c>
      <c r="M47" s="18">
        <f t="shared" si="2"/>
        <v>-11.56</v>
      </c>
      <c r="N47" s="16" t="s">
        <v>78</v>
      </c>
      <c r="O47" s="15" t="str">
        <f t="shared" si="3"/>
        <v>OK</v>
      </c>
    </row>
    <row r="48" spans="1:15" ht="20.100000000000001" customHeight="1" x14ac:dyDescent="0.25">
      <c r="A48" s="14">
        <v>45703</v>
      </c>
      <c r="B48" s="15" t="str">
        <f t="shared" si="0"/>
        <v>Febrero</v>
      </c>
      <c r="C48" s="15">
        <f t="shared" si="1"/>
        <v>2025</v>
      </c>
      <c r="D48" s="16" t="s">
        <v>79</v>
      </c>
      <c r="E48" s="16" t="s">
        <v>83</v>
      </c>
      <c r="F48" s="16" t="s">
        <v>111</v>
      </c>
      <c r="G48" s="16" t="s">
        <v>35</v>
      </c>
      <c r="H48" s="16" t="s">
        <v>10</v>
      </c>
      <c r="I48" s="16" t="s">
        <v>85</v>
      </c>
      <c r="J48" s="16" t="s">
        <v>112</v>
      </c>
      <c r="K48" s="16" t="s">
        <v>87</v>
      </c>
      <c r="L48" s="17">
        <v>53.36</v>
      </c>
      <c r="M48" s="18">
        <f t="shared" si="2"/>
        <v>-53.36</v>
      </c>
      <c r="N48" s="16" t="s">
        <v>78</v>
      </c>
      <c r="O48" s="15" t="str">
        <f t="shared" si="3"/>
        <v>OK</v>
      </c>
    </row>
    <row r="49" spans="1:15" ht="20.100000000000001" customHeight="1" x14ac:dyDescent="0.25">
      <c r="A49" s="14">
        <v>45705</v>
      </c>
      <c r="B49" s="15" t="str">
        <f t="shared" si="0"/>
        <v>Febrero</v>
      </c>
      <c r="C49" s="15">
        <f t="shared" si="1"/>
        <v>2025</v>
      </c>
      <c r="D49" s="16" t="s">
        <v>79</v>
      </c>
      <c r="E49" s="16" t="s">
        <v>83</v>
      </c>
      <c r="F49" s="16" t="s">
        <v>84</v>
      </c>
      <c r="G49" s="16" t="s">
        <v>29</v>
      </c>
      <c r="H49" s="16" t="s">
        <v>9</v>
      </c>
      <c r="I49" s="16" t="s">
        <v>85</v>
      </c>
      <c r="J49" s="16" t="s">
        <v>86</v>
      </c>
      <c r="K49" s="16" t="s">
        <v>87</v>
      </c>
      <c r="L49" s="17">
        <v>80.83</v>
      </c>
      <c r="M49" s="18">
        <f t="shared" si="2"/>
        <v>-80.83</v>
      </c>
      <c r="N49" s="16" t="s">
        <v>78</v>
      </c>
      <c r="O49" s="15" t="str">
        <f t="shared" si="3"/>
        <v>OK</v>
      </c>
    </row>
    <row r="50" spans="1:15" ht="20.100000000000001" customHeight="1" x14ac:dyDescent="0.25">
      <c r="A50" s="14">
        <v>45706</v>
      </c>
      <c r="B50" s="15" t="str">
        <f t="shared" si="0"/>
        <v>Febrero</v>
      </c>
      <c r="C50" s="15">
        <f t="shared" si="1"/>
        <v>2025</v>
      </c>
      <c r="D50" s="16" t="s">
        <v>79</v>
      </c>
      <c r="E50" s="16" t="s">
        <v>88</v>
      </c>
      <c r="F50" s="16" t="s">
        <v>89</v>
      </c>
      <c r="G50" s="16" t="s">
        <v>31</v>
      </c>
      <c r="H50" s="16" t="s">
        <v>9</v>
      </c>
      <c r="I50" s="16" t="s">
        <v>85</v>
      </c>
      <c r="J50" s="16" t="s">
        <v>90</v>
      </c>
      <c r="K50" s="16" t="s">
        <v>87</v>
      </c>
      <c r="L50" s="17">
        <v>7.16</v>
      </c>
      <c r="M50" s="18">
        <f t="shared" si="2"/>
        <v>-7.16</v>
      </c>
      <c r="N50" s="16" t="s">
        <v>78</v>
      </c>
      <c r="O50" s="15" t="str">
        <f t="shared" si="3"/>
        <v>OK</v>
      </c>
    </row>
    <row r="51" spans="1:15" ht="20.100000000000001" customHeight="1" x14ac:dyDescent="0.25">
      <c r="A51" s="14">
        <v>45708</v>
      </c>
      <c r="B51" s="15" t="str">
        <f t="shared" si="0"/>
        <v>Febrero</v>
      </c>
      <c r="C51" s="15">
        <f t="shared" si="1"/>
        <v>2025</v>
      </c>
      <c r="D51" s="16" t="s">
        <v>79</v>
      </c>
      <c r="E51" s="16" t="s">
        <v>83</v>
      </c>
      <c r="F51" s="16" t="s">
        <v>107</v>
      </c>
      <c r="G51" s="16" t="s">
        <v>33</v>
      </c>
      <c r="H51" s="16" t="s">
        <v>10</v>
      </c>
      <c r="I51" s="16" t="s">
        <v>85</v>
      </c>
      <c r="J51" s="16" t="s">
        <v>108</v>
      </c>
      <c r="K51" s="16" t="s">
        <v>104</v>
      </c>
      <c r="L51" s="17">
        <v>30.17</v>
      </c>
      <c r="M51" s="18">
        <f t="shared" si="2"/>
        <v>-30.17</v>
      </c>
      <c r="N51" s="16" t="s">
        <v>78</v>
      </c>
      <c r="O51" s="15" t="str">
        <f t="shared" si="3"/>
        <v>OK</v>
      </c>
    </row>
    <row r="52" spans="1:15" ht="20.100000000000001" customHeight="1" x14ac:dyDescent="0.25">
      <c r="A52" s="14">
        <v>45709</v>
      </c>
      <c r="B52" s="15" t="str">
        <f t="shared" si="0"/>
        <v>Febrero</v>
      </c>
      <c r="C52" s="15">
        <f t="shared" si="1"/>
        <v>2025</v>
      </c>
      <c r="D52" s="16" t="s">
        <v>79</v>
      </c>
      <c r="E52" s="16" t="s">
        <v>83</v>
      </c>
      <c r="F52" s="16" t="s">
        <v>122</v>
      </c>
      <c r="G52" s="16" t="s">
        <v>31</v>
      </c>
      <c r="H52" s="16" t="s">
        <v>9</v>
      </c>
      <c r="I52" s="16" t="s">
        <v>85</v>
      </c>
      <c r="J52" s="16" t="s">
        <v>123</v>
      </c>
      <c r="K52" s="16" t="s">
        <v>87</v>
      </c>
      <c r="L52" s="17">
        <v>9.4700000000000006</v>
      </c>
      <c r="M52" s="18">
        <f t="shared" si="2"/>
        <v>-9.4700000000000006</v>
      </c>
      <c r="N52" s="16" t="s">
        <v>78</v>
      </c>
      <c r="O52" s="15" t="str">
        <f t="shared" si="3"/>
        <v>OK</v>
      </c>
    </row>
    <row r="53" spans="1:15" ht="20.100000000000001" customHeight="1" x14ac:dyDescent="0.25">
      <c r="A53" s="14">
        <v>45712</v>
      </c>
      <c r="B53" s="15" t="str">
        <f t="shared" si="0"/>
        <v>Febrero</v>
      </c>
      <c r="C53" s="15">
        <f t="shared" si="1"/>
        <v>2025</v>
      </c>
      <c r="D53" s="16" t="s">
        <v>79</v>
      </c>
      <c r="E53" s="16" t="s">
        <v>83</v>
      </c>
      <c r="F53" s="16" t="s">
        <v>84</v>
      </c>
      <c r="G53" s="16" t="s">
        <v>29</v>
      </c>
      <c r="H53" s="16" t="s">
        <v>9</v>
      </c>
      <c r="I53" s="16" t="s">
        <v>85</v>
      </c>
      <c r="J53" s="16" t="s">
        <v>86</v>
      </c>
      <c r="K53" s="16" t="s">
        <v>87</v>
      </c>
      <c r="L53" s="17">
        <v>67.02</v>
      </c>
      <c r="M53" s="18">
        <f t="shared" si="2"/>
        <v>-67.02</v>
      </c>
      <c r="N53" s="16" t="s">
        <v>78</v>
      </c>
      <c r="O53" s="15" t="str">
        <f t="shared" si="3"/>
        <v>OK</v>
      </c>
    </row>
    <row r="54" spans="1:15" ht="20.100000000000001" customHeight="1" x14ac:dyDescent="0.25">
      <c r="A54" s="14">
        <v>45713</v>
      </c>
      <c r="B54" s="15" t="str">
        <f t="shared" si="0"/>
        <v>Febrero</v>
      </c>
      <c r="C54" s="15">
        <f t="shared" si="1"/>
        <v>2025</v>
      </c>
      <c r="D54" s="16" t="s">
        <v>79</v>
      </c>
      <c r="E54" s="16" t="s">
        <v>88</v>
      </c>
      <c r="F54" s="16" t="s">
        <v>89</v>
      </c>
      <c r="G54" s="16" t="s">
        <v>31</v>
      </c>
      <c r="H54" s="16" t="s">
        <v>9</v>
      </c>
      <c r="I54" s="16" t="s">
        <v>85</v>
      </c>
      <c r="J54" s="16" t="s">
        <v>90</v>
      </c>
      <c r="K54" s="16" t="s">
        <v>87</v>
      </c>
      <c r="L54" s="17">
        <v>8.5</v>
      </c>
      <c r="M54" s="18">
        <f t="shared" si="2"/>
        <v>-8.5</v>
      </c>
      <c r="N54" s="16" t="s">
        <v>78</v>
      </c>
      <c r="O54" s="15" t="str">
        <f t="shared" si="3"/>
        <v>OK</v>
      </c>
    </row>
    <row r="55" spans="1:15" ht="20.100000000000001" customHeight="1" x14ac:dyDescent="0.25">
      <c r="A55" s="14">
        <v>45714</v>
      </c>
      <c r="B55" s="15" t="str">
        <f t="shared" si="0"/>
        <v>Febrero</v>
      </c>
      <c r="C55" s="15">
        <f t="shared" si="1"/>
        <v>2025</v>
      </c>
      <c r="D55" s="16" t="s">
        <v>79</v>
      </c>
      <c r="E55" s="16" t="s">
        <v>83</v>
      </c>
      <c r="F55" s="16" t="s">
        <v>102</v>
      </c>
      <c r="G55" s="16" t="s">
        <v>29</v>
      </c>
      <c r="H55" s="16" t="s">
        <v>9</v>
      </c>
      <c r="I55" s="16" t="s">
        <v>85</v>
      </c>
      <c r="J55" s="16" t="s">
        <v>103</v>
      </c>
      <c r="K55" s="16" t="s">
        <v>104</v>
      </c>
      <c r="L55" s="17">
        <v>43.83</v>
      </c>
      <c r="M55" s="18">
        <f t="shared" si="2"/>
        <v>-43.83</v>
      </c>
      <c r="N55" s="16" t="s">
        <v>78</v>
      </c>
      <c r="O55" s="15" t="str">
        <f t="shared" si="3"/>
        <v>OK</v>
      </c>
    </row>
    <row r="56" spans="1:15" ht="20.100000000000001" customHeight="1" x14ac:dyDescent="0.25">
      <c r="A56" s="14">
        <v>45715</v>
      </c>
      <c r="B56" s="15" t="str">
        <f t="shared" si="0"/>
        <v>Febrero</v>
      </c>
      <c r="C56" s="15">
        <f t="shared" si="1"/>
        <v>2025</v>
      </c>
      <c r="D56" s="16" t="s">
        <v>30</v>
      </c>
      <c r="E56" s="16" t="s">
        <v>113</v>
      </c>
      <c r="F56" s="16" t="s">
        <v>114</v>
      </c>
      <c r="G56" s="16" t="s">
        <v>41</v>
      </c>
      <c r="H56" s="16" t="s">
        <v>30</v>
      </c>
      <c r="I56" s="16" t="s">
        <v>75</v>
      </c>
      <c r="J56" s="16" t="s">
        <v>115</v>
      </c>
      <c r="K56" s="16" t="s">
        <v>77</v>
      </c>
      <c r="L56" s="17">
        <v>245.46</v>
      </c>
      <c r="M56" s="18">
        <f t="shared" si="2"/>
        <v>-245.46</v>
      </c>
      <c r="N56" s="16" t="s">
        <v>78</v>
      </c>
      <c r="O56" s="15" t="str">
        <f t="shared" si="3"/>
        <v>OK</v>
      </c>
    </row>
    <row r="57" spans="1:15" ht="20.100000000000001" customHeight="1" x14ac:dyDescent="0.25">
      <c r="A57" s="14">
        <v>45716</v>
      </c>
      <c r="B57" s="15" t="str">
        <f t="shared" si="0"/>
        <v>Febrero</v>
      </c>
      <c r="C57" s="15">
        <f t="shared" si="1"/>
        <v>2025</v>
      </c>
      <c r="D57" s="16" t="s">
        <v>79</v>
      </c>
      <c r="E57" s="16" t="s">
        <v>83</v>
      </c>
      <c r="F57" s="16" t="s">
        <v>107</v>
      </c>
      <c r="G57" s="16" t="s">
        <v>33</v>
      </c>
      <c r="H57" s="16" t="s">
        <v>10</v>
      </c>
      <c r="I57" s="16" t="s">
        <v>85</v>
      </c>
      <c r="J57" s="16" t="s">
        <v>108</v>
      </c>
      <c r="K57" s="16" t="s">
        <v>124</v>
      </c>
      <c r="L57" s="17">
        <v>16.25</v>
      </c>
      <c r="M57" s="18">
        <f t="shared" si="2"/>
        <v>-16.25</v>
      </c>
      <c r="N57" s="16" t="s">
        <v>78</v>
      </c>
      <c r="O57" s="15" t="str">
        <f t="shared" si="3"/>
        <v>OK</v>
      </c>
    </row>
    <row r="58" spans="1:15" ht="20.100000000000001" customHeight="1" x14ac:dyDescent="0.25">
      <c r="A58" s="14">
        <v>45716</v>
      </c>
      <c r="B58" s="15" t="str">
        <f t="shared" si="0"/>
        <v>Febrero</v>
      </c>
      <c r="C58" s="15">
        <f t="shared" si="1"/>
        <v>2025</v>
      </c>
      <c r="D58" s="16" t="s">
        <v>30</v>
      </c>
      <c r="E58" s="16" t="s">
        <v>113</v>
      </c>
      <c r="F58" s="16" t="s">
        <v>116</v>
      </c>
      <c r="G58" s="16" t="s">
        <v>41</v>
      </c>
      <c r="H58" s="16" t="s">
        <v>30</v>
      </c>
      <c r="I58" s="16" t="s">
        <v>85</v>
      </c>
      <c r="J58" s="16" t="s">
        <v>117</v>
      </c>
      <c r="K58" s="16" t="s">
        <v>77</v>
      </c>
      <c r="L58" s="17">
        <v>53.03</v>
      </c>
      <c r="M58" s="18">
        <f t="shared" si="2"/>
        <v>-53.03</v>
      </c>
      <c r="N58" s="16" t="s">
        <v>78</v>
      </c>
      <c r="O58" s="15" t="str">
        <f t="shared" si="3"/>
        <v>OK</v>
      </c>
    </row>
    <row r="59" spans="1:15" ht="20.100000000000001" customHeight="1" x14ac:dyDescent="0.25">
      <c r="A59" s="14">
        <v>45717</v>
      </c>
      <c r="B59" s="15" t="str">
        <f t="shared" si="0"/>
        <v>Marzo</v>
      </c>
      <c r="C59" s="15">
        <f t="shared" si="1"/>
        <v>2025</v>
      </c>
      <c r="D59" s="16" t="s">
        <v>71</v>
      </c>
      <c r="E59" s="16" t="s">
        <v>72</v>
      </c>
      <c r="F59" s="16" t="s">
        <v>73</v>
      </c>
      <c r="G59" s="16" t="s">
        <v>74</v>
      </c>
      <c r="H59" s="16" t="s">
        <v>37</v>
      </c>
      <c r="I59" s="16" t="s">
        <v>75</v>
      </c>
      <c r="J59" s="16" t="s">
        <v>76</v>
      </c>
      <c r="K59" s="16" t="s">
        <v>77</v>
      </c>
      <c r="L59" s="17">
        <v>2418.69</v>
      </c>
      <c r="M59" s="18">
        <f t="shared" si="2"/>
        <v>2418.69</v>
      </c>
      <c r="N59" s="16" t="s">
        <v>78</v>
      </c>
      <c r="O59" s="15" t="str">
        <f t="shared" si="3"/>
        <v>OK</v>
      </c>
    </row>
    <row r="60" spans="1:15" ht="20.100000000000001" customHeight="1" x14ac:dyDescent="0.25">
      <c r="A60" s="14">
        <v>45718</v>
      </c>
      <c r="B60" s="15" t="str">
        <f t="shared" si="0"/>
        <v>Marzo</v>
      </c>
      <c r="C60" s="15">
        <f t="shared" si="1"/>
        <v>2025</v>
      </c>
      <c r="D60" s="16" t="s">
        <v>79</v>
      </c>
      <c r="E60" s="16" t="s">
        <v>80</v>
      </c>
      <c r="F60" s="16" t="s">
        <v>81</v>
      </c>
      <c r="G60" s="16" t="s">
        <v>28</v>
      </c>
      <c r="H60" s="16" t="s">
        <v>9</v>
      </c>
      <c r="I60" s="16" t="s">
        <v>75</v>
      </c>
      <c r="J60" s="16" t="s">
        <v>82</v>
      </c>
      <c r="K60" s="16" t="s">
        <v>77</v>
      </c>
      <c r="L60" s="17">
        <v>980</v>
      </c>
      <c r="M60" s="18">
        <f t="shared" si="2"/>
        <v>-980</v>
      </c>
      <c r="N60" s="16" t="s">
        <v>78</v>
      </c>
      <c r="O60" s="15" t="str">
        <f t="shared" si="3"/>
        <v>OK</v>
      </c>
    </row>
    <row r="61" spans="1:15" ht="20.100000000000001" customHeight="1" x14ac:dyDescent="0.25">
      <c r="A61" s="14">
        <v>45719</v>
      </c>
      <c r="B61" s="15" t="str">
        <f t="shared" si="0"/>
        <v>Marzo</v>
      </c>
      <c r="C61" s="15">
        <f t="shared" si="1"/>
        <v>2025</v>
      </c>
      <c r="D61" s="16" t="s">
        <v>79</v>
      </c>
      <c r="E61" s="16" t="s">
        <v>83</v>
      </c>
      <c r="F61" s="16" t="s">
        <v>84</v>
      </c>
      <c r="G61" s="16" t="s">
        <v>29</v>
      </c>
      <c r="H61" s="16" t="s">
        <v>9</v>
      </c>
      <c r="I61" s="16" t="s">
        <v>85</v>
      </c>
      <c r="J61" s="16" t="s">
        <v>86</v>
      </c>
      <c r="K61" s="16" t="s">
        <v>87</v>
      </c>
      <c r="L61" s="17">
        <v>87</v>
      </c>
      <c r="M61" s="18">
        <f t="shared" si="2"/>
        <v>-87</v>
      </c>
      <c r="N61" s="16" t="s">
        <v>78</v>
      </c>
      <c r="O61" s="15" t="str">
        <f t="shared" si="3"/>
        <v>OK</v>
      </c>
    </row>
    <row r="62" spans="1:15" ht="20.100000000000001" customHeight="1" x14ac:dyDescent="0.25">
      <c r="A62" s="14">
        <v>45720</v>
      </c>
      <c r="B62" s="15" t="str">
        <f t="shared" si="0"/>
        <v>Marzo</v>
      </c>
      <c r="C62" s="15">
        <f t="shared" si="1"/>
        <v>2025</v>
      </c>
      <c r="D62" s="16" t="s">
        <v>79</v>
      </c>
      <c r="E62" s="16" t="s">
        <v>88</v>
      </c>
      <c r="F62" s="16" t="s">
        <v>89</v>
      </c>
      <c r="G62" s="16" t="s">
        <v>31</v>
      </c>
      <c r="H62" s="16" t="s">
        <v>9</v>
      </c>
      <c r="I62" s="16" t="s">
        <v>85</v>
      </c>
      <c r="J62" s="16" t="s">
        <v>90</v>
      </c>
      <c r="K62" s="16" t="s">
        <v>87</v>
      </c>
      <c r="L62" s="17">
        <v>8.51</v>
      </c>
      <c r="M62" s="18">
        <f t="shared" si="2"/>
        <v>-8.51</v>
      </c>
      <c r="N62" s="16" t="s">
        <v>78</v>
      </c>
      <c r="O62" s="15" t="str">
        <f t="shared" si="3"/>
        <v>OK</v>
      </c>
    </row>
    <row r="63" spans="1:15" ht="20.100000000000001" customHeight="1" x14ac:dyDescent="0.25">
      <c r="A63" s="14">
        <v>45721</v>
      </c>
      <c r="B63" s="15" t="str">
        <f t="shared" si="0"/>
        <v>Marzo</v>
      </c>
      <c r="C63" s="15">
        <f t="shared" si="1"/>
        <v>2025</v>
      </c>
      <c r="D63" s="16" t="s">
        <v>79</v>
      </c>
      <c r="E63" s="16" t="s">
        <v>80</v>
      </c>
      <c r="F63" s="16" t="s">
        <v>91</v>
      </c>
      <c r="G63" s="16" t="s">
        <v>28</v>
      </c>
      <c r="H63" s="16" t="s">
        <v>9</v>
      </c>
      <c r="I63" s="16" t="s">
        <v>75</v>
      </c>
      <c r="J63" s="16" t="s">
        <v>92</v>
      </c>
      <c r="K63" s="16" t="s">
        <v>93</v>
      </c>
      <c r="L63" s="17">
        <v>39.340000000000003</v>
      </c>
      <c r="M63" s="18">
        <f t="shared" si="2"/>
        <v>-39.340000000000003</v>
      </c>
      <c r="N63" s="16" t="s">
        <v>78</v>
      </c>
      <c r="O63" s="15" t="str">
        <f t="shared" si="3"/>
        <v>OK</v>
      </c>
    </row>
    <row r="64" spans="1:15" ht="20.100000000000001" customHeight="1" x14ac:dyDescent="0.25">
      <c r="A64" s="14">
        <v>45722</v>
      </c>
      <c r="B64" s="15" t="str">
        <f t="shared" si="0"/>
        <v>Marzo</v>
      </c>
      <c r="C64" s="15">
        <f t="shared" si="1"/>
        <v>2025</v>
      </c>
      <c r="D64" s="16" t="s">
        <v>79</v>
      </c>
      <c r="E64" s="16" t="s">
        <v>80</v>
      </c>
      <c r="F64" s="16" t="s">
        <v>94</v>
      </c>
      <c r="G64" s="16" t="s">
        <v>28</v>
      </c>
      <c r="H64" s="16" t="s">
        <v>9</v>
      </c>
      <c r="I64" s="16" t="s">
        <v>75</v>
      </c>
      <c r="J64" s="16" t="s">
        <v>95</v>
      </c>
      <c r="K64" s="16" t="s">
        <v>93</v>
      </c>
      <c r="L64" s="17">
        <v>22.91</v>
      </c>
      <c r="M64" s="18">
        <f t="shared" si="2"/>
        <v>-22.91</v>
      </c>
      <c r="N64" s="16" t="s">
        <v>78</v>
      </c>
      <c r="O64" s="15" t="str">
        <f t="shared" si="3"/>
        <v>OK</v>
      </c>
    </row>
    <row r="65" spans="1:15" ht="20.100000000000001" customHeight="1" x14ac:dyDescent="0.25">
      <c r="A65" s="14">
        <v>45723</v>
      </c>
      <c r="B65" s="15" t="str">
        <f t="shared" si="0"/>
        <v>Marzo</v>
      </c>
      <c r="C65" s="15">
        <f t="shared" si="1"/>
        <v>2025</v>
      </c>
      <c r="D65" s="16" t="s">
        <v>79</v>
      </c>
      <c r="E65" s="16" t="s">
        <v>80</v>
      </c>
      <c r="F65" s="16" t="s">
        <v>96</v>
      </c>
      <c r="G65" s="16" t="s">
        <v>28</v>
      </c>
      <c r="H65" s="16" t="s">
        <v>9</v>
      </c>
      <c r="I65" s="16" t="s">
        <v>75</v>
      </c>
      <c r="J65" s="16" t="s">
        <v>97</v>
      </c>
      <c r="K65" s="16" t="s">
        <v>93</v>
      </c>
      <c r="L65" s="17">
        <v>35</v>
      </c>
      <c r="M65" s="18">
        <f t="shared" si="2"/>
        <v>-35</v>
      </c>
      <c r="N65" s="16" t="s">
        <v>78</v>
      </c>
      <c r="O65" s="15" t="str">
        <f t="shared" si="3"/>
        <v>OK</v>
      </c>
    </row>
    <row r="66" spans="1:15" ht="20.100000000000001" customHeight="1" x14ac:dyDescent="0.25">
      <c r="A66" s="14">
        <v>45724</v>
      </c>
      <c r="B66" s="15" t="str">
        <f t="shared" si="0"/>
        <v>Marzo</v>
      </c>
      <c r="C66" s="15">
        <f t="shared" si="1"/>
        <v>2025</v>
      </c>
      <c r="D66" s="16" t="s">
        <v>79</v>
      </c>
      <c r="E66" s="16" t="s">
        <v>80</v>
      </c>
      <c r="F66" s="16" t="s">
        <v>98</v>
      </c>
      <c r="G66" s="16" t="s">
        <v>32</v>
      </c>
      <c r="H66" s="16" t="s">
        <v>9</v>
      </c>
      <c r="I66" s="16" t="s">
        <v>75</v>
      </c>
      <c r="J66" s="16" t="s">
        <v>99</v>
      </c>
      <c r="K66" s="16" t="s">
        <v>93</v>
      </c>
      <c r="L66" s="17">
        <v>18</v>
      </c>
      <c r="M66" s="18">
        <f t="shared" si="2"/>
        <v>-18</v>
      </c>
      <c r="N66" s="16" t="s">
        <v>78</v>
      </c>
      <c r="O66" s="15" t="str">
        <f t="shared" si="3"/>
        <v>OK</v>
      </c>
    </row>
    <row r="67" spans="1:15" ht="20.100000000000001" customHeight="1" x14ac:dyDescent="0.25">
      <c r="A67" s="14">
        <v>45725</v>
      </c>
      <c r="B67" s="15" t="str">
        <f t="shared" si="0"/>
        <v>Marzo</v>
      </c>
      <c r="C67" s="15">
        <f t="shared" si="1"/>
        <v>2025</v>
      </c>
      <c r="D67" s="16" t="s">
        <v>79</v>
      </c>
      <c r="E67" s="16" t="s">
        <v>83</v>
      </c>
      <c r="F67" s="16" t="s">
        <v>100</v>
      </c>
      <c r="G67" s="16" t="s">
        <v>39</v>
      </c>
      <c r="H67" s="16" t="s">
        <v>9</v>
      </c>
      <c r="I67" s="16" t="s">
        <v>75</v>
      </c>
      <c r="J67" s="16" t="s">
        <v>101</v>
      </c>
      <c r="K67" s="16" t="s">
        <v>87</v>
      </c>
      <c r="L67" s="17">
        <v>24</v>
      </c>
      <c r="M67" s="18">
        <f t="shared" si="2"/>
        <v>-24</v>
      </c>
      <c r="N67" s="16" t="s">
        <v>78</v>
      </c>
      <c r="O67" s="15" t="str">
        <f t="shared" si="3"/>
        <v>OK</v>
      </c>
    </row>
    <row r="68" spans="1:15" ht="20.100000000000001" customHeight="1" x14ac:dyDescent="0.25">
      <c r="A68" s="14">
        <v>45726</v>
      </c>
      <c r="B68" s="15" t="str">
        <f t="shared" si="0"/>
        <v>Marzo</v>
      </c>
      <c r="C68" s="15">
        <f t="shared" si="1"/>
        <v>2025</v>
      </c>
      <c r="D68" s="16" t="s">
        <v>79</v>
      </c>
      <c r="E68" s="16" t="s">
        <v>83</v>
      </c>
      <c r="F68" s="16" t="s">
        <v>84</v>
      </c>
      <c r="G68" s="16" t="s">
        <v>29</v>
      </c>
      <c r="H68" s="16" t="s">
        <v>9</v>
      </c>
      <c r="I68" s="16" t="s">
        <v>85</v>
      </c>
      <c r="J68" s="16" t="s">
        <v>86</v>
      </c>
      <c r="K68" s="16" t="s">
        <v>87</v>
      </c>
      <c r="L68" s="17">
        <v>68.930000000000007</v>
      </c>
      <c r="M68" s="18">
        <f t="shared" si="2"/>
        <v>-68.930000000000007</v>
      </c>
      <c r="N68" s="16" t="s">
        <v>78</v>
      </c>
      <c r="O68" s="15" t="str">
        <f t="shared" si="3"/>
        <v>OK</v>
      </c>
    </row>
    <row r="69" spans="1:15" ht="20.100000000000001" customHeight="1" x14ac:dyDescent="0.25">
      <c r="A69" s="14">
        <v>45727</v>
      </c>
      <c r="B69" s="15" t="str">
        <f t="shared" si="0"/>
        <v>Marzo</v>
      </c>
      <c r="C69" s="15">
        <f t="shared" si="1"/>
        <v>2025</v>
      </c>
      <c r="D69" s="16" t="s">
        <v>79</v>
      </c>
      <c r="E69" s="16" t="s">
        <v>88</v>
      </c>
      <c r="F69" s="16" t="s">
        <v>89</v>
      </c>
      <c r="G69" s="16" t="s">
        <v>31</v>
      </c>
      <c r="H69" s="16" t="s">
        <v>9</v>
      </c>
      <c r="I69" s="16" t="s">
        <v>85</v>
      </c>
      <c r="J69" s="16" t="s">
        <v>90</v>
      </c>
      <c r="K69" s="16" t="s">
        <v>87</v>
      </c>
      <c r="L69" s="17">
        <v>7.06</v>
      </c>
      <c r="M69" s="18">
        <f t="shared" si="2"/>
        <v>-7.06</v>
      </c>
      <c r="N69" s="16" t="s">
        <v>78</v>
      </c>
      <c r="O69" s="15" t="str">
        <f t="shared" si="3"/>
        <v>OK</v>
      </c>
    </row>
    <row r="70" spans="1:15" ht="20.100000000000001" customHeight="1" x14ac:dyDescent="0.25">
      <c r="A70" s="14">
        <v>45728</v>
      </c>
      <c r="B70" s="15" t="str">
        <f t="shared" si="0"/>
        <v>Marzo</v>
      </c>
      <c r="C70" s="15">
        <f t="shared" si="1"/>
        <v>2025</v>
      </c>
      <c r="D70" s="16" t="s">
        <v>79</v>
      </c>
      <c r="E70" s="16" t="s">
        <v>83</v>
      </c>
      <c r="F70" s="16" t="s">
        <v>102</v>
      </c>
      <c r="G70" s="16" t="s">
        <v>29</v>
      </c>
      <c r="H70" s="16" t="s">
        <v>9</v>
      </c>
      <c r="I70" s="16" t="s">
        <v>85</v>
      </c>
      <c r="J70" s="16" t="s">
        <v>103</v>
      </c>
      <c r="K70" s="16" t="s">
        <v>87</v>
      </c>
      <c r="L70" s="17">
        <v>39.43</v>
      </c>
      <c r="M70" s="18">
        <f t="shared" si="2"/>
        <v>-39.43</v>
      </c>
      <c r="N70" s="16" t="s">
        <v>78</v>
      </c>
      <c r="O70" s="15" t="str">
        <f t="shared" si="3"/>
        <v>OK</v>
      </c>
    </row>
    <row r="71" spans="1:15" ht="20.100000000000001" customHeight="1" x14ac:dyDescent="0.25">
      <c r="A71" s="14">
        <v>45729</v>
      </c>
      <c r="B71" s="15" t="str">
        <f t="shared" si="0"/>
        <v>Marzo</v>
      </c>
      <c r="C71" s="15">
        <f t="shared" si="1"/>
        <v>2025</v>
      </c>
      <c r="D71" s="16" t="s">
        <v>79</v>
      </c>
      <c r="E71" s="16" t="s">
        <v>83</v>
      </c>
      <c r="F71" s="16" t="s">
        <v>105</v>
      </c>
      <c r="G71" s="16" t="s">
        <v>32</v>
      </c>
      <c r="H71" s="16" t="s">
        <v>9</v>
      </c>
      <c r="I71" s="16" t="s">
        <v>85</v>
      </c>
      <c r="J71" s="16" t="s">
        <v>106</v>
      </c>
      <c r="K71" s="16" t="s">
        <v>87</v>
      </c>
      <c r="L71" s="17">
        <v>12.28</v>
      </c>
      <c r="M71" s="18">
        <f t="shared" si="2"/>
        <v>-12.28</v>
      </c>
      <c r="N71" s="16" t="s">
        <v>78</v>
      </c>
      <c r="O71" s="15" t="str">
        <f t="shared" si="3"/>
        <v>OK</v>
      </c>
    </row>
    <row r="72" spans="1:15" ht="20.100000000000001" customHeight="1" x14ac:dyDescent="0.25">
      <c r="A72" s="14">
        <v>45730</v>
      </c>
      <c r="B72" s="15" t="str">
        <f t="shared" si="0"/>
        <v>Marzo</v>
      </c>
      <c r="C72" s="15">
        <f t="shared" si="1"/>
        <v>2025</v>
      </c>
      <c r="D72" s="16" t="s">
        <v>79</v>
      </c>
      <c r="E72" s="16" t="s">
        <v>83</v>
      </c>
      <c r="F72" s="16" t="s">
        <v>107</v>
      </c>
      <c r="G72" s="16" t="s">
        <v>33</v>
      </c>
      <c r="H72" s="16" t="s">
        <v>10</v>
      </c>
      <c r="I72" s="16" t="s">
        <v>85</v>
      </c>
      <c r="J72" s="16" t="s">
        <v>108</v>
      </c>
      <c r="K72" s="16" t="s">
        <v>124</v>
      </c>
      <c r="L72" s="17">
        <v>31.97</v>
      </c>
      <c r="M72" s="18">
        <f t="shared" si="2"/>
        <v>-31.97</v>
      </c>
      <c r="N72" s="16" t="s">
        <v>78</v>
      </c>
      <c r="O72" s="15" t="str">
        <f t="shared" si="3"/>
        <v>OK</v>
      </c>
    </row>
    <row r="73" spans="1:15" ht="20.100000000000001" customHeight="1" x14ac:dyDescent="0.25">
      <c r="A73" s="14">
        <v>45733</v>
      </c>
      <c r="B73" s="15" t="str">
        <f t="shared" ref="B73:B136" si="4">IF(A73="","",CHOOSE(MONTH(A73),"Enero","Febrero","Marzo","Abril","Mayo","Junio","Julio","Agosto","Septiembre","Octubre","Noviembre","Diciembre"))</f>
        <v>Marzo</v>
      </c>
      <c r="C73" s="15">
        <f t="shared" ref="C73:C136" si="5">IF(A73="","",YEAR(A73))</f>
        <v>2025</v>
      </c>
      <c r="D73" s="16" t="s">
        <v>79</v>
      </c>
      <c r="E73" s="16" t="s">
        <v>83</v>
      </c>
      <c r="F73" s="16" t="s">
        <v>84</v>
      </c>
      <c r="G73" s="16" t="s">
        <v>29</v>
      </c>
      <c r="H73" s="16" t="s">
        <v>9</v>
      </c>
      <c r="I73" s="16" t="s">
        <v>85</v>
      </c>
      <c r="J73" s="16" t="s">
        <v>86</v>
      </c>
      <c r="K73" s="16" t="s">
        <v>87</v>
      </c>
      <c r="L73" s="17">
        <v>91.95</v>
      </c>
      <c r="M73" s="18">
        <f t="shared" ref="M73:M136" si="6">IF(A73="","",IF(D73="Ingreso",L73,IF(D73="Ahorro",-L73,IF(D73="Transferencia",0,-L73))))</f>
        <v>-91.95</v>
      </c>
      <c r="N73" s="16" t="s">
        <v>78</v>
      </c>
      <c r="O73" s="15" t="str">
        <f t="shared" ref="O73:O136" si="7">IF(COUNTA(A73:N73)=0,"",IF(OR(A73="",D73="",F73="",G73="",H73="",I73="",L73=""),"Revisar","OK"))</f>
        <v>OK</v>
      </c>
    </row>
    <row r="74" spans="1:15" ht="20.100000000000001" customHeight="1" x14ac:dyDescent="0.25">
      <c r="A74" s="14">
        <v>45734</v>
      </c>
      <c r="B74" s="15" t="str">
        <f t="shared" si="4"/>
        <v>Marzo</v>
      </c>
      <c r="C74" s="15">
        <f t="shared" si="5"/>
        <v>2025</v>
      </c>
      <c r="D74" s="16" t="s">
        <v>79</v>
      </c>
      <c r="E74" s="16" t="s">
        <v>88</v>
      </c>
      <c r="F74" s="16" t="s">
        <v>89</v>
      </c>
      <c r="G74" s="16" t="s">
        <v>31</v>
      </c>
      <c r="H74" s="16" t="s">
        <v>9</v>
      </c>
      <c r="I74" s="16" t="s">
        <v>85</v>
      </c>
      <c r="J74" s="16" t="s">
        <v>90</v>
      </c>
      <c r="K74" s="16" t="s">
        <v>87</v>
      </c>
      <c r="L74" s="17">
        <v>9.14</v>
      </c>
      <c r="M74" s="18">
        <f t="shared" si="6"/>
        <v>-9.14</v>
      </c>
      <c r="N74" s="16" t="s">
        <v>78</v>
      </c>
      <c r="O74" s="15" t="str">
        <f t="shared" si="7"/>
        <v>OK</v>
      </c>
    </row>
    <row r="75" spans="1:15" ht="20.100000000000001" customHeight="1" x14ac:dyDescent="0.25">
      <c r="A75" s="14">
        <v>45736</v>
      </c>
      <c r="B75" s="15" t="str">
        <f t="shared" si="4"/>
        <v>Marzo</v>
      </c>
      <c r="C75" s="15">
        <f t="shared" si="5"/>
        <v>2025</v>
      </c>
      <c r="D75" s="16" t="s">
        <v>79</v>
      </c>
      <c r="E75" s="16" t="s">
        <v>83</v>
      </c>
      <c r="F75" s="16" t="s">
        <v>107</v>
      </c>
      <c r="G75" s="16" t="s">
        <v>33</v>
      </c>
      <c r="H75" s="16" t="s">
        <v>10</v>
      </c>
      <c r="I75" s="16" t="s">
        <v>85</v>
      </c>
      <c r="J75" s="16" t="s">
        <v>108</v>
      </c>
      <c r="K75" s="16" t="s">
        <v>124</v>
      </c>
      <c r="L75" s="17">
        <v>17.12</v>
      </c>
      <c r="M75" s="18">
        <f t="shared" si="6"/>
        <v>-17.12</v>
      </c>
      <c r="N75" s="16" t="s">
        <v>78</v>
      </c>
      <c r="O75" s="15" t="str">
        <f t="shared" si="7"/>
        <v>OK</v>
      </c>
    </row>
    <row r="76" spans="1:15" ht="20.100000000000001" customHeight="1" x14ac:dyDescent="0.25">
      <c r="A76" s="14">
        <v>45738</v>
      </c>
      <c r="B76" s="15" t="str">
        <f t="shared" si="4"/>
        <v>Marzo</v>
      </c>
      <c r="C76" s="15">
        <f t="shared" si="5"/>
        <v>2025</v>
      </c>
      <c r="D76" s="16" t="s">
        <v>79</v>
      </c>
      <c r="E76" s="16" t="s">
        <v>83</v>
      </c>
      <c r="F76" s="16" t="s">
        <v>109</v>
      </c>
      <c r="G76" s="16" t="s">
        <v>33</v>
      </c>
      <c r="H76" s="16" t="s">
        <v>10</v>
      </c>
      <c r="I76" s="16" t="s">
        <v>85</v>
      </c>
      <c r="J76" s="16" t="s">
        <v>110</v>
      </c>
      <c r="K76" s="16" t="s">
        <v>87</v>
      </c>
      <c r="L76" s="17">
        <v>24.07</v>
      </c>
      <c r="M76" s="18">
        <f t="shared" si="6"/>
        <v>-24.07</v>
      </c>
      <c r="N76" s="16" t="s">
        <v>78</v>
      </c>
      <c r="O76" s="15" t="str">
        <f t="shared" si="7"/>
        <v>OK</v>
      </c>
    </row>
    <row r="77" spans="1:15" ht="20.100000000000001" customHeight="1" x14ac:dyDescent="0.25">
      <c r="A77" s="14">
        <v>45740</v>
      </c>
      <c r="B77" s="15" t="str">
        <f t="shared" si="4"/>
        <v>Marzo</v>
      </c>
      <c r="C77" s="15">
        <f t="shared" si="5"/>
        <v>2025</v>
      </c>
      <c r="D77" s="16" t="s">
        <v>79</v>
      </c>
      <c r="E77" s="16" t="s">
        <v>83</v>
      </c>
      <c r="F77" s="16" t="s">
        <v>84</v>
      </c>
      <c r="G77" s="16" t="s">
        <v>29</v>
      </c>
      <c r="H77" s="16" t="s">
        <v>9</v>
      </c>
      <c r="I77" s="16" t="s">
        <v>85</v>
      </c>
      <c r="J77" s="16" t="s">
        <v>86</v>
      </c>
      <c r="K77" s="16" t="s">
        <v>87</v>
      </c>
      <c r="L77" s="17">
        <v>68.62</v>
      </c>
      <c r="M77" s="18">
        <f t="shared" si="6"/>
        <v>-68.62</v>
      </c>
      <c r="N77" s="16" t="s">
        <v>78</v>
      </c>
      <c r="O77" s="15" t="str">
        <f t="shared" si="7"/>
        <v>OK</v>
      </c>
    </row>
    <row r="78" spans="1:15" ht="20.100000000000001" customHeight="1" x14ac:dyDescent="0.25">
      <c r="A78" s="14">
        <v>45741</v>
      </c>
      <c r="B78" s="15" t="str">
        <f t="shared" si="4"/>
        <v>Marzo</v>
      </c>
      <c r="C78" s="15">
        <f t="shared" si="5"/>
        <v>2025</v>
      </c>
      <c r="D78" s="16" t="s">
        <v>79</v>
      </c>
      <c r="E78" s="16" t="s">
        <v>88</v>
      </c>
      <c r="F78" s="16" t="s">
        <v>89</v>
      </c>
      <c r="G78" s="16" t="s">
        <v>31</v>
      </c>
      <c r="H78" s="16" t="s">
        <v>9</v>
      </c>
      <c r="I78" s="16" t="s">
        <v>85</v>
      </c>
      <c r="J78" s="16" t="s">
        <v>90</v>
      </c>
      <c r="K78" s="16" t="s">
        <v>87</v>
      </c>
      <c r="L78" s="17">
        <v>8.7899999999999991</v>
      </c>
      <c r="M78" s="18">
        <f t="shared" si="6"/>
        <v>-8.7899999999999991</v>
      </c>
      <c r="N78" s="16" t="s">
        <v>78</v>
      </c>
      <c r="O78" s="15" t="str">
        <f t="shared" si="7"/>
        <v>OK</v>
      </c>
    </row>
    <row r="79" spans="1:15" ht="20.100000000000001" customHeight="1" x14ac:dyDescent="0.25">
      <c r="A79" s="14">
        <v>45742</v>
      </c>
      <c r="B79" s="15" t="str">
        <f t="shared" si="4"/>
        <v>Marzo</v>
      </c>
      <c r="C79" s="15">
        <f t="shared" si="5"/>
        <v>2025</v>
      </c>
      <c r="D79" s="16" t="s">
        <v>79</v>
      </c>
      <c r="E79" s="16" t="s">
        <v>83</v>
      </c>
      <c r="F79" s="16" t="s">
        <v>102</v>
      </c>
      <c r="G79" s="16" t="s">
        <v>29</v>
      </c>
      <c r="H79" s="16" t="s">
        <v>9</v>
      </c>
      <c r="I79" s="16" t="s">
        <v>85</v>
      </c>
      <c r="J79" s="16" t="s">
        <v>103</v>
      </c>
      <c r="K79" s="16" t="s">
        <v>87</v>
      </c>
      <c r="L79" s="17">
        <v>47.21</v>
      </c>
      <c r="M79" s="18">
        <f t="shared" si="6"/>
        <v>-47.21</v>
      </c>
      <c r="N79" s="16" t="s">
        <v>78</v>
      </c>
      <c r="O79" s="15" t="str">
        <f t="shared" si="7"/>
        <v>OK</v>
      </c>
    </row>
    <row r="80" spans="1:15" ht="20.100000000000001" customHeight="1" x14ac:dyDescent="0.25">
      <c r="A80" s="14">
        <v>45743</v>
      </c>
      <c r="B80" s="15" t="str">
        <f t="shared" si="4"/>
        <v>Marzo</v>
      </c>
      <c r="C80" s="15">
        <f t="shared" si="5"/>
        <v>2025</v>
      </c>
      <c r="D80" s="16" t="s">
        <v>30</v>
      </c>
      <c r="E80" s="16" t="s">
        <v>113</v>
      </c>
      <c r="F80" s="16" t="s">
        <v>114</v>
      </c>
      <c r="G80" s="16" t="s">
        <v>41</v>
      </c>
      <c r="H80" s="16" t="s">
        <v>30</v>
      </c>
      <c r="I80" s="16" t="s">
        <v>75</v>
      </c>
      <c r="J80" s="16" t="s">
        <v>115</v>
      </c>
      <c r="K80" s="16" t="s">
        <v>77</v>
      </c>
      <c r="L80" s="17">
        <v>237.39</v>
      </c>
      <c r="M80" s="18">
        <f t="shared" si="6"/>
        <v>-237.39</v>
      </c>
      <c r="N80" s="16" t="s">
        <v>78</v>
      </c>
      <c r="O80" s="15" t="str">
        <f t="shared" si="7"/>
        <v>OK</v>
      </c>
    </row>
    <row r="81" spans="1:15" ht="20.100000000000001" customHeight="1" x14ac:dyDescent="0.25">
      <c r="A81" s="14">
        <v>45744</v>
      </c>
      <c r="B81" s="15" t="str">
        <f t="shared" si="4"/>
        <v>Marzo</v>
      </c>
      <c r="C81" s="15">
        <f t="shared" si="5"/>
        <v>2025</v>
      </c>
      <c r="D81" s="16" t="s">
        <v>79</v>
      </c>
      <c r="E81" s="16" t="s">
        <v>83</v>
      </c>
      <c r="F81" s="16" t="s">
        <v>107</v>
      </c>
      <c r="G81" s="16" t="s">
        <v>33</v>
      </c>
      <c r="H81" s="16" t="s">
        <v>10</v>
      </c>
      <c r="I81" s="16" t="s">
        <v>85</v>
      </c>
      <c r="J81" s="16" t="s">
        <v>108</v>
      </c>
      <c r="K81" s="16" t="s">
        <v>124</v>
      </c>
      <c r="L81" s="17">
        <v>21.48</v>
      </c>
      <c r="M81" s="18">
        <f t="shared" si="6"/>
        <v>-21.48</v>
      </c>
      <c r="N81" s="16" t="s">
        <v>78</v>
      </c>
      <c r="O81" s="15" t="str">
        <f t="shared" si="7"/>
        <v>OK</v>
      </c>
    </row>
    <row r="82" spans="1:15" ht="20.100000000000001" customHeight="1" x14ac:dyDescent="0.25">
      <c r="A82" s="14">
        <v>45744</v>
      </c>
      <c r="B82" s="15" t="str">
        <f t="shared" si="4"/>
        <v>Marzo</v>
      </c>
      <c r="C82" s="15">
        <f t="shared" si="5"/>
        <v>2025</v>
      </c>
      <c r="D82" s="16" t="s">
        <v>30</v>
      </c>
      <c r="E82" s="16" t="s">
        <v>113</v>
      </c>
      <c r="F82" s="16" t="s">
        <v>116</v>
      </c>
      <c r="G82" s="16" t="s">
        <v>41</v>
      </c>
      <c r="H82" s="16" t="s">
        <v>30</v>
      </c>
      <c r="I82" s="16" t="s">
        <v>85</v>
      </c>
      <c r="J82" s="16" t="s">
        <v>117</v>
      </c>
      <c r="K82" s="16" t="s">
        <v>77</v>
      </c>
      <c r="L82" s="17">
        <v>65.88</v>
      </c>
      <c r="M82" s="18">
        <f t="shared" si="6"/>
        <v>-65.88</v>
      </c>
      <c r="N82" s="16" t="s">
        <v>78</v>
      </c>
      <c r="O82" s="15" t="str">
        <f t="shared" si="7"/>
        <v>OK</v>
      </c>
    </row>
    <row r="83" spans="1:15" ht="20.100000000000001" customHeight="1" x14ac:dyDescent="0.25">
      <c r="A83" s="14">
        <v>45748</v>
      </c>
      <c r="B83" s="15" t="str">
        <f t="shared" si="4"/>
        <v>Abril</v>
      </c>
      <c r="C83" s="15">
        <f t="shared" si="5"/>
        <v>2025</v>
      </c>
      <c r="D83" s="16" t="s">
        <v>71</v>
      </c>
      <c r="E83" s="16" t="s">
        <v>72</v>
      </c>
      <c r="F83" s="16" t="s">
        <v>73</v>
      </c>
      <c r="G83" s="16" t="s">
        <v>74</v>
      </c>
      <c r="H83" s="16" t="s">
        <v>37</v>
      </c>
      <c r="I83" s="16" t="s">
        <v>75</v>
      </c>
      <c r="J83" s="16" t="s">
        <v>76</v>
      </c>
      <c r="K83" s="16" t="s">
        <v>77</v>
      </c>
      <c r="L83" s="17">
        <v>2448.81</v>
      </c>
      <c r="M83" s="18">
        <f t="shared" si="6"/>
        <v>2448.81</v>
      </c>
      <c r="N83" s="16" t="s">
        <v>78</v>
      </c>
      <c r="O83" s="15" t="str">
        <f t="shared" si="7"/>
        <v>OK</v>
      </c>
    </row>
    <row r="84" spans="1:15" ht="20.100000000000001" customHeight="1" x14ac:dyDescent="0.25">
      <c r="A84" s="14">
        <v>45749</v>
      </c>
      <c r="B84" s="15" t="str">
        <f t="shared" si="4"/>
        <v>Abril</v>
      </c>
      <c r="C84" s="15">
        <f t="shared" si="5"/>
        <v>2025</v>
      </c>
      <c r="D84" s="16" t="s">
        <v>79</v>
      </c>
      <c r="E84" s="16" t="s">
        <v>80</v>
      </c>
      <c r="F84" s="16" t="s">
        <v>81</v>
      </c>
      <c r="G84" s="16" t="s">
        <v>28</v>
      </c>
      <c r="H84" s="16" t="s">
        <v>9</v>
      </c>
      <c r="I84" s="16" t="s">
        <v>75</v>
      </c>
      <c r="J84" s="16" t="s">
        <v>82</v>
      </c>
      <c r="K84" s="16" t="s">
        <v>77</v>
      </c>
      <c r="L84" s="17">
        <v>980</v>
      </c>
      <c r="M84" s="18">
        <f t="shared" si="6"/>
        <v>-980</v>
      </c>
      <c r="N84" s="16" t="s">
        <v>78</v>
      </c>
      <c r="O84" s="15" t="str">
        <f t="shared" si="7"/>
        <v>OK</v>
      </c>
    </row>
    <row r="85" spans="1:15" ht="20.100000000000001" customHeight="1" x14ac:dyDescent="0.25">
      <c r="A85" s="14">
        <v>45750</v>
      </c>
      <c r="B85" s="15" t="str">
        <f t="shared" si="4"/>
        <v>Abril</v>
      </c>
      <c r="C85" s="15">
        <f t="shared" si="5"/>
        <v>2025</v>
      </c>
      <c r="D85" s="16" t="s">
        <v>79</v>
      </c>
      <c r="E85" s="16" t="s">
        <v>83</v>
      </c>
      <c r="F85" s="16" t="s">
        <v>84</v>
      </c>
      <c r="G85" s="16" t="s">
        <v>29</v>
      </c>
      <c r="H85" s="16" t="s">
        <v>9</v>
      </c>
      <c r="I85" s="16" t="s">
        <v>85</v>
      </c>
      <c r="J85" s="16" t="s">
        <v>86</v>
      </c>
      <c r="K85" s="16" t="s">
        <v>87</v>
      </c>
      <c r="L85" s="17">
        <v>67.58</v>
      </c>
      <c r="M85" s="18">
        <f t="shared" si="6"/>
        <v>-67.58</v>
      </c>
      <c r="N85" s="16" t="s">
        <v>78</v>
      </c>
      <c r="O85" s="15" t="str">
        <f t="shared" si="7"/>
        <v>OK</v>
      </c>
    </row>
    <row r="86" spans="1:15" ht="20.100000000000001" customHeight="1" x14ac:dyDescent="0.25">
      <c r="A86" s="14">
        <v>45751</v>
      </c>
      <c r="B86" s="15" t="str">
        <f t="shared" si="4"/>
        <v>Abril</v>
      </c>
      <c r="C86" s="15">
        <f t="shared" si="5"/>
        <v>2025</v>
      </c>
      <c r="D86" s="16" t="s">
        <v>79</v>
      </c>
      <c r="E86" s="16" t="s">
        <v>88</v>
      </c>
      <c r="F86" s="16" t="s">
        <v>89</v>
      </c>
      <c r="G86" s="16" t="s">
        <v>31</v>
      </c>
      <c r="H86" s="16" t="s">
        <v>9</v>
      </c>
      <c r="I86" s="16" t="s">
        <v>85</v>
      </c>
      <c r="J86" s="16" t="s">
        <v>90</v>
      </c>
      <c r="K86" s="16" t="s">
        <v>87</v>
      </c>
      <c r="L86" s="17">
        <v>11.21</v>
      </c>
      <c r="M86" s="18">
        <f t="shared" si="6"/>
        <v>-11.21</v>
      </c>
      <c r="N86" s="16" t="s">
        <v>78</v>
      </c>
      <c r="O86" s="15" t="str">
        <f t="shared" si="7"/>
        <v>OK</v>
      </c>
    </row>
    <row r="87" spans="1:15" ht="20.100000000000001" customHeight="1" x14ac:dyDescent="0.25">
      <c r="A87" s="14">
        <v>45752</v>
      </c>
      <c r="B87" s="15" t="str">
        <f t="shared" si="4"/>
        <v>Abril</v>
      </c>
      <c r="C87" s="15">
        <f t="shared" si="5"/>
        <v>2025</v>
      </c>
      <c r="D87" s="16" t="s">
        <v>79</v>
      </c>
      <c r="E87" s="16" t="s">
        <v>80</v>
      </c>
      <c r="F87" s="16" t="s">
        <v>91</v>
      </c>
      <c r="G87" s="16" t="s">
        <v>28</v>
      </c>
      <c r="H87" s="16" t="s">
        <v>9</v>
      </c>
      <c r="I87" s="16" t="s">
        <v>75</v>
      </c>
      <c r="J87" s="16" t="s">
        <v>92</v>
      </c>
      <c r="K87" s="16" t="s">
        <v>93</v>
      </c>
      <c r="L87" s="17">
        <v>28.51</v>
      </c>
      <c r="M87" s="18">
        <f t="shared" si="6"/>
        <v>-28.51</v>
      </c>
      <c r="N87" s="16" t="s">
        <v>78</v>
      </c>
      <c r="O87" s="15" t="str">
        <f t="shared" si="7"/>
        <v>OK</v>
      </c>
    </row>
    <row r="88" spans="1:15" ht="20.100000000000001" customHeight="1" x14ac:dyDescent="0.25">
      <c r="A88" s="14">
        <v>45753</v>
      </c>
      <c r="B88" s="15" t="str">
        <f t="shared" si="4"/>
        <v>Abril</v>
      </c>
      <c r="C88" s="15">
        <f t="shared" si="5"/>
        <v>2025</v>
      </c>
      <c r="D88" s="16" t="s">
        <v>79</v>
      </c>
      <c r="E88" s="16" t="s">
        <v>80</v>
      </c>
      <c r="F88" s="16" t="s">
        <v>94</v>
      </c>
      <c r="G88" s="16" t="s">
        <v>28</v>
      </c>
      <c r="H88" s="16" t="s">
        <v>9</v>
      </c>
      <c r="I88" s="16" t="s">
        <v>75</v>
      </c>
      <c r="J88" s="16" t="s">
        <v>95</v>
      </c>
      <c r="K88" s="16" t="s">
        <v>93</v>
      </c>
      <c r="L88" s="17">
        <v>25.06</v>
      </c>
      <c r="M88" s="18">
        <f t="shared" si="6"/>
        <v>-25.06</v>
      </c>
      <c r="N88" s="16" t="s">
        <v>78</v>
      </c>
      <c r="O88" s="15" t="str">
        <f t="shared" si="7"/>
        <v>OK</v>
      </c>
    </row>
    <row r="89" spans="1:15" ht="20.100000000000001" customHeight="1" x14ac:dyDescent="0.25">
      <c r="A89" s="14">
        <v>45754</v>
      </c>
      <c r="B89" s="15" t="str">
        <f t="shared" si="4"/>
        <v>Abril</v>
      </c>
      <c r="C89" s="15">
        <f t="shared" si="5"/>
        <v>2025</v>
      </c>
      <c r="D89" s="16" t="s">
        <v>79</v>
      </c>
      <c r="E89" s="16" t="s">
        <v>80</v>
      </c>
      <c r="F89" s="16" t="s">
        <v>96</v>
      </c>
      <c r="G89" s="16" t="s">
        <v>28</v>
      </c>
      <c r="H89" s="16" t="s">
        <v>9</v>
      </c>
      <c r="I89" s="16" t="s">
        <v>75</v>
      </c>
      <c r="J89" s="16" t="s">
        <v>97</v>
      </c>
      <c r="K89" s="16" t="s">
        <v>93</v>
      </c>
      <c r="L89" s="17">
        <v>35</v>
      </c>
      <c r="M89" s="18">
        <f t="shared" si="6"/>
        <v>-35</v>
      </c>
      <c r="N89" s="16" t="s">
        <v>78</v>
      </c>
      <c r="O89" s="15" t="str">
        <f t="shared" si="7"/>
        <v>OK</v>
      </c>
    </row>
    <row r="90" spans="1:15" ht="20.100000000000001" customHeight="1" x14ac:dyDescent="0.25">
      <c r="A90" s="14">
        <v>45755</v>
      </c>
      <c r="B90" s="15" t="str">
        <f t="shared" si="4"/>
        <v>Abril</v>
      </c>
      <c r="C90" s="15">
        <f t="shared" si="5"/>
        <v>2025</v>
      </c>
      <c r="D90" s="16" t="s">
        <v>79</v>
      </c>
      <c r="E90" s="16" t="s">
        <v>80</v>
      </c>
      <c r="F90" s="16" t="s">
        <v>98</v>
      </c>
      <c r="G90" s="16" t="s">
        <v>32</v>
      </c>
      <c r="H90" s="16" t="s">
        <v>9</v>
      </c>
      <c r="I90" s="16" t="s">
        <v>75</v>
      </c>
      <c r="J90" s="16" t="s">
        <v>99</v>
      </c>
      <c r="K90" s="16" t="s">
        <v>93</v>
      </c>
      <c r="L90" s="17">
        <v>18</v>
      </c>
      <c r="M90" s="18">
        <f t="shared" si="6"/>
        <v>-18</v>
      </c>
      <c r="N90" s="16" t="s">
        <v>78</v>
      </c>
      <c r="O90" s="15" t="str">
        <f t="shared" si="7"/>
        <v>OK</v>
      </c>
    </row>
    <row r="91" spans="1:15" ht="20.100000000000001" customHeight="1" x14ac:dyDescent="0.25">
      <c r="A91" s="14">
        <v>45756</v>
      </c>
      <c r="B91" s="15" t="str">
        <f t="shared" si="4"/>
        <v>Abril</v>
      </c>
      <c r="C91" s="15">
        <f t="shared" si="5"/>
        <v>2025</v>
      </c>
      <c r="D91" s="16" t="s">
        <v>79</v>
      </c>
      <c r="E91" s="16" t="s">
        <v>83</v>
      </c>
      <c r="F91" s="16" t="s">
        <v>100</v>
      </c>
      <c r="G91" s="16" t="s">
        <v>39</v>
      </c>
      <c r="H91" s="16" t="s">
        <v>9</v>
      </c>
      <c r="I91" s="16" t="s">
        <v>75</v>
      </c>
      <c r="J91" s="16" t="s">
        <v>101</v>
      </c>
      <c r="K91" s="16" t="s">
        <v>87</v>
      </c>
      <c r="L91" s="17">
        <v>24</v>
      </c>
      <c r="M91" s="18">
        <f t="shared" si="6"/>
        <v>-24</v>
      </c>
      <c r="N91" s="16" t="s">
        <v>78</v>
      </c>
      <c r="O91" s="15" t="str">
        <f t="shared" si="7"/>
        <v>OK</v>
      </c>
    </row>
    <row r="92" spans="1:15" ht="20.100000000000001" customHeight="1" x14ac:dyDescent="0.25">
      <c r="A92" s="14">
        <v>45757</v>
      </c>
      <c r="B92" s="15" t="str">
        <f t="shared" si="4"/>
        <v>Abril</v>
      </c>
      <c r="C92" s="15">
        <f t="shared" si="5"/>
        <v>2025</v>
      </c>
      <c r="D92" s="16" t="s">
        <v>79</v>
      </c>
      <c r="E92" s="16" t="s">
        <v>83</v>
      </c>
      <c r="F92" s="16" t="s">
        <v>84</v>
      </c>
      <c r="G92" s="16" t="s">
        <v>29</v>
      </c>
      <c r="H92" s="16" t="s">
        <v>9</v>
      </c>
      <c r="I92" s="16" t="s">
        <v>85</v>
      </c>
      <c r="J92" s="16" t="s">
        <v>86</v>
      </c>
      <c r="K92" s="16" t="s">
        <v>87</v>
      </c>
      <c r="L92" s="17">
        <v>82.23</v>
      </c>
      <c r="M92" s="18">
        <f t="shared" si="6"/>
        <v>-82.23</v>
      </c>
      <c r="N92" s="16" t="s">
        <v>78</v>
      </c>
      <c r="O92" s="15" t="str">
        <f t="shared" si="7"/>
        <v>OK</v>
      </c>
    </row>
    <row r="93" spans="1:15" ht="20.100000000000001" customHeight="1" x14ac:dyDescent="0.25">
      <c r="A93" s="14">
        <v>45758</v>
      </c>
      <c r="B93" s="15" t="str">
        <f t="shared" si="4"/>
        <v>Abril</v>
      </c>
      <c r="C93" s="15">
        <f t="shared" si="5"/>
        <v>2025</v>
      </c>
      <c r="D93" s="16" t="s">
        <v>79</v>
      </c>
      <c r="E93" s="16" t="s">
        <v>88</v>
      </c>
      <c r="F93" s="16" t="s">
        <v>89</v>
      </c>
      <c r="G93" s="16" t="s">
        <v>31</v>
      </c>
      <c r="H93" s="16" t="s">
        <v>9</v>
      </c>
      <c r="I93" s="16" t="s">
        <v>85</v>
      </c>
      <c r="J93" s="16" t="s">
        <v>90</v>
      </c>
      <c r="K93" s="16" t="s">
        <v>87</v>
      </c>
      <c r="L93" s="17">
        <v>9.65</v>
      </c>
      <c r="M93" s="18">
        <f t="shared" si="6"/>
        <v>-9.65</v>
      </c>
      <c r="N93" s="16" t="s">
        <v>78</v>
      </c>
      <c r="O93" s="15" t="str">
        <f t="shared" si="7"/>
        <v>OK</v>
      </c>
    </row>
    <row r="94" spans="1:15" ht="20.100000000000001" customHeight="1" x14ac:dyDescent="0.25">
      <c r="A94" s="14">
        <v>45759</v>
      </c>
      <c r="B94" s="15" t="str">
        <f t="shared" si="4"/>
        <v>Abril</v>
      </c>
      <c r="C94" s="15">
        <f t="shared" si="5"/>
        <v>2025</v>
      </c>
      <c r="D94" s="16" t="s">
        <v>79</v>
      </c>
      <c r="E94" s="16" t="s">
        <v>83</v>
      </c>
      <c r="F94" s="16" t="s">
        <v>102</v>
      </c>
      <c r="G94" s="16" t="s">
        <v>29</v>
      </c>
      <c r="H94" s="16" t="s">
        <v>9</v>
      </c>
      <c r="I94" s="16" t="s">
        <v>85</v>
      </c>
      <c r="J94" s="16" t="s">
        <v>103</v>
      </c>
      <c r="K94" s="16" t="s">
        <v>87</v>
      </c>
      <c r="L94" s="17">
        <v>33.65</v>
      </c>
      <c r="M94" s="18">
        <f t="shared" si="6"/>
        <v>-33.65</v>
      </c>
      <c r="N94" s="16" t="s">
        <v>78</v>
      </c>
      <c r="O94" s="15" t="str">
        <f t="shared" si="7"/>
        <v>OK</v>
      </c>
    </row>
    <row r="95" spans="1:15" ht="20.100000000000001" customHeight="1" x14ac:dyDescent="0.25">
      <c r="A95" s="14">
        <v>45761</v>
      </c>
      <c r="B95" s="15" t="str">
        <f t="shared" si="4"/>
        <v>Abril</v>
      </c>
      <c r="C95" s="15">
        <f t="shared" si="5"/>
        <v>2025</v>
      </c>
      <c r="D95" s="16" t="s">
        <v>79</v>
      </c>
      <c r="E95" s="16" t="s">
        <v>83</v>
      </c>
      <c r="F95" s="16" t="s">
        <v>107</v>
      </c>
      <c r="G95" s="16" t="s">
        <v>33</v>
      </c>
      <c r="H95" s="16" t="s">
        <v>10</v>
      </c>
      <c r="I95" s="16" t="s">
        <v>85</v>
      </c>
      <c r="J95" s="16" t="s">
        <v>108</v>
      </c>
      <c r="K95" s="16" t="s">
        <v>87</v>
      </c>
      <c r="L95" s="17">
        <v>22.76</v>
      </c>
      <c r="M95" s="18">
        <f t="shared" si="6"/>
        <v>-22.76</v>
      </c>
      <c r="N95" s="16" t="s">
        <v>78</v>
      </c>
      <c r="O95" s="15" t="str">
        <f t="shared" si="7"/>
        <v>OK</v>
      </c>
    </row>
    <row r="96" spans="1:15" ht="20.100000000000001" customHeight="1" x14ac:dyDescent="0.25">
      <c r="A96" s="14">
        <v>45764</v>
      </c>
      <c r="B96" s="15" t="str">
        <f t="shared" si="4"/>
        <v>Abril</v>
      </c>
      <c r="C96" s="15">
        <f t="shared" si="5"/>
        <v>2025</v>
      </c>
      <c r="D96" s="16" t="s">
        <v>79</v>
      </c>
      <c r="E96" s="16" t="s">
        <v>83</v>
      </c>
      <c r="F96" s="16" t="s">
        <v>84</v>
      </c>
      <c r="G96" s="16" t="s">
        <v>29</v>
      </c>
      <c r="H96" s="16" t="s">
        <v>9</v>
      </c>
      <c r="I96" s="16" t="s">
        <v>85</v>
      </c>
      <c r="J96" s="16" t="s">
        <v>86</v>
      </c>
      <c r="K96" s="16" t="s">
        <v>87</v>
      </c>
      <c r="L96" s="17">
        <v>93.05</v>
      </c>
      <c r="M96" s="18">
        <f t="shared" si="6"/>
        <v>-93.05</v>
      </c>
      <c r="N96" s="16" t="s">
        <v>78</v>
      </c>
      <c r="O96" s="15" t="str">
        <f t="shared" si="7"/>
        <v>OK</v>
      </c>
    </row>
    <row r="97" spans="1:15" ht="20.100000000000001" customHeight="1" x14ac:dyDescent="0.25">
      <c r="A97" s="14">
        <v>45765</v>
      </c>
      <c r="B97" s="15" t="str">
        <f t="shared" si="4"/>
        <v>Abril</v>
      </c>
      <c r="C97" s="15">
        <f t="shared" si="5"/>
        <v>2025</v>
      </c>
      <c r="D97" s="16" t="s">
        <v>79</v>
      </c>
      <c r="E97" s="16" t="s">
        <v>88</v>
      </c>
      <c r="F97" s="16" t="s">
        <v>89</v>
      </c>
      <c r="G97" s="16" t="s">
        <v>31</v>
      </c>
      <c r="H97" s="16" t="s">
        <v>9</v>
      </c>
      <c r="I97" s="16" t="s">
        <v>85</v>
      </c>
      <c r="J97" s="16" t="s">
        <v>90</v>
      </c>
      <c r="K97" s="16" t="s">
        <v>87</v>
      </c>
      <c r="L97" s="17">
        <v>11.2</v>
      </c>
      <c r="M97" s="18">
        <f t="shared" si="6"/>
        <v>-11.2</v>
      </c>
      <c r="N97" s="16" t="s">
        <v>78</v>
      </c>
      <c r="O97" s="15" t="str">
        <f t="shared" si="7"/>
        <v>OK</v>
      </c>
    </row>
    <row r="98" spans="1:15" ht="20.100000000000001" customHeight="1" x14ac:dyDescent="0.25">
      <c r="A98" s="14">
        <v>45766</v>
      </c>
      <c r="B98" s="15" t="str">
        <f t="shared" si="4"/>
        <v>Abril</v>
      </c>
      <c r="C98" s="15">
        <f t="shared" si="5"/>
        <v>2025</v>
      </c>
      <c r="D98" s="16" t="s">
        <v>71</v>
      </c>
      <c r="E98" s="16" t="s">
        <v>72</v>
      </c>
      <c r="F98" s="16" t="s">
        <v>118</v>
      </c>
      <c r="G98" s="16" t="s">
        <v>119</v>
      </c>
      <c r="H98" s="16" t="s">
        <v>37</v>
      </c>
      <c r="I98" s="16" t="s">
        <v>85</v>
      </c>
      <c r="J98" s="16" t="s">
        <v>120</v>
      </c>
      <c r="K98" s="16" t="s">
        <v>77</v>
      </c>
      <c r="L98" s="17">
        <v>218.26</v>
      </c>
      <c r="M98" s="18">
        <f t="shared" si="6"/>
        <v>218.26</v>
      </c>
      <c r="N98" s="16" t="s">
        <v>121</v>
      </c>
      <c r="O98" s="15" t="str">
        <f t="shared" si="7"/>
        <v>OK</v>
      </c>
    </row>
    <row r="99" spans="1:15" ht="20.100000000000001" customHeight="1" x14ac:dyDescent="0.25">
      <c r="A99" s="14">
        <v>45766</v>
      </c>
      <c r="B99" s="15" t="str">
        <f t="shared" si="4"/>
        <v>Abril</v>
      </c>
      <c r="C99" s="15">
        <f t="shared" si="5"/>
        <v>2025</v>
      </c>
      <c r="D99" s="16" t="s">
        <v>79</v>
      </c>
      <c r="E99" s="16" t="s">
        <v>83</v>
      </c>
      <c r="F99" s="16" t="s">
        <v>111</v>
      </c>
      <c r="G99" s="16" t="s">
        <v>35</v>
      </c>
      <c r="H99" s="16" t="s">
        <v>10</v>
      </c>
      <c r="I99" s="16" t="s">
        <v>85</v>
      </c>
      <c r="J99" s="16" t="s">
        <v>112</v>
      </c>
      <c r="K99" s="16" t="s">
        <v>87</v>
      </c>
      <c r="L99" s="17">
        <v>33.61</v>
      </c>
      <c r="M99" s="18">
        <f t="shared" si="6"/>
        <v>-33.61</v>
      </c>
      <c r="N99" s="16" t="s">
        <v>78</v>
      </c>
      <c r="O99" s="15" t="str">
        <f t="shared" si="7"/>
        <v>OK</v>
      </c>
    </row>
    <row r="100" spans="1:15" ht="20.100000000000001" customHeight="1" x14ac:dyDescent="0.25">
      <c r="A100" s="14">
        <v>45767</v>
      </c>
      <c r="B100" s="15" t="str">
        <f t="shared" si="4"/>
        <v>Abril</v>
      </c>
      <c r="C100" s="15">
        <f t="shared" si="5"/>
        <v>2025</v>
      </c>
      <c r="D100" s="16" t="s">
        <v>79</v>
      </c>
      <c r="E100" s="16" t="s">
        <v>83</v>
      </c>
      <c r="F100" s="16" t="s">
        <v>107</v>
      </c>
      <c r="G100" s="16" t="s">
        <v>33</v>
      </c>
      <c r="H100" s="16" t="s">
        <v>10</v>
      </c>
      <c r="I100" s="16" t="s">
        <v>85</v>
      </c>
      <c r="J100" s="16" t="s">
        <v>108</v>
      </c>
      <c r="K100" s="16" t="s">
        <v>87</v>
      </c>
      <c r="L100" s="17">
        <v>25.76</v>
      </c>
      <c r="M100" s="18">
        <f t="shared" si="6"/>
        <v>-25.76</v>
      </c>
      <c r="N100" s="16" t="s">
        <v>78</v>
      </c>
      <c r="O100" s="15" t="str">
        <f t="shared" si="7"/>
        <v>OK</v>
      </c>
    </row>
    <row r="101" spans="1:15" ht="20.100000000000001" customHeight="1" x14ac:dyDescent="0.25">
      <c r="A101" s="14">
        <v>45768</v>
      </c>
      <c r="B101" s="15" t="str">
        <f t="shared" si="4"/>
        <v>Abril</v>
      </c>
      <c r="C101" s="15">
        <f t="shared" si="5"/>
        <v>2025</v>
      </c>
      <c r="D101" s="16" t="s">
        <v>79</v>
      </c>
      <c r="E101" s="16" t="s">
        <v>83</v>
      </c>
      <c r="F101" s="16" t="s">
        <v>122</v>
      </c>
      <c r="G101" s="16" t="s">
        <v>31</v>
      </c>
      <c r="H101" s="16" t="s">
        <v>9</v>
      </c>
      <c r="I101" s="16" t="s">
        <v>85</v>
      </c>
      <c r="J101" s="16" t="s">
        <v>123</v>
      </c>
      <c r="K101" s="16" t="s">
        <v>87</v>
      </c>
      <c r="L101" s="17">
        <v>9.02</v>
      </c>
      <c r="M101" s="18">
        <f t="shared" si="6"/>
        <v>-9.02</v>
      </c>
      <c r="N101" s="16" t="s">
        <v>78</v>
      </c>
      <c r="O101" s="15" t="str">
        <f t="shared" si="7"/>
        <v>OK</v>
      </c>
    </row>
    <row r="102" spans="1:15" ht="20.100000000000001" customHeight="1" x14ac:dyDescent="0.25">
      <c r="A102" s="14">
        <v>45770</v>
      </c>
      <c r="B102" s="15" t="str">
        <f t="shared" si="4"/>
        <v>Abril</v>
      </c>
      <c r="C102" s="15">
        <f t="shared" si="5"/>
        <v>2025</v>
      </c>
      <c r="D102" s="16" t="s">
        <v>79</v>
      </c>
      <c r="E102" s="16" t="s">
        <v>83</v>
      </c>
      <c r="F102" s="16" t="s">
        <v>109</v>
      </c>
      <c r="G102" s="16" t="s">
        <v>33</v>
      </c>
      <c r="H102" s="16" t="s">
        <v>10</v>
      </c>
      <c r="I102" s="16" t="s">
        <v>85</v>
      </c>
      <c r="J102" s="16" t="s">
        <v>110</v>
      </c>
      <c r="K102" s="16" t="s">
        <v>87</v>
      </c>
      <c r="L102" s="17">
        <v>30.64</v>
      </c>
      <c r="M102" s="18">
        <f t="shared" si="6"/>
        <v>-30.64</v>
      </c>
      <c r="N102" s="16" t="s">
        <v>78</v>
      </c>
      <c r="O102" s="15" t="str">
        <f t="shared" si="7"/>
        <v>OK</v>
      </c>
    </row>
    <row r="103" spans="1:15" ht="20.100000000000001" customHeight="1" x14ac:dyDescent="0.25">
      <c r="A103" s="14">
        <v>45771</v>
      </c>
      <c r="B103" s="15" t="str">
        <f t="shared" si="4"/>
        <v>Abril</v>
      </c>
      <c r="C103" s="15">
        <f t="shared" si="5"/>
        <v>2025</v>
      </c>
      <c r="D103" s="16" t="s">
        <v>79</v>
      </c>
      <c r="E103" s="16" t="s">
        <v>83</v>
      </c>
      <c r="F103" s="16" t="s">
        <v>84</v>
      </c>
      <c r="G103" s="16" t="s">
        <v>29</v>
      </c>
      <c r="H103" s="16" t="s">
        <v>9</v>
      </c>
      <c r="I103" s="16" t="s">
        <v>85</v>
      </c>
      <c r="J103" s="16" t="s">
        <v>86</v>
      </c>
      <c r="K103" s="16" t="s">
        <v>87</v>
      </c>
      <c r="L103" s="17">
        <v>97.4</v>
      </c>
      <c r="M103" s="18">
        <f t="shared" si="6"/>
        <v>-97.4</v>
      </c>
      <c r="N103" s="16" t="s">
        <v>78</v>
      </c>
      <c r="O103" s="15" t="str">
        <f t="shared" si="7"/>
        <v>OK</v>
      </c>
    </row>
    <row r="104" spans="1:15" ht="20.100000000000001" customHeight="1" x14ac:dyDescent="0.25">
      <c r="A104" s="14">
        <v>45772</v>
      </c>
      <c r="B104" s="15" t="str">
        <f t="shared" si="4"/>
        <v>Abril</v>
      </c>
      <c r="C104" s="15">
        <f t="shared" si="5"/>
        <v>2025</v>
      </c>
      <c r="D104" s="16" t="s">
        <v>79</v>
      </c>
      <c r="E104" s="16" t="s">
        <v>88</v>
      </c>
      <c r="F104" s="16" t="s">
        <v>89</v>
      </c>
      <c r="G104" s="16" t="s">
        <v>31</v>
      </c>
      <c r="H104" s="16" t="s">
        <v>9</v>
      </c>
      <c r="I104" s="16" t="s">
        <v>85</v>
      </c>
      <c r="J104" s="16" t="s">
        <v>90</v>
      </c>
      <c r="K104" s="16" t="s">
        <v>87</v>
      </c>
      <c r="L104" s="17">
        <v>10.27</v>
      </c>
      <c r="M104" s="18">
        <f t="shared" si="6"/>
        <v>-10.27</v>
      </c>
      <c r="N104" s="16" t="s">
        <v>78</v>
      </c>
      <c r="O104" s="15" t="str">
        <f t="shared" si="7"/>
        <v>OK</v>
      </c>
    </row>
    <row r="105" spans="1:15" ht="20.100000000000001" customHeight="1" x14ac:dyDescent="0.25">
      <c r="A105" s="14">
        <v>45773</v>
      </c>
      <c r="B105" s="15" t="str">
        <f t="shared" si="4"/>
        <v>Abril</v>
      </c>
      <c r="C105" s="15">
        <f t="shared" si="5"/>
        <v>2025</v>
      </c>
      <c r="D105" s="16" t="s">
        <v>79</v>
      </c>
      <c r="E105" s="16" t="s">
        <v>83</v>
      </c>
      <c r="F105" s="16" t="s">
        <v>102</v>
      </c>
      <c r="G105" s="16" t="s">
        <v>29</v>
      </c>
      <c r="H105" s="16" t="s">
        <v>9</v>
      </c>
      <c r="I105" s="16" t="s">
        <v>85</v>
      </c>
      <c r="J105" s="16" t="s">
        <v>103</v>
      </c>
      <c r="K105" s="16" t="s">
        <v>104</v>
      </c>
      <c r="L105" s="17">
        <v>49.95</v>
      </c>
      <c r="M105" s="18">
        <f t="shared" si="6"/>
        <v>-49.95</v>
      </c>
      <c r="N105" s="16" t="s">
        <v>78</v>
      </c>
      <c r="O105" s="15" t="str">
        <f t="shared" si="7"/>
        <v>OK</v>
      </c>
    </row>
    <row r="106" spans="1:15" ht="20.100000000000001" customHeight="1" x14ac:dyDescent="0.25">
      <c r="A106" s="14">
        <v>45774</v>
      </c>
      <c r="B106" s="15" t="str">
        <f t="shared" si="4"/>
        <v>Abril</v>
      </c>
      <c r="C106" s="15">
        <f t="shared" si="5"/>
        <v>2025</v>
      </c>
      <c r="D106" s="16" t="s">
        <v>30</v>
      </c>
      <c r="E106" s="16" t="s">
        <v>113</v>
      </c>
      <c r="F106" s="16" t="s">
        <v>114</v>
      </c>
      <c r="G106" s="16" t="s">
        <v>41</v>
      </c>
      <c r="H106" s="16" t="s">
        <v>30</v>
      </c>
      <c r="I106" s="16" t="s">
        <v>75</v>
      </c>
      <c r="J106" s="16" t="s">
        <v>115</v>
      </c>
      <c r="K106" s="16" t="s">
        <v>77</v>
      </c>
      <c r="L106" s="17">
        <v>247.72</v>
      </c>
      <c r="M106" s="18">
        <f t="shared" si="6"/>
        <v>-247.72</v>
      </c>
      <c r="N106" s="16" t="s">
        <v>78</v>
      </c>
      <c r="O106" s="15" t="str">
        <f t="shared" si="7"/>
        <v>OK</v>
      </c>
    </row>
    <row r="107" spans="1:15" ht="20.100000000000001" customHeight="1" x14ac:dyDescent="0.25">
      <c r="A107" s="14">
        <v>45775</v>
      </c>
      <c r="B107" s="15" t="str">
        <f t="shared" si="4"/>
        <v>Abril</v>
      </c>
      <c r="C107" s="15">
        <f t="shared" si="5"/>
        <v>2025</v>
      </c>
      <c r="D107" s="16" t="s">
        <v>79</v>
      </c>
      <c r="E107" s="16" t="s">
        <v>83</v>
      </c>
      <c r="F107" s="16" t="s">
        <v>107</v>
      </c>
      <c r="G107" s="16" t="s">
        <v>33</v>
      </c>
      <c r="H107" s="16" t="s">
        <v>10</v>
      </c>
      <c r="I107" s="16" t="s">
        <v>85</v>
      </c>
      <c r="J107" s="16" t="s">
        <v>108</v>
      </c>
      <c r="K107" s="16" t="s">
        <v>124</v>
      </c>
      <c r="L107" s="17">
        <v>25.8</v>
      </c>
      <c r="M107" s="18">
        <f t="shared" si="6"/>
        <v>-25.8</v>
      </c>
      <c r="N107" s="16" t="s">
        <v>78</v>
      </c>
      <c r="O107" s="15" t="str">
        <f t="shared" si="7"/>
        <v>OK</v>
      </c>
    </row>
    <row r="108" spans="1:15" ht="20.100000000000001" customHeight="1" x14ac:dyDescent="0.25">
      <c r="A108" s="14">
        <v>45775</v>
      </c>
      <c r="B108" s="15" t="str">
        <f t="shared" si="4"/>
        <v>Abril</v>
      </c>
      <c r="C108" s="15">
        <f t="shared" si="5"/>
        <v>2025</v>
      </c>
      <c r="D108" s="16" t="s">
        <v>30</v>
      </c>
      <c r="E108" s="16" t="s">
        <v>113</v>
      </c>
      <c r="F108" s="16" t="s">
        <v>116</v>
      </c>
      <c r="G108" s="16" t="s">
        <v>41</v>
      </c>
      <c r="H108" s="16" t="s">
        <v>30</v>
      </c>
      <c r="I108" s="16" t="s">
        <v>85</v>
      </c>
      <c r="J108" s="16" t="s">
        <v>117</v>
      </c>
      <c r="K108" s="16" t="s">
        <v>77</v>
      </c>
      <c r="L108" s="17">
        <v>58.89</v>
      </c>
      <c r="M108" s="18">
        <f t="shared" si="6"/>
        <v>-58.89</v>
      </c>
      <c r="N108" s="16" t="s">
        <v>78</v>
      </c>
      <c r="O108" s="15" t="str">
        <f t="shared" si="7"/>
        <v>OK</v>
      </c>
    </row>
    <row r="109" spans="1:15" ht="20.100000000000001" customHeight="1" x14ac:dyDescent="0.25">
      <c r="A109" s="14">
        <v>45778</v>
      </c>
      <c r="B109" s="15" t="str">
        <f t="shared" si="4"/>
        <v>Mayo</v>
      </c>
      <c r="C109" s="15">
        <f t="shared" si="5"/>
        <v>2025</v>
      </c>
      <c r="D109" s="16" t="s">
        <v>71</v>
      </c>
      <c r="E109" s="16" t="s">
        <v>72</v>
      </c>
      <c r="F109" s="16" t="s">
        <v>73</v>
      </c>
      <c r="G109" s="16" t="s">
        <v>74</v>
      </c>
      <c r="H109" s="16" t="s">
        <v>37</v>
      </c>
      <c r="I109" s="16" t="s">
        <v>75</v>
      </c>
      <c r="J109" s="16" t="s">
        <v>76</v>
      </c>
      <c r="K109" s="16" t="s">
        <v>77</v>
      </c>
      <c r="L109" s="17">
        <v>2491.0700000000002</v>
      </c>
      <c r="M109" s="18">
        <f t="shared" si="6"/>
        <v>2491.0700000000002</v>
      </c>
      <c r="N109" s="16" t="s">
        <v>78</v>
      </c>
      <c r="O109" s="15" t="str">
        <f t="shared" si="7"/>
        <v>OK</v>
      </c>
    </row>
    <row r="110" spans="1:15" ht="20.100000000000001" customHeight="1" x14ac:dyDescent="0.25">
      <c r="A110" s="14">
        <v>45779</v>
      </c>
      <c r="B110" s="15" t="str">
        <f t="shared" si="4"/>
        <v>Mayo</v>
      </c>
      <c r="C110" s="15">
        <f t="shared" si="5"/>
        <v>2025</v>
      </c>
      <c r="D110" s="16" t="s">
        <v>79</v>
      </c>
      <c r="E110" s="16" t="s">
        <v>80</v>
      </c>
      <c r="F110" s="16" t="s">
        <v>81</v>
      </c>
      <c r="G110" s="16" t="s">
        <v>28</v>
      </c>
      <c r="H110" s="16" t="s">
        <v>9</v>
      </c>
      <c r="I110" s="16" t="s">
        <v>75</v>
      </c>
      <c r="J110" s="16" t="s">
        <v>82</v>
      </c>
      <c r="K110" s="16" t="s">
        <v>77</v>
      </c>
      <c r="L110" s="17">
        <v>980</v>
      </c>
      <c r="M110" s="18">
        <f t="shared" si="6"/>
        <v>-980</v>
      </c>
      <c r="N110" s="16" t="s">
        <v>78</v>
      </c>
      <c r="O110" s="15" t="str">
        <f t="shared" si="7"/>
        <v>OK</v>
      </c>
    </row>
    <row r="111" spans="1:15" ht="20.100000000000001" customHeight="1" x14ac:dyDescent="0.25">
      <c r="A111" s="14">
        <v>45780</v>
      </c>
      <c r="B111" s="15" t="str">
        <f t="shared" si="4"/>
        <v>Mayo</v>
      </c>
      <c r="C111" s="15">
        <f t="shared" si="5"/>
        <v>2025</v>
      </c>
      <c r="D111" s="16" t="s">
        <v>79</v>
      </c>
      <c r="E111" s="16" t="s">
        <v>83</v>
      </c>
      <c r="F111" s="16" t="s">
        <v>84</v>
      </c>
      <c r="G111" s="16" t="s">
        <v>29</v>
      </c>
      <c r="H111" s="16" t="s">
        <v>9</v>
      </c>
      <c r="I111" s="16" t="s">
        <v>85</v>
      </c>
      <c r="J111" s="16" t="s">
        <v>86</v>
      </c>
      <c r="K111" s="16" t="s">
        <v>87</v>
      </c>
      <c r="L111" s="17">
        <v>82.52</v>
      </c>
      <c r="M111" s="18">
        <f t="shared" si="6"/>
        <v>-82.52</v>
      </c>
      <c r="N111" s="16" t="s">
        <v>78</v>
      </c>
      <c r="O111" s="15" t="str">
        <f t="shared" si="7"/>
        <v>OK</v>
      </c>
    </row>
    <row r="112" spans="1:15" ht="20.100000000000001" customHeight="1" x14ac:dyDescent="0.25">
      <c r="A112" s="14">
        <v>45781</v>
      </c>
      <c r="B112" s="15" t="str">
        <f t="shared" si="4"/>
        <v>Mayo</v>
      </c>
      <c r="C112" s="15">
        <f t="shared" si="5"/>
        <v>2025</v>
      </c>
      <c r="D112" s="16" t="s">
        <v>79</v>
      </c>
      <c r="E112" s="16" t="s">
        <v>88</v>
      </c>
      <c r="F112" s="16" t="s">
        <v>89</v>
      </c>
      <c r="G112" s="16" t="s">
        <v>31</v>
      </c>
      <c r="H112" s="16" t="s">
        <v>9</v>
      </c>
      <c r="I112" s="16" t="s">
        <v>85</v>
      </c>
      <c r="J112" s="16" t="s">
        <v>90</v>
      </c>
      <c r="K112" s="16" t="s">
        <v>87</v>
      </c>
      <c r="L112" s="17">
        <v>10.79</v>
      </c>
      <c r="M112" s="18">
        <f t="shared" si="6"/>
        <v>-10.79</v>
      </c>
      <c r="N112" s="16" t="s">
        <v>78</v>
      </c>
      <c r="O112" s="15" t="str">
        <f t="shared" si="7"/>
        <v>OK</v>
      </c>
    </row>
    <row r="113" spans="1:15" ht="20.100000000000001" customHeight="1" x14ac:dyDescent="0.25">
      <c r="A113" s="14">
        <v>45782</v>
      </c>
      <c r="B113" s="15" t="str">
        <f t="shared" si="4"/>
        <v>Mayo</v>
      </c>
      <c r="C113" s="15">
        <f t="shared" si="5"/>
        <v>2025</v>
      </c>
      <c r="D113" s="16" t="s">
        <v>79</v>
      </c>
      <c r="E113" s="16" t="s">
        <v>80</v>
      </c>
      <c r="F113" s="16" t="s">
        <v>91</v>
      </c>
      <c r="G113" s="16" t="s">
        <v>28</v>
      </c>
      <c r="H113" s="16" t="s">
        <v>9</v>
      </c>
      <c r="I113" s="16" t="s">
        <v>75</v>
      </c>
      <c r="J113" s="16" t="s">
        <v>92</v>
      </c>
      <c r="K113" s="16" t="s">
        <v>93</v>
      </c>
      <c r="L113" s="17">
        <v>31.79</v>
      </c>
      <c r="M113" s="18">
        <f t="shared" si="6"/>
        <v>-31.79</v>
      </c>
      <c r="N113" s="16" t="s">
        <v>78</v>
      </c>
      <c r="O113" s="15" t="str">
        <f t="shared" si="7"/>
        <v>OK</v>
      </c>
    </row>
    <row r="114" spans="1:15" ht="20.100000000000001" customHeight="1" x14ac:dyDescent="0.25">
      <c r="A114" s="14">
        <v>45783</v>
      </c>
      <c r="B114" s="15" t="str">
        <f t="shared" si="4"/>
        <v>Mayo</v>
      </c>
      <c r="C114" s="15">
        <f t="shared" si="5"/>
        <v>2025</v>
      </c>
      <c r="D114" s="16" t="s">
        <v>79</v>
      </c>
      <c r="E114" s="16" t="s">
        <v>80</v>
      </c>
      <c r="F114" s="16" t="s">
        <v>94</v>
      </c>
      <c r="G114" s="16" t="s">
        <v>28</v>
      </c>
      <c r="H114" s="16" t="s">
        <v>9</v>
      </c>
      <c r="I114" s="16" t="s">
        <v>75</v>
      </c>
      <c r="J114" s="16" t="s">
        <v>95</v>
      </c>
      <c r="K114" s="16" t="s">
        <v>93</v>
      </c>
      <c r="L114" s="17">
        <v>20.54</v>
      </c>
      <c r="M114" s="18">
        <f t="shared" si="6"/>
        <v>-20.54</v>
      </c>
      <c r="N114" s="16" t="s">
        <v>78</v>
      </c>
      <c r="O114" s="15" t="str">
        <f t="shared" si="7"/>
        <v>OK</v>
      </c>
    </row>
    <row r="115" spans="1:15" ht="20.100000000000001" customHeight="1" x14ac:dyDescent="0.25">
      <c r="A115" s="14">
        <v>45784</v>
      </c>
      <c r="B115" s="15" t="str">
        <f t="shared" si="4"/>
        <v>Mayo</v>
      </c>
      <c r="C115" s="15">
        <f t="shared" si="5"/>
        <v>2025</v>
      </c>
      <c r="D115" s="16" t="s">
        <v>79</v>
      </c>
      <c r="E115" s="16" t="s">
        <v>80</v>
      </c>
      <c r="F115" s="16" t="s">
        <v>96</v>
      </c>
      <c r="G115" s="16" t="s">
        <v>28</v>
      </c>
      <c r="H115" s="16" t="s">
        <v>9</v>
      </c>
      <c r="I115" s="16" t="s">
        <v>75</v>
      </c>
      <c r="J115" s="16" t="s">
        <v>97</v>
      </c>
      <c r="K115" s="16" t="s">
        <v>93</v>
      </c>
      <c r="L115" s="17">
        <v>35</v>
      </c>
      <c r="M115" s="18">
        <f t="shared" si="6"/>
        <v>-35</v>
      </c>
      <c r="N115" s="16" t="s">
        <v>78</v>
      </c>
      <c r="O115" s="15" t="str">
        <f t="shared" si="7"/>
        <v>OK</v>
      </c>
    </row>
    <row r="116" spans="1:15" ht="20.100000000000001" customHeight="1" x14ac:dyDescent="0.25">
      <c r="A116" s="14">
        <v>45785</v>
      </c>
      <c r="B116" s="15" t="str">
        <f t="shared" si="4"/>
        <v>Mayo</v>
      </c>
      <c r="C116" s="15">
        <f t="shared" si="5"/>
        <v>2025</v>
      </c>
      <c r="D116" s="16" t="s">
        <v>79</v>
      </c>
      <c r="E116" s="16" t="s">
        <v>80</v>
      </c>
      <c r="F116" s="16" t="s">
        <v>98</v>
      </c>
      <c r="G116" s="16" t="s">
        <v>32</v>
      </c>
      <c r="H116" s="16" t="s">
        <v>9</v>
      </c>
      <c r="I116" s="16" t="s">
        <v>75</v>
      </c>
      <c r="J116" s="16" t="s">
        <v>99</v>
      </c>
      <c r="K116" s="16" t="s">
        <v>93</v>
      </c>
      <c r="L116" s="17">
        <v>18</v>
      </c>
      <c r="M116" s="18">
        <f t="shared" si="6"/>
        <v>-18</v>
      </c>
      <c r="N116" s="16" t="s">
        <v>78</v>
      </c>
      <c r="O116" s="15" t="str">
        <f t="shared" si="7"/>
        <v>OK</v>
      </c>
    </row>
    <row r="117" spans="1:15" ht="20.100000000000001" customHeight="1" x14ac:dyDescent="0.25">
      <c r="A117" s="14">
        <v>45786</v>
      </c>
      <c r="B117" s="15" t="str">
        <f t="shared" si="4"/>
        <v>Mayo</v>
      </c>
      <c r="C117" s="15">
        <f t="shared" si="5"/>
        <v>2025</v>
      </c>
      <c r="D117" s="16" t="s">
        <v>79</v>
      </c>
      <c r="E117" s="16" t="s">
        <v>83</v>
      </c>
      <c r="F117" s="16" t="s">
        <v>100</v>
      </c>
      <c r="G117" s="16" t="s">
        <v>39</v>
      </c>
      <c r="H117" s="16" t="s">
        <v>9</v>
      </c>
      <c r="I117" s="16" t="s">
        <v>75</v>
      </c>
      <c r="J117" s="16" t="s">
        <v>101</v>
      </c>
      <c r="K117" s="16" t="s">
        <v>87</v>
      </c>
      <c r="L117" s="17">
        <v>24</v>
      </c>
      <c r="M117" s="18">
        <f t="shared" si="6"/>
        <v>-24</v>
      </c>
      <c r="N117" s="16" t="s">
        <v>78</v>
      </c>
      <c r="O117" s="15" t="str">
        <f t="shared" si="7"/>
        <v>OK</v>
      </c>
    </row>
    <row r="118" spans="1:15" ht="20.100000000000001" customHeight="1" x14ac:dyDescent="0.25">
      <c r="A118" s="14">
        <v>45787</v>
      </c>
      <c r="B118" s="15" t="str">
        <f t="shared" si="4"/>
        <v>Mayo</v>
      </c>
      <c r="C118" s="15">
        <f t="shared" si="5"/>
        <v>2025</v>
      </c>
      <c r="D118" s="16" t="s">
        <v>79</v>
      </c>
      <c r="E118" s="16" t="s">
        <v>83</v>
      </c>
      <c r="F118" s="16" t="s">
        <v>84</v>
      </c>
      <c r="G118" s="16" t="s">
        <v>29</v>
      </c>
      <c r="H118" s="16" t="s">
        <v>9</v>
      </c>
      <c r="I118" s="16" t="s">
        <v>85</v>
      </c>
      <c r="J118" s="16" t="s">
        <v>86</v>
      </c>
      <c r="K118" s="16" t="s">
        <v>87</v>
      </c>
      <c r="L118" s="17">
        <v>69.239999999999995</v>
      </c>
      <c r="M118" s="18">
        <f t="shared" si="6"/>
        <v>-69.239999999999995</v>
      </c>
      <c r="N118" s="16" t="s">
        <v>78</v>
      </c>
      <c r="O118" s="15" t="str">
        <f t="shared" si="7"/>
        <v>OK</v>
      </c>
    </row>
    <row r="119" spans="1:15" ht="20.100000000000001" customHeight="1" x14ac:dyDescent="0.25">
      <c r="A119" s="14">
        <v>45788</v>
      </c>
      <c r="B119" s="15" t="str">
        <f t="shared" si="4"/>
        <v>Mayo</v>
      </c>
      <c r="C119" s="15">
        <f t="shared" si="5"/>
        <v>2025</v>
      </c>
      <c r="D119" s="16" t="s">
        <v>79</v>
      </c>
      <c r="E119" s="16" t="s">
        <v>88</v>
      </c>
      <c r="F119" s="16" t="s">
        <v>89</v>
      </c>
      <c r="G119" s="16" t="s">
        <v>31</v>
      </c>
      <c r="H119" s="16" t="s">
        <v>9</v>
      </c>
      <c r="I119" s="16" t="s">
        <v>85</v>
      </c>
      <c r="J119" s="16" t="s">
        <v>90</v>
      </c>
      <c r="K119" s="16" t="s">
        <v>87</v>
      </c>
      <c r="L119" s="17">
        <v>12.55</v>
      </c>
      <c r="M119" s="18">
        <f t="shared" si="6"/>
        <v>-12.55</v>
      </c>
      <c r="N119" s="16" t="s">
        <v>78</v>
      </c>
      <c r="O119" s="15" t="str">
        <f t="shared" si="7"/>
        <v>OK</v>
      </c>
    </row>
    <row r="120" spans="1:15" ht="20.100000000000001" customHeight="1" x14ac:dyDescent="0.25">
      <c r="A120" s="14">
        <v>45789</v>
      </c>
      <c r="B120" s="15" t="str">
        <f t="shared" si="4"/>
        <v>Mayo</v>
      </c>
      <c r="C120" s="15">
        <f t="shared" si="5"/>
        <v>2025</v>
      </c>
      <c r="D120" s="16" t="s">
        <v>79</v>
      </c>
      <c r="E120" s="16" t="s">
        <v>83</v>
      </c>
      <c r="F120" s="16" t="s">
        <v>102</v>
      </c>
      <c r="G120" s="16" t="s">
        <v>29</v>
      </c>
      <c r="H120" s="16" t="s">
        <v>9</v>
      </c>
      <c r="I120" s="16" t="s">
        <v>85</v>
      </c>
      <c r="J120" s="16" t="s">
        <v>103</v>
      </c>
      <c r="K120" s="16" t="s">
        <v>87</v>
      </c>
      <c r="L120" s="17">
        <v>37.36</v>
      </c>
      <c r="M120" s="18">
        <f t="shared" si="6"/>
        <v>-37.36</v>
      </c>
      <c r="N120" s="16" t="s">
        <v>78</v>
      </c>
      <c r="O120" s="15" t="str">
        <f t="shared" si="7"/>
        <v>OK</v>
      </c>
    </row>
    <row r="121" spans="1:15" ht="20.100000000000001" customHeight="1" x14ac:dyDescent="0.25">
      <c r="A121" s="14">
        <v>45790</v>
      </c>
      <c r="B121" s="15" t="str">
        <f t="shared" si="4"/>
        <v>Mayo</v>
      </c>
      <c r="C121" s="15">
        <f t="shared" si="5"/>
        <v>2025</v>
      </c>
      <c r="D121" s="16" t="s">
        <v>79</v>
      </c>
      <c r="E121" s="16" t="s">
        <v>83</v>
      </c>
      <c r="F121" s="16" t="s">
        <v>105</v>
      </c>
      <c r="G121" s="16" t="s">
        <v>32</v>
      </c>
      <c r="H121" s="16" t="s">
        <v>9</v>
      </c>
      <c r="I121" s="16" t="s">
        <v>85</v>
      </c>
      <c r="J121" s="16" t="s">
        <v>106</v>
      </c>
      <c r="K121" s="16" t="s">
        <v>87</v>
      </c>
      <c r="L121" s="17">
        <v>14.52</v>
      </c>
      <c r="M121" s="18">
        <f t="shared" si="6"/>
        <v>-14.52</v>
      </c>
      <c r="N121" s="16" t="s">
        <v>78</v>
      </c>
      <c r="O121" s="15" t="str">
        <f t="shared" si="7"/>
        <v>OK</v>
      </c>
    </row>
    <row r="122" spans="1:15" ht="20.100000000000001" customHeight="1" x14ac:dyDescent="0.25">
      <c r="A122" s="14">
        <v>45791</v>
      </c>
      <c r="B122" s="15" t="str">
        <f t="shared" si="4"/>
        <v>Mayo</v>
      </c>
      <c r="C122" s="15">
        <f t="shared" si="5"/>
        <v>2025</v>
      </c>
      <c r="D122" s="16" t="s">
        <v>79</v>
      </c>
      <c r="E122" s="16" t="s">
        <v>83</v>
      </c>
      <c r="F122" s="16" t="s">
        <v>107</v>
      </c>
      <c r="G122" s="16" t="s">
        <v>33</v>
      </c>
      <c r="H122" s="16" t="s">
        <v>10</v>
      </c>
      <c r="I122" s="16" t="s">
        <v>85</v>
      </c>
      <c r="J122" s="16" t="s">
        <v>108</v>
      </c>
      <c r="K122" s="16" t="s">
        <v>104</v>
      </c>
      <c r="L122" s="17">
        <v>10.14</v>
      </c>
      <c r="M122" s="18">
        <f t="shared" si="6"/>
        <v>-10.14</v>
      </c>
      <c r="N122" s="16" t="s">
        <v>78</v>
      </c>
      <c r="O122" s="15" t="str">
        <f t="shared" si="7"/>
        <v>OK</v>
      </c>
    </row>
    <row r="123" spans="1:15" ht="20.100000000000001" customHeight="1" x14ac:dyDescent="0.25">
      <c r="A123" s="14">
        <v>45793</v>
      </c>
      <c r="B123" s="15" t="str">
        <f t="shared" si="4"/>
        <v>Mayo</v>
      </c>
      <c r="C123" s="15">
        <f t="shared" si="5"/>
        <v>2025</v>
      </c>
      <c r="D123" s="16" t="s">
        <v>79</v>
      </c>
      <c r="E123" s="16" t="s">
        <v>83</v>
      </c>
      <c r="F123" s="16" t="s">
        <v>109</v>
      </c>
      <c r="G123" s="16" t="s">
        <v>33</v>
      </c>
      <c r="H123" s="16" t="s">
        <v>10</v>
      </c>
      <c r="I123" s="16" t="s">
        <v>85</v>
      </c>
      <c r="J123" s="16" t="s">
        <v>110</v>
      </c>
      <c r="K123" s="16" t="s">
        <v>87</v>
      </c>
      <c r="L123" s="17">
        <v>33.51</v>
      </c>
      <c r="M123" s="18">
        <f t="shared" si="6"/>
        <v>-33.51</v>
      </c>
      <c r="N123" s="16" t="s">
        <v>78</v>
      </c>
      <c r="O123" s="15" t="str">
        <f t="shared" si="7"/>
        <v>OK</v>
      </c>
    </row>
    <row r="124" spans="1:15" ht="20.100000000000001" customHeight="1" x14ac:dyDescent="0.25">
      <c r="A124" s="14">
        <v>45794</v>
      </c>
      <c r="B124" s="15" t="str">
        <f t="shared" si="4"/>
        <v>Mayo</v>
      </c>
      <c r="C124" s="15">
        <f t="shared" si="5"/>
        <v>2025</v>
      </c>
      <c r="D124" s="16" t="s">
        <v>79</v>
      </c>
      <c r="E124" s="16" t="s">
        <v>83</v>
      </c>
      <c r="F124" s="16" t="s">
        <v>84</v>
      </c>
      <c r="G124" s="16" t="s">
        <v>29</v>
      </c>
      <c r="H124" s="16" t="s">
        <v>9</v>
      </c>
      <c r="I124" s="16" t="s">
        <v>85</v>
      </c>
      <c r="J124" s="16" t="s">
        <v>86</v>
      </c>
      <c r="K124" s="16" t="s">
        <v>87</v>
      </c>
      <c r="L124" s="17">
        <v>99.52</v>
      </c>
      <c r="M124" s="18">
        <f t="shared" si="6"/>
        <v>-99.52</v>
      </c>
      <c r="N124" s="16" t="s">
        <v>78</v>
      </c>
      <c r="O124" s="15" t="str">
        <f t="shared" si="7"/>
        <v>OK</v>
      </c>
    </row>
    <row r="125" spans="1:15" ht="20.100000000000001" customHeight="1" x14ac:dyDescent="0.25">
      <c r="A125" s="14">
        <v>45795</v>
      </c>
      <c r="B125" s="15" t="str">
        <f t="shared" si="4"/>
        <v>Mayo</v>
      </c>
      <c r="C125" s="15">
        <f t="shared" si="5"/>
        <v>2025</v>
      </c>
      <c r="D125" s="16" t="s">
        <v>79</v>
      </c>
      <c r="E125" s="16" t="s">
        <v>88</v>
      </c>
      <c r="F125" s="16" t="s">
        <v>89</v>
      </c>
      <c r="G125" s="16" t="s">
        <v>31</v>
      </c>
      <c r="H125" s="16" t="s">
        <v>9</v>
      </c>
      <c r="I125" s="16" t="s">
        <v>85</v>
      </c>
      <c r="J125" s="16" t="s">
        <v>90</v>
      </c>
      <c r="K125" s="16" t="s">
        <v>87</v>
      </c>
      <c r="L125" s="17">
        <v>10.72</v>
      </c>
      <c r="M125" s="18">
        <f t="shared" si="6"/>
        <v>-10.72</v>
      </c>
      <c r="N125" s="16" t="s">
        <v>78</v>
      </c>
      <c r="O125" s="15" t="str">
        <f t="shared" si="7"/>
        <v>OK</v>
      </c>
    </row>
    <row r="126" spans="1:15" ht="20.100000000000001" customHeight="1" x14ac:dyDescent="0.25">
      <c r="A126" s="14">
        <v>45797</v>
      </c>
      <c r="B126" s="15" t="str">
        <f t="shared" si="4"/>
        <v>Mayo</v>
      </c>
      <c r="C126" s="15">
        <f t="shared" si="5"/>
        <v>2025</v>
      </c>
      <c r="D126" s="16" t="s">
        <v>79</v>
      </c>
      <c r="E126" s="16" t="s">
        <v>83</v>
      </c>
      <c r="F126" s="16" t="s">
        <v>107</v>
      </c>
      <c r="G126" s="16" t="s">
        <v>33</v>
      </c>
      <c r="H126" s="16" t="s">
        <v>10</v>
      </c>
      <c r="I126" s="16" t="s">
        <v>85</v>
      </c>
      <c r="J126" s="16" t="s">
        <v>108</v>
      </c>
      <c r="K126" s="16" t="s">
        <v>104</v>
      </c>
      <c r="L126" s="17">
        <v>30.46</v>
      </c>
      <c r="M126" s="18">
        <f t="shared" si="6"/>
        <v>-30.46</v>
      </c>
      <c r="N126" s="16" t="s">
        <v>78</v>
      </c>
      <c r="O126" s="15" t="str">
        <f t="shared" si="7"/>
        <v>OK</v>
      </c>
    </row>
    <row r="127" spans="1:15" ht="20.100000000000001" customHeight="1" x14ac:dyDescent="0.25">
      <c r="A127" s="14">
        <v>45801</v>
      </c>
      <c r="B127" s="15" t="str">
        <f t="shared" si="4"/>
        <v>Mayo</v>
      </c>
      <c r="C127" s="15">
        <f t="shared" si="5"/>
        <v>2025</v>
      </c>
      <c r="D127" s="16" t="s">
        <v>79</v>
      </c>
      <c r="E127" s="16" t="s">
        <v>83</v>
      </c>
      <c r="F127" s="16" t="s">
        <v>84</v>
      </c>
      <c r="G127" s="16" t="s">
        <v>29</v>
      </c>
      <c r="H127" s="16" t="s">
        <v>9</v>
      </c>
      <c r="I127" s="16" t="s">
        <v>85</v>
      </c>
      <c r="J127" s="16" t="s">
        <v>86</v>
      </c>
      <c r="K127" s="16" t="s">
        <v>87</v>
      </c>
      <c r="L127" s="17">
        <v>97.78</v>
      </c>
      <c r="M127" s="18">
        <f t="shared" si="6"/>
        <v>-97.78</v>
      </c>
      <c r="N127" s="16" t="s">
        <v>78</v>
      </c>
      <c r="O127" s="15" t="str">
        <f t="shared" si="7"/>
        <v>OK</v>
      </c>
    </row>
    <row r="128" spans="1:15" ht="20.100000000000001" customHeight="1" x14ac:dyDescent="0.25">
      <c r="A128" s="14">
        <v>45802</v>
      </c>
      <c r="B128" s="15" t="str">
        <f t="shared" si="4"/>
        <v>Mayo</v>
      </c>
      <c r="C128" s="15">
        <f t="shared" si="5"/>
        <v>2025</v>
      </c>
      <c r="D128" s="16" t="s">
        <v>79</v>
      </c>
      <c r="E128" s="16" t="s">
        <v>88</v>
      </c>
      <c r="F128" s="16" t="s">
        <v>89</v>
      </c>
      <c r="G128" s="16" t="s">
        <v>31</v>
      </c>
      <c r="H128" s="16" t="s">
        <v>9</v>
      </c>
      <c r="I128" s="16" t="s">
        <v>85</v>
      </c>
      <c r="J128" s="16" t="s">
        <v>90</v>
      </c>
      <c r="K128" s="16" t="s">
        <v>87</v>
      </c>
      <c r="L128" s="17">
        <v>6.83</v>
      </c>
      <c r="M128" s="18">
        <f t="shared" si="6"/>
        <v>-6.83</v>
      </c>
      <c r="N128" s="16" t="s">
        <v>78</v>
      </c>
      <c r="O128" s="15" t="str">
        <f t="shared" si="7"/>
        <v>OK</v>
      </c>
    </row>
    <row r="129" spans="1:15" ht="20.100000000000001" customHeight="1" x14ac:dyDescent="0.25">
      <c r="A129" s="14">
        <v>45803</v>
      </c>
      <c r="B129" s="15" t="str">
        <f t="shared" si="4"/>
        <v>Mayo</v>
      </c>
      <c r="C129" s="15">
        <f t="shared" si="5"/>
        <v>2025</v>
      </c>
      <c r="D129" s="16" t="s">
        <v>79</v>
      </c>
      <c r="E129" s="16" t="s">
        <v>83</v>
      </c>
      <c r="F129" s="16" t="s">
        <v>102</v>
      </c>
      <c r="G129" s="16" t="s">
        <v>29</v>
      </c>
      <c r="H129" s="16" t="s">
        <v>9</v>
      </c>
      <c r="I129" s="16" t="s">
        <v>85</v>
      </c>
      <c r="J129" s="16" t="s">
        <v>103</v>
      </c>
      <c r="K129" s="16" t="s">
        <v>87</v>
      </c>
      <c r="L129" s="17">
        <v>33.65</v>
      </c>
      <c r="M129" s="18">
        <f t="shared" si="6"/>
        <v>-33.65</v>
      </c>
      <c r="N129" s="16" t="s">
        <v>78</v>
      </c>
      <c r="O129" s="15" t="str">
        <f t="shared" si="7"/>
        <v>OK</v>
      </c>
    </row>
    <row r="130" spans="1:15" ht="20.100000000000001" customHeight="1" x14ac:dyDescent="0.25">
      <c r="A130" s="14">
        <v>45804</v>
      </c>
      <c r="B130" s="15" t="str">
        <f t="shared" si="4"/>
        <v>Mayo</v>
      </c>
      <c r="C130" s="15">
        <f t="shared" si="5"/>
        <v>2025</v>
      </c>
      <c r="D130" s="16" t="s">
        <v>30</v>
      </c>
      <c r="E130" s="16" t="s">
        <v>113</v>
      </c>
      <c r="F130" s="16" t="s">
        <v>114</v>
      </c>
      <c r="G130" s="16" t="s">
        <v>41</v>
      </c>
      <c r="H130" s="16" t="s">
        <v>30</v>
      </c>
      <c r="I130" s="16" t="s">
        <v>75</v>
      </c>
      <c r="J130" s="16" t="s">
        <v>115</v>
      </c>
      <c r="K130" s="16" t="s">
        <v>77</v>
      </c>
      <c r="L130" s="17">
        <v>235.5</v>
      </c>
      <c r="M130" s="18">
        <f t="shared" si="6"/>
        <v>-235.5</v>
      </c>
      <c r="N130" s="16" t="s">
        <v>78</v>
      </c>
      <c r="O130" s="15" t="str">
        <f t="shared" si="7"/>
        <v>OK</v>
      </c>
    </row>
    <row r="131" spans="1:15" ht="20.100000000000001" customHeight="1" x14ac:dyDescent="0.25">
      <c r="A131" s="14">
        <v>45805</v>
      </c>
      <c r="B131" s="15" t="str">
        <f t="shared" si="4"/>
        <v>Mayo</v>
      </c>
      <c r="C131" s="15">
        <f t="shared" si="5"/>
        <v>2025</v>
      </c>
      <c r="D131" s="16" t="s">
        <v>79</v>
      </c>
      <c r="E131" s="16" t="s">
        <v>83</v>
      </c>
      <c r="F131" s="16" t="s">
        <v>107</v>
      </c>
      <c r="G131" s="16" t="s">
        <v>33</v>
      </c>
      <c r="H131" s="16" t="s">
        <v>10</v>
      </c>
      <c r="I131" s="16" t="s">
        <v>85</v>
      </c>
      <c r="J131" s="16" t="s">
        <v>108</v>
      </c>
      <c r="K131" s="16" t="s">
        <v>87</v>
      </c>
      <c r="L131" s="17">
        <v>15.34</v>
      </c>
      <c r="M131" s="18">
        <f t="shared" si="6"/>
        <v>-15.34</v>
      </c>
      <c r="N131" s="16" t="s">
        <v>78</v>
      </c>
      <c r="O131" s="15" t="str">
        <f t="shared" si="7"/>
        <v>OK</v>
      </c>
    </row>
    <row r="132" spans="1:15" ht="20.100000000000001" customHeight="1" x14ac:dyDescent="0.25">
      <c r="A132" s="14">
        <v>45805</v>
      </c>
      <c r="B132" s="15" t="str">
        <f t="shared" si="4"/>
        <v>Mayo</v>
      </c>
      <c r="C132" s="15">
        <f t="shared" si="5"/>
        <v>2025</v>
      </c>
      <c r="D132" s="16" t="s">
        <v>30</v>
      </c>
      <c r="E132" s="16" t="s">
        <v>113</v>
      </c>
      <c r="F132" s="16" t="s">
        <v>116</v>
      </c>
      <c r="G132" s="16" t="s">
        <v>41</v>
      </c>
      <c r="H132" s="16" t="s">
        <v>30</v>
      </c>
      <c r="I132" s="16" t="s">
        <v>85</v>
      </c>
      <c r="J132" s="16" t="s">
        <v>117</v>
      </c>
      <c r="K132" s="16" t="s">
        <v>77</v>
      </c>
      <c r="L132" s="17">
        <v>59.66</v>
      </c>
      <c r="M132" s="18">
        <f t="shared" si="6"/>
        <v>-59.66</v>
      </c>
      <c r="N132" s="16" t="s">
        <v>78</v>
      </c>
      <c r="O132" s="15" t="str">
        <f t="shared" si="7"/>
        <v>OK</v>
      </c>
    </row>
    <row r="133" spans="1:15" ht="20.100000000000001" customHeight="1" x14ac:dyDescent="0.25">
      <c r="A133" s="14">
        <v>45809</v>
      </c>
      <c r="B133" s="15" t="str">
        <f t="shared" si="4"/>
        <v>Junio</v>
      </c>
      <c r="C133" s="15">
        <f t="shared" si="5"/>
        <v>2025</v>
      </c>
      <c r="D133" s="16" t="s">
        <v>71</v>
      </c>
      <c r="E133" s="16" t="s">
        <v>72</v>
      </c>
      <c r="F133" s="16" t="s">
        <v>73</v>
      </c>
      <c r="G133" s="16" t="s">
        <v>74</v>
      </c>
      <c r="H133" s="16" t="s">
        <v>37</v>
      </c>
      <c r="I133" s="16" t="s">
        <v>75</v>
      </c>
      <c r="J133" s="16" t="s">
        <v>76</v>
      </c>
      <c r="K133" s="16" t="s">
        <v>77</v>
      </c>
      <c r="L133" s="17">
        <v>2422.88</v>
      </c>
      <c r="M133" s="18">
        <f t="shared" si="6"/>
        <v>2422.88</v>
      </c>
      <c r="N133" s="16" t="s">
        <v>78</v>
      </c>
      <c r="O133" s="15" t="str">
        <f t="shared" si="7"/>
        <v>OK</v>
      </c>
    </row>
    <row r="134" spans="1:15" ht="20.100000000000001" customHeight="1" x14ac:dyDescent="0.25">
      <c r="A134" s="14">
        <v>45810</v>
      </c>
      <c r="B134" s="15" t="str">
        <f t="shared" si="4"/>
        <v>Junio</v>
      </c>
      <c r="C134" s="15">
        <f t="shared" si="5"/>
        <v>2025</v>
      </c>
      <c r="D134" s="16" t="s">
        <v>79</v>
      </c>
      <c r="E134" s="16" t="s">
        <v>80</v>
      </c>
      <c r="F134" s="16" t="s">
        <v>81</v>
      </c>
      <c r="G134" s="16" t="s">
        <v>28</v>
      </c>
      <c r="H134" s="16" t="s">
        <v>9</v>
      </c>
      <c r="I134" s="16" t="s">
        <v>75</v>
      </c>
      <c r="J134" s="16" t="s">
        <v>82</v>
      </c>
      <c r="K134" s="16" t="s">
        <v>77</v>
      </c>
      <c r="L134" s="17">
        <v>980</v>
      </c>
      <c r="M134" s="18">
        <f t="shared" si="6"/>
        <v>-980</v>
      </c>
      <c r="N134" s="16" t="s">
        <v>78</v>
      </c>
      <c r="O134" s="15" t="str">
        <f t="shared" si="7"/>
        <v>OK</v>
      </c>
    </row>
    <row r="135" spans="1:15" ht="20.100000000000001" customHeight="1" x14ac:dyDescent="0.25">
      <c r="A135" s="14">
        <v>45811</v>
      </c>
      <c r="B135" s="15" t="str">
        <f t="shared" si="4"/>
        <v>Junio</v>
      </c>
      <c r="C135" s="15">
        <f t="shared" si="5"/>
        <v>2025</v>
      </c>
      <c r="D135" s="16" t="s">
        <v>79</v>
      </c>
      <c r="E135" s="16" t="s">
        <v>83</v>
      </c>
      <c r="F135" s="16" t="s">
        <v>84</v>
      </c>
      <c r="G135" s="16" t="s">
        <v>29</v>
      </c>
      <c r="H135" s="16" t="s">
        <v>9</v>
      </c>
      <c r="I135" s="16" t="s">
        <v>85</v>
      </c>
      <c r="J135" s="16" t="s">
        <v>86</v>
      </c>
      <c r="K135" s="16" t="s">
        <v>87</v>
      </c>
      <c r="L135" s="17">
        <v>67.17</v>
      </c>
      <c r="M135" s="18">
        <f t="shared" si="6"/>
        <v>-67.17</v>
      </c>
      <c r="N135" s="16" t="s">
        <v>78</v>
      </c>
      <c r="O135" s="15" t="str">
        <f t="shared" si="7"/>
        <v>OK</v>
      </c>
    </row>
    <row r="136" spans="1:15" ht="20.100000000000001" customHeight="1" x14ac:dyDescent="0.25">
      <c r="A136" s="14">
        <v>45812</v>
      </c>
      <c r="B136" s="15" t="str">
        <f t="shared" si="4"/>
        <v>Junio</v>
      </c>
      <c r="C136" s="15">
        <f t="shared" si="5"/>
        <v>2025</v>
      </c>
      <c r="D136" s="16" t="s">
        <v>79</v>
      </c>
      <c r="E136" s="16" t="s">
        <v>88</v>
      </c>
      <c r="F136" s="16" t="s">
        <v>89</v>
      </c>
      <c r="G136" s="16" t="s">
        <v>31</v>
      </c>
      <c r="H136" s="16" t="s">
        <v>9</v>
      </c>
      <c r="I136" s="16" t="s">
        <v>85</v>
      </c>
      <c r="J136" s="16" t="s">
        <v>90</v>
      </c>
      <c r="K136" s="16" t="s">
        <v>87</v>
      </c>
      <c r="L136" s="17">
        <v>12.07</v>
      </c>
      <c r="M136" s="18">
        <f t="shared" si="6"/>
        <v>-12.07</v>
      </c>
      <c r="N136" s="16" t="s">
        <v>78</v>
      </c>
      <c r="O136" s="15" t="str">
        <f t="shared" si="7"/>
        <v>OK</v>
      </c>
    </row>
    <row r="137" spans="1:15" ht="20.100000000000001" customHeight="1" x14ac:dyDescent="0.25">
      <c r="A137" s="14">
        <v>45813</v>
      </c>
      <c r="B137" s="15" t="str">
        <f t="shared" ref="B137:B200" si="8">IF(A137="","",CHOOSE(MONTH(A137),"Enero","Febrero","Marzo","Abril","Mayo","Junio","Julio","Agosto","Septiembre","Octubre","Noviembre","Diciembre"))</f>
        <v>Junio</v>
      </c>
      <c r="C137" s="15">
        <f t="shared" ref="C137:C200" si="9">IF(A137="","",YEAR(A137))</f>
        <v>2025</v>
      </c>
      <c r="D137" s="16" t="s">
        <v>79</v>
      </c>
      <c r="E137" s="16" t="s">
        <v>80</v>
      </c>
      <c r="F137" s="16" t="s">
        <v>91</v>
      </c>
      <c r="G137" s="16" t="s">
        <v>28</v>
      </c>
      <c r="H137" s="16" t="s">
        <v>9</v>
      </c>
      <c r="I137" s="16" t="s">
        <v>75</v>
      </c>
      <c r="J137" s="16" t="s">
        <v>92</v>
      </c>
      <c r="K137" s="16" t="s">
        <v>93</v>
      </c>
      <c r="L137" s="17">
        <v>28.44</v>
      </c>
      <c r="M137" s="18">
        <f t="shared" ref="M137:M200" si="10">IF(A137="","",IF(D137="Ingreso",L137,IF(D137="Ahorro",-L137,IF(D137="Transferencia",0,-L137))))</f>
        <v>-28.44</v>
      </c>
      <c r="N137" s="16" t="s">
        <v>78</v>
      </c>
      <c r="O137" s="15" t="str">
        <f t="shared" ref="O137:O200" si="11">IF(COUNTA(A137:N137)=0,"",IF(OR(A137="",D137="",F137="",G137="",H137="",I137="",L137=""),"Revisar","OK"))</f>
        <v>OK</v>
      </c>
    </row>
    <row r="138" spans="1:15" ht="20.100000000000001" customHeight="1" x14ac:dyDescent="0.25">
      <c r="A138" s="14">
        <v>45814</v>
      </c>
      <c r="B138" s="15" t="str">
        <f t="shared" si="8"/>
        <v>Junio</v>
      </c>
      <c r="C138" s="15">
        <f t="shared" si="9"/>
        <v>2025</v>
      </c>
      <c r="D138" s="16" t="s">
        <v>79</v>
      </c>
      <c r="E138" s="16" t="s">
        <v>80</v>
      </c>
      <c r="F138" s="16" t="s">
        <v>94</v>
      </c>
      <c r="G138" s="16" t="s">
        <v>28</v>
      </c>
      <c r="H138" s="16" t="s">
        <v>9</v>
      </c>
      <c r="I138" s="16" t="s">
        <v>75</v>
      </c>
      <c r="J138" s="16" t="s">
        <v>95</v>
      </c>
      <c r="K138" s="16" t="s">
        <v>93</v>
      </c>
      <c r="L138" s="17">
        <v>23.64</v>
      </c>
      <c r="M138" s="18">
        <f t="shared" si="10"/>
        <v>-23.64</v>
      </c>
      <c r="N138" s="16" t="s">
        <v>78</v>
      </c>
      <c r="O138" s="15" t="str">
        <f t="shared" si="11"/>
        <v>OK</v>
      </c>
    </row>
    <row r="139" spans="1:15" ht="20.100000000000001" customHeight="1" x14ac:dyDescent="0.25">
      <c r="A139" s="14">
        <v>45815</v>
      </c>
      <c r="B139" s="15" t="str">
        <f t="shared" si="8"/>
        <v>Junio</v>
      </c>
      <c r="C139" s="15">
        <f t="shared" si="9"/>
        <v>2025</v>
      </c>
      <c r="D139" s="16" t="s">
        <v>79</v>
      </c>
      <c r="E139" s="16" t="s">
        <v>80</v>
      </c>
      <c r="F139" s="16" t="s">
        <v>96</v>
      </c>
      <c r="G139" s="16" t="s">
        <v>28</v>
      </c>
      <c r="H139" s="16" t="s">
        <v>9</v>
      </c>
      <c r="I139" s="16" t="s">
        <v>75</v>
      </c>
      <c r="J139" s="16" t="s">
        <v>97</v>
      </c>
      <c r="K139" s="16" t="s">
        <v>93</v>
      </c>
      <c r="L139" s="17">
        <v>35</v>
      </c>
      <c r="M139" s="18">
        <f t="shared" si="10"/>
        <v>-35</v>
      </c>
      <c r="N139" s="16" t="s">
        <v>78</v>
      </c>
      <c r="O139" s="15" t="str">
        <f t="shared" si="11"/>
        <v>OK</v>
      </c>
    </row>
    <row r="140" spans="1:15" ht="20.100000000000001" customHeight="1" x14ac:dyDescent="0.25">
      <c r="A140" s="14">
        <v>45816</v>
      </c>
      <c r="B140" s="15" t="str">
        <f t="shared" si="8"/>
        <v>Junio</v>
      </c>
      <c r="C140" s="15">
        <f t="shared" si="9"/>
        <v>2025</v>
      </c>
      <c r="D140" s="16" t="s">
        <v>79</v>
      </c>
      <c r="E140" s="16" t="s">
        <v>80</v>
      </c>
      <c r="F140" s="16" t="s">
        <v>98</v>
      </c>
      <c r="G140" s="16" t="s">
        <v>32</v>
      </c>
      <c r="H140" s="16" t="s">
        <v>9</v>
      </c>
      <c r="I140" s="16" t="s">
        <v>75</v>
      </c>
      <c r="J140" s="16" t="s">
        <v>99</v>
      </c>
      <c r="K140" s="16" t="s">
        <v>93</v>
      </c>
      <c r="L140" s="17">
        <v>18</v>
      </c>
      <c r="M140" s="18">
        <f t="shared" si="10"/>
        <v>-18</v>
      </c>
      <c r="N140" s="16" t="s">
        <v>78</v>
      </c>
      <c r="O140" s="15" t="str">
        <f t="shared" si="11"/>
        <v>OK</v>
      </c>
    </row>
    <row r="141" spans="1:15" ht="20.100000000000001" customHeight="1" x14ac:dyDescent="0.25">
      <c r="A141" s="14">
        <v>45817</v>
      </c>
      <c r="B141" s="15" t="str">
        <f t="shared" si="8"/>
        <v>Junio</v>
      </c>
      <c r="C141" s="15">
        <f t="shared" si="9"/>
        <v>2025</v>
      </c>
      <c r="D141" s="16" t="s">
        <v>79</v>
      </c>
      <c r="E141" s="16" t="s">
        <v>83</v>
      </c>
      <c r="F141" s="16" t="s">
        <v>100</v>
      </c>
      <c r="G141" s="16" t="s">
        <v>39</v>
      </c>
      <c r="H141" s="16" t="s">
        <v>9</v>
      </c>
      <c r="I141" s="16" t="s">
        <v>75</v>
      </c>
      <c r="J141" s="16" t="s">
        <v>101</v>
      </c>
      <c r="K141" s="16" t="s">
        <v>87</v>
      </c>
      <c r="L141" s="17">
        <v>24</v>
      </c>
      <c r="M141" s="18">
        <f t="shared" si="10"/>
        <v>-24</v>
      </c>
      <c r="N141" s="16" t="s">
        <v>78</v>
      </c>
      <c r="O141" s="15" t="str">
        <f t="shared" si="11"/>
        <v>OK</v>
      </c>
    </row>
    <row r="142" spans="1:15" ht="20.100000000000001" customHeight="1" x14ac:dyDescent="0.25">
      <c r="A142" s="14">
        <v>45818</v>
      </c>
      <c r="B142" s="15" t="str">
        <f t="shared" si="8"/>
        <v>Junio</v>
      </c>
      <c r="C142" s="15">
        <f t="shared" si="9"/>
        <v>2025</v>
      </c>
      <c r="D142" s="16" t="s">
        <v>79</v>
      </c>
      <c r="E142" s="16" t="s">
        <v>83</v>
      </c>
      <c r="F142" s="16" t="s">
        <v>84</v>
      </c>
      <c r="G142" s="16" t="s">
        <v>29</v>
      </c>
      <c r="H142" s="16" t="s">
        <v>9</v>
      </c>
      <c r="I142" s="16" t="s">
        <v>85</v>
      </c>
      <c r="J142" s="16" t="s">
        <v>86</v>
      </c>
      <c r="K142" s="16" t="s">
        <v>87</v>
      </c>
      <c r="L142" s="17">
        <v>81.48</v>
      </c>
      <c r="M142" s="18">
        <f t="shared" si="10"/>
        <v>-81.48</v>
      </c>
      <c r="N142" s="16" t="s">
        <v>78</v>
      </c>
      <c r="O142" s="15" t="str">
        <f t="shared" si="11"/>
        <v>OK</v>
      </c>
    </row>
    <row r="143" spans="1:15" ht="20.100000000000001" customHeight="1" x14ac:dyDescent="0.25">
      <c r="A143" s="14">
        <v>45819</v>
      </c>
      <c r="B143" s="15" t="str">
        <f t="shared" si="8"/>
        <v>Junio</v>
      </c>
      <c r="C143" s="15">
        <f t="shared" si="9"/>
        <v>2025</v>
      </c>
      <c r="D143" s="16" t="s">
        <v>79</v>
      </c>
      <c r="E143" s="16" t="s">
        <v>88</v>
      </c>
      <c r="F143" s="16" t="s">
        <v>89</v>
      </c>
      <c r="G143" s="16" t="s">
        <v>31</v>
      </c>
      <c r="H143" s="16" t="s">
        <v>9</v>
      </c>
      <c r="I143" s="16" t="s">
        <v>85</v>
      </c>
      <c r="J143" s="16" t="s">
        <v>90</v>
      </c>
      <c r="K143" s="16" t="s">
        <v>87</v>
      </c>
      <c r="L143" s="17">
        <v>9.76</v>
      </c>
      <c r="M143" s="18">
        <f t="shared" si="10"/>
        <v>-9.76</v>
      </c>
      <c r="N143" s="16" t="s">
        <v>78</v>
      </c>
      <c r="O143" s="15" t="str">
        <f t="shared" si="11"/>
        <v>OK</v>
      </c>
    </row>
    <row r="144" spans="1:15" ht="20.100000000000001" customHeight="1" x14ac:dyDescent="0.25">
      <c r="A144" s="14">
        <v>45820</v>
      </c>
      <c r="B144" s="15" t="str">
        <f t="shared" si="8"/>
        <v>Junio</v>
      </c>
      <c r="C144" s="15">
        <f t="shared" si="9"/>
        <v>2025</v>
      </c>
      <c r="D144" s="16" t="s">
        <v>79</v>
      </c>
      <c r="E144" s="16" t="s">
        <v>83</v>
      </c>
      <c r="F144" s="16" t="s">
        <v>102</v>
      </c>
      <c r="G144" s="16" t="s">
        <v>29</v>
      </c>
      <c r="H144" s="16" t="s">
        <v>9</v>
      </c>
      <c r="I144" s="16" t="s">
        <v>85</v>
      </c>
      <c r="J144" s="16" t="s">
        <v>103</v>
      </c>
      <c r="K144" s="16" t="s">
        <v>104</v>
      </c>
      <c r="L144" s="17">
        <v>52</v>
      </c>
      <c r="M144" s="18">
        <f t="shared" si="10"/>
        <v>-52</v>
      </c>
      <c r="N144" s="16" t="s">
        <v>78</v>
      </c>
      <c r="O144" s="15" t="str">
        <f t="shared" si="11"/>
        <v>OK</v>
      </c>
    </row>
    <row r="145" spans="1:15" ht="20.100000000000001" customHeight="1" x14ac:dyDescent="0.25">
      <c r="A145" s="14">
        <v>45822</v>
      </c>
      <c r="B145" s="15" t="str">
        <f t="shared" si="8"/>
        <v>Junio</v>
      </c>
      <c r="C145" s="15">
        <f t="shared" si="9"/>
        <v>2025</v>
      </c>
      <c r="D145" s="16" t="s">
        <v>79</v>
      </c>
      <c r="E145" s="16" t="s">
        <v>83</v>
      </c>
      <c r="F145" s="16" t="s">
        <v>107</v>
      </c>
      <c r="G145" s="16" t="s">
        <v>33</v>
      </c>
      <c r="H145" s="16" t="s">
        <v>10</v>
      </c>
      <c r="I145" s="16" t="s">
        <v>85</v>
      </c>
      <c r="J145" s="16" t="s">
        <v>108</v>
      </c>
      <c r="K145" s="16" t="s">
        <v>87</v>
      </c>
      <c r="L145" s="17">
        <v>20.350000000000001</v>
      </c>
      <c r="M145" s="18">
        <f t="shared" si="10"/>
        <v>-20.350000000000001</v>
      </c>
      <c r="N145" s="16" t="s">
        <v>78</v>
      </c>
      <c r="O145" s="15" t="str">
        <f t="shared" si="11"/>
        <v>OK</v>
      </c>
    </row>
    <row r="146" spans="1:15" ht="20.100000000000001" customHeight="1" x14ac:dyDescent="0.25">
      <c r="A146" s="14">
        <v>45823</v>
      </c>
      <c r="B146" s="15" t="str">
        <f t="shared" si="8"/>
        <v>Junio</v>
      </c>
      <c r="C146" s="15">
        <f t="shared" si="9"/>
        <v>2025</v>
      </c>
      <c r="D146" s="16" t="s">
        <v>79</v>
      </c>
      <c r="E146" s="16" t="s">
        <v>83</v>
      </c>
      <c r="F146" s="16" t="s">
        <v>111</v>
      </c>
      <c r="G146" s="16" t="s">
        <v>35</v>
      </c>
      <c r="H146" s="16" t="s">
        <v>10</v>
      </c>
      <c r="I146" s="16" t="s">
        <v>85</v>
      </c>
      <c r="J146" s="16" t="s">
        <v>112</v>
      </c>
      <c r="K146" s="16" t="s">
        <v>87</v>
      </c>
      <c r="L146" s="17">
        <v>29.2</v>
      </c>
      <c r="M146" s="18">
        <f t="shared" si="10"/>
        <v>-29.2</v>
      </c>
      <c r="N146" s="16" t="s">
        <v>78</v>
      </c>
      <c r="O146" s="15" t="str">
        <f t="shared" si="11"/>
        <v>OK</v>
      </c>
    </row>
    <row r="147" spans="1:15" ht="20.100000000000001" customHeight="1" x14ac:dyDescent="0.25">
      <c r="A147" s="14">
        <v>45825</v>
      </c>
      <c r="B147" s="15" t="str">
        <f t="shared" si="8"/>
        <v>Junio</v>
      </c>
      <c r="C147" s="15">
        <f t="shared" si="9"/>
        <v>2025</v>
      </c>
      <c r="D147" s="16" t="s">
        <v>79</v>
      </c>
      <c r="E147" s="16" t="s">
        <v>83</v>
      </c>
      <c r="F147" s="16" t="s">
        <v>84</v>
      </c>
      <c r="G147" s="16" t="s">
        <v>29</v>
      </c>
      <c r="H147" s="16" t="s">
        <v>9</v>
      </c>
      <c r="I147" s="16" t="s">
        <v>85</v>
      </c>
      <c r="J147" s="16" t="s">
        <v>86</v>
      </c>
      <c r="K147" s="16" t="s">
        <v>87</v>
      </c>
      <c r="L147" s="17">
        <v>84.55</v>
      </c>
      <c r="M147" s="18">
        <f t="shared" si="10"/>
        <v>-84.55</v>
      </c>
      <c r="N147" s="16" t="s">
        <v>78</v>
      </c>
      <c r="O147" s="15" t="str">
        <f t="shared" si="11"/>
        <v>OK</v>
      </c>
    </row>
    <row r="148" spans="1:15" ht="20.100000000000001" customHeight="1" x14ac:dyDescent="0.25">
      <c r="A148" s="14">
        <v>45826</v>
      </c>
      <c r="B148" s="15" t="str">
        <f t="shared" si="8"/>
        <v>Junio</v>
      </c>
      <c r="C148" s="15">
        <f t="shared" si="9"/>
        <v>2025</v>
      </c>
      <c r="D148" s="16" t="s">
        <v>79</v>
      </c>
      <c r="E148" s="16" t="s">
        <v>88</v>
      </c>
      <c r="F148" s="16" t="s">
        <v>89</v>
      </c>
      <c r="G148" s="16" t="s">
        <v>31</v>
      </c>
      <c r="H148" s="16" t="s">
        <v>9</v>
      </c>
      <c r="I148" s="16" t="s">
        <v>85</v>
      </c>
      <c r="J148" s="16" t="s">
        <v>90</v>
      </c>
      <c r="K148" s="16" t="s">
        <v>87</v>
      </c>
      <c r="L148" s="17">
        <v>11.76</v>
      </c>
      <c r="M148" s="18">
        <f t="shared" si="10"/>
        <v>-11.76</v>
      </c>
      <c r="N148" s="16" t="s">
        <v>78</v>
      </c>
      <c r="O148" s="15" t="str">
        <f t="shared" si="11"/>
        <v>OK</v>
      </c>
    </row>
    <row r="149" spans="1:15" ht="20.100000000000001" customHeight="1" x14ac:dyDescent="0.25">
      <c r="A149" s="14">
        <v>45828</v>
      </c>
      <c r="B149" s="15" t="str">
        <f t="shared" si="8"/>
        <v>Junio</v>
      </c>
      <c r="C149" s="15">
        <f t="shared" si="9"/>
        <v>2025</v>
      </c>
      <c r="D149" s="16" t="s">
        <v>79</v>
      </c>
      <c r="E149" s="16" t="s">
        <v>83</v>
      </c>
      <c r="F149" s="16" t="s">
        <v>107</v>
      </c>
      <c r="G149" s="16" t="s">
        <v>33</v>
      </c>
      <c r="H149" s="16" t="s">
        <v>10</v>
      </c>
      <c r="I149" s="16" t="s">
        <v>85</v>
      </c>
      <c r="J149" s="16" t="s">
        <v>108</v>
      </c>
      <c r="K149" s="16" t="s">
        <v>104</v>
      </c>
      <c r="L149" s="17">
        <v>14.99</v>
      </c>
      <c r="M149" s="18">
        <f t="shared" si="10"/>
        <v>-14.99</v>
      </c>
      <c r="N149" s="16" t="s">
        <v>78</v>
      </c>
      <c r="O149" s="15" t="str">
        <f t="shared" si="11"/>
        <v>OK</v>
      </c>
    </row>
    <row r="150" spans="1:15" ht="20.100000000000001" customHeight="1" x14ac:dyDescent="0.25">
      <c r="A150" s="14">
        <v>45829</v>
      </c>
      <c r="B150" s="15" t="str">
        <f t="shared" si="8"/>
        <v>Junio</v>
      </c>
      <c r="C150" s="15">
        <f t="shared" si="9"/>
        <v>2025</v>
      </c>
      <c r="D150" s="16" t="s">
        <v>79</v>
      </c>
      <c r="E150" s="16" t="s">
        <v>83</v>
      </c>
      <c r="F150" s="16" t="s">
        <v>122</v>
      </c>
      <c r="G150" s="16" t="s">
        <v>31</v>
      </c>
      <c r="H150" s="16" t="s">
        <v>9</v>
      </c>
      <c r="I150" s="16" t="s">
        <v>85</v>
      </c>
      <c r="J150" s="16" t="s">
        <v>123</v>
      </c>
      <c r="K150" s="16" t="s">
        <v>87</v>
      </c>
      <c r="L150" s="17">
        <v>16.8</v>
      </c>
      <c r="M150" s="18">
        <f t="shared" si="10"/>
        <v>-16.8</v>
      </c>
      <c r="N150" s="16" t="s">
        <v>78</v>
      </c>
      <c r="O150" s="15" t="str">
        <f t="shared" si="11"/>
        <v>OK</v>
      </c>
    </row>
    <row r="151" spans="1:15" ht="20.100000000000001" customHeight="1" x14ac:dyDescent="0.25">
      <c r="A151" s="14">
        <v>45832</v>
      </c>
      <c r="B151" s="15" t="str">
        <f t="shared" si="8"/>
        <v>Junio</v>
      </c>
      <c r="C151" s="15">
        <f t="shared" si="9"/>
        <v>2025</v>
      </c>
      <c r="D151" s="16" t="s">
        <v>79</v>
      </c>
      <c r="E151" s="16" t="s">
        <v>83</v>
      </c>
      <c r="F151" s="16" t="s">
        <v>84</v>
      </c>
      <c r="G151" s="16" t="s">
        <v>29</v>
      </c>
      <c r="H151" s="16" t="s">
        <v>9</v>
      </c>
      <c r="I151" s="16" t="s">
        <v>85</v>
      </c>
      <c r="J151" s="16" t="s">
        <v>86</v>
      </c>
      <c r="K151" s="16" t="s">
        <v>87</v>
      </c>
      <c r="L151" s="17">
        <v>72.81</v>
      </c>
      <c r="M151" s="18">
        <f t="shared" si="10"/>
        <v>-72.81</v>
      </c>
      <c r="N151" s="16" t="s">
        <v>78</v>
      </c>
      <c r="O151" s="15" t="str">
        <f t="shared" si="11"/>
        <v>OK</v>
      </c>
    </row>
    <row r="152" spans="1:15" ht="20.100000000000001" customHeight="1" x14ac:dyDescent="0.25">
      <c r="A152" s="14">
        <v>45833</v>
      </c>
      <c r="B152" s="15" t="str">
        <f t="shared" si="8"/>
        <v>Junio</v>
      </c>
      <c r="C152" s="15">
        <f t="shared" si="9"/>
        <v>2025</v>
      </c>
      <c r="D152" s="16" t="s">
        <v>79</v>
      </c>
      <c r="E152" s="16" t="s">
        <v>88</v>
      </c>
      <c r="F152" s="16" t="s">
        <v>89</v>
      </c>
      <c r="G152" s="16" t="s">
        <v>31</v>
      </c>
      <c r="H152" s="16" t="s">
        <v>9</v>
      </c>
      <c r="I152" s="16" t="s">
        <v>85</v>
      </c>
      <c r="J152" s="16" t="s">
        <v>90</v>
      </c>
      <c r="K152" s="16" t="s">
        <v>87</v>
      </c>
      <c r="L152" s="17">
        <v>9.57</v>
      </c>
      <c r="M152" s="18">
        <f t="shared" si="10"/>
        <v>-9.57</v>
      </c>
      <c r="N152" s="16" t="s">
        <v>78</v>
      </c>
      <c r="O152" s="15" t="str">
        <f t="shared" si="11"/>
        <v>OK</v>
      </c>
    </row>
    <row r="153" spans="1:15" ht="20.100000000000001" customHeight="1" x14ac:dyDescent="0.25">
      <c r="A153" s="14">
        <v>45834</v>
      </c>
      <c r="B153" s="15" t="str">
        <f t="shared" si="8"/>
        <v>Junio</v>
      </c>
      <c r="C153" s="15">
        <f t="shared" si="9"/>
        <v>2025</v>
      </c>
      <c r="D153" s="16" t="s">
        <v>79</v>
      </c>
      <c r="E153" s="16" t="s">
        <v>83</v>
      </c>
      <c r="F153" s="16" t="s">
        <v>102</v>
      </c>
      <c r="G153" s="16" t="s">
        <v>29</v>
      </c>
      <c r="H153" s="16" t="s">
        <v>9</v>
      </c>
      <c r="I153" s="16" t="s">
        <v>85</v>
      </c>
      <c r="J153" s="16" t="s">
        <v>103</v>
      </c>
      <c r="K153" s="16" t="s">
        <v>87</v>
      </c>
      <c r="L153" s="17">
        <v>54.34</v>
      </c>
      <c r="M153" s="18">
        <f t="shared" si="10"/>
        <v>-54.34</v>
      </c>
      <c r="N153" s="16" t="s">
        <v>78</v>
      </c>
      <c r="O153" s="15" t="str">
        <f t="shared" si="11"/>
        <v>OK</v>
      </c>
    </row>
    <row r="154" spans="1:15" ht="20.100000000000001" customHeight="1" x14ac:dyDescent="0.25">
      <c r="A154" s="14">
        <v>45835</v>
      </c>
      <c r="B154" s="15" t="str">
        <f t="shared" si="8"/>
        <v>Junio</v>
      </c>
      <c r="C154" s="15">
        <f t="shared" si="9"/>
        <v>2025</v>
      </c>
      <c r="D154" s="16" t="s">
        <v>30</v>
      </c>
      <c r="E154" s="16" t="s">
        <v>113</v>
      </c>
      <c r="F154" s="16" t="s">
        <v>114</v>
      </c>
      <c r="G154" s="16" t="s">
        <v>41</v>
      </c>
      <c r="H154" s="16" t="s">
        <v>30</v>
      </c>
      <c r="I154" s="16" t="s">
        <v>75</v>
      </c>
      <c r="J154" s="16" t="s">
        <v>115</v>
      </c>
      <c r="K154" s="16" t="s">
        <v>77</v>
      </c>
      <c r="L154" s="17">
        <v>232.75</v>
      </c>
      <c r="M154" s="18">
        <f t="shared" si="10"/>
        <v>-232.75</v>
      </c>
      <c r="N154" s="16" t="s">
        <v>78</v>
      </c>
      <c r="O154" s="15" t="str">
        <f t="shared" si="11"/>
        <v>OK</v>
      </c>
    </row>
    <row r="155" spans="1:15" ht="20.100000000000001" customHeight="1" x14ac:dyDescent="0.25">
      <c r="A155" s="14">
        <v>45836</v>
      </c>
      <c r="B155" s="15" t="str">
        <f t="shared" si="8"/>
        <v>Junio</v>
      </c>
      <c r="C155" s="15">
        <f t="shared" si="9"/>
        <v>2025</v>
      </c>
      <c r="D155" s="16" t="s">
        <v>79</v>
      </c>
      <c r="E155" s="16" t="s">
        <v>83</v>
      </c>
      <c r="F155" s="16" t="s">
        <v>107</v>
      </c>
      <c r="G155" s="16" t="s">
        <v>33</v>
      </c>
      <c r="H155" s="16" t="s">
        <v>10</v>
      </c>
      <c r="I155" s="16" t="s">
        <v>85</v>
      </c>
      <c r="J155" s="16" t="s">
        <v>108</v>
      </c>
      <c r="K155" s="16" t="s">
        <v>124</v>
      </c>
      <c r="L155" s="17">
        <v>10.17</v>
      </c>
      <c r="M155" s="18">
        <f t="shared" si="10"/>
        <v>-10.17</v>
      </c>
      <c r="N155" s="16" t="s">
        <v>78</v>
      </c>
      <c r="O155" s="15" t="str">
        <f t="shared" si="11"/>
        <v>OK</v>
      </c>
    </row>
    <row r="156" spans="1:15" ht="20.100000000000001" customHeight="1" x14ac:dyDescent="0.25">
      <c r="A156" s="14">
        <v>45836</v>
      </c>
      <c r="B156" s="15" t="str">
        <f t="shared" si="8"/>
        <v>Junio</v>
      </c>
      <c r="C156" s="15">
        <f t="shared" si="9"/>
        <v>2025</v>
      </c>
      <c r="D156" s="16" t="s">
        <v>30</v>
      </c>
      <c r="E156" s="16" t="s">
        <v>113</v>
      </c>
      <c r="F156" s="16" t="s">
        <v>116</v>
      </c>
      <c r="G156" s="16" t="s">
        <v>41</v>
      </c>
      <c r="H156" s="16" t="s">
        <v>30</v>
      </c>
      <c r="I156" s="16" t="s">
        <v>85</v>
      </c>
      <c r="J156" s="16" t="s">
        <v>117</v>
      </c>
      <c r="K156" s="16" t="s">
        <v>77</v>
      </c>
      <c r="L156" s="17">
        <v>64.989999999999995</v>
      </c>
      <c r="M156" s="18">
        <f t="shared" si="10"/>
        <v>-64.989999999999995</v>
      </c>
      <c r="N156" s="16" t="s">
        <v>78</v>
      </c>
      <c r="O156" s="15" t="str">
        <f t="shared" si="11"/>
        <v>OK</v>
      </c>
    </row>
    <row r="157" spans="1:15" ht="20.100000000000001" customHeight="1" x14ac:dyDescent="0.25">
      <c r="A157" s="14">
        <v>45839</v>
      </c>
      <c r="B157" s="15" t="str">
        <f t="shared" si="8"/>
        <v>Julio</v>
      </c>
      <c r="C157" s="15">
        <f t="shared" si="9"/>
        <v>2025</v>
      </c>
      <c r="D157" s="16" t="s">
        <v>71</v>
      </c>
      <c r="E157" s="16" t="s">
        <v>72</v>
      </c>
      <c r="F157" s="16" t="s">
        <v>73</v>
      </c>
      <c r="G157" s="16" t="s">
        <v>74</v>
      </c>
      <c r="H157" s="16" t="s">
        <v>37</v>
      </c>
      <c r="I157" s="16" t="s">
        <v>75</v>
      </c>
      <c r="J157" s="16" t="s">
        <v>76</v>
      </c>
      <c r="K157" s="16" t="s">
        <v>77</v>
      </c>
      <c r="L157" s="17">
        <v>2429</v>
      </c>
      <c r="M157" s="18">
        <f t="shared" si="10"/>
        <v>2429</v>
      </c>
      <c r="N157" s="16" t="s">
        <v>78</v>
      </c>
      <c r="O157" s="15" t="str">
        <f t="shared" si="11"/>
        <v>OK</v>
      </c>
    </row>
    <row r="158" spans="1:15" ht="20.100000000000001" customHeight="1" x14ac:dyDescent="0.25">
      <c r="A158" s="14">
        <v>45840</v>
      </c>
      <c r="B158" s="15" t="str">
        <f t="shared" si="8"/>
        <v>Julio</v>
      </c>
      <c r="C158" s="15">
        <f t="shared" si="9"/>
        <v>2025</v>
      </c>
      <c r="D158" s="16" t="s">
        <v>79</v>
      </c>
      <c r="E158" s="16" t="s">
        <v>80</v>
      </c>
      <c r="F158" s="16" t="s">
        <v>81</v>
      </c>
      <c r="G158" s="16" t="s">
        <v>28</v>
      </c>
      <c r="H158" s="16" t="s">
        <v>9</v>
      </c>
      <c r="I158" s="16" t="s">
        <v>75</v>
      </c>
      <c r="J158" s="16" t="s">
        <v>82</v>
      </c>
      <c r="K158" s="16" t="s">
        <v>77</v>
      </c>
      <c r="L158" s="17">
        <v>980</v>
      </c>
      <c r="M158" s="18">
        <f t="shared" si="10"/>
        <v>-980</v>
      </c>
      <c r="N158" s="16" t="s">
        <v>78</v>
      </c>
      <c r="O158" s="15" t="str">
        <f t="shared" si="11"/>
        <v>OK</v>
      </c>
    </row>
    <row r="159" spans="1:15" ht="20.100000000000001" customHeight="1" x14ac:dyDescent="0.25">
      <c r="A159" s="14">
        <v>45841</v>
      </c>
      <c r="B159" s="15" t="str">
        <f t="shared" si="8"/>
        <v>Julio</v>
      </c>
      <c r="C159" s="15">
        <f t="shared" si="9"/>
        <v>2025</v>
      </c>
      <c r="D159" s="16" t="s">
        <v>79</v>
      </c>
      <c r="E159" s="16" t="s">
        <v>83</v>
      </c>
      <c r="F159" s="16" t="s">
        <v>84</v>
      </c>
      <c r="G159" s="16" t="s">
        <v>29</v>
      </c>
      <c r="H159" s="16" t="s">
        <v>9</v>
      </c>
      <c r="I159" s="16" t="s">
        <v>85</v>
      </c>
      <c r="J159" s="16" t="s">
        <v>86</v>
      </c>
      <c r="K159" s="16" t="s">
        <v>87</v>
      </c>
      <c r="L159" s="17">
        <v>89.47</v>
      </c>
      <c r="M159" s="18">
        <f t="shared" si="10"/>
        <v>-89.47</v>
      </c>
      <c r="N159" s="16" t="s">
        <v>78</v>
      </c>
      <c r="O159" s="15" t="str">
        <f t="shared" si="11"/>
        <v>OK</v>
      </c>
    </row>
    <row r="160" spans="1:15" ht="20.100000000000001" customHeight="1" x14ac:dyDescent="0.25">
      <c r="A160" s="14">
        <v>45842</v>
      </c>
      <c r="B160" s="15" t="str">
        <f t="shared" si="8"/>
        <v>Julio</v>
      </c>
      <c r="C160" s="15">
        <f t="shared" si="9"/>
        <v>2025</v>
      </c>
      <c r="D160" s="16" t="s">
        <v>79</v>
      </c>
      <c r="E160" s="16" t="s">
        <v>88</v>
      </c>
      <c r="F160" s="16" t="s">
        <v>89</v>
      </c>
      <c r="G160" s="16" t="s">
        <v>31</v>
      </c>
      <c r="H160" s="16" t="s">
        <v>9</v>
      </c>
      <c r="I160" s="16" t="s">
        <v>85</v>
      </c>
      <c r="J160" s="16" t="s">
        <v>90</v>
      </c>
      <c r="K160" s="16" t="s">
        <v>87</v>
      </c>
      <c r="L160" s="17">
        <v>12.76</v>
      </c>
      <c r="M160" s="18">
        <f t="shared" si="10"/>
        <v>-12.76</v>
      </c>
      <c r="N160" s="16" t="s">
        <v>78</v>
      </c>
      <c r="O160" s="15" t="str">
        <f t="shared" si="11"/>
        <v>OK</v>
      </c>
    </row>
    <row r="161" spans="1:15" ht="20.100000000000001" customHeight="1" x14ac:dyDescent="0.25">
      <c r="A161" s="14">
        <v>45843</v>
      </c>
      <c r="B161" s="15" t="str">
        <f t="shared" si="8"/>
        <v>Julio</v>
      </c>
      <c r="C161" s="15">
        <f t="shared" si="9"/>
        <v>2025</v>
      </c>
      <c r="D161" s="16" t="s">
        <v>79</v>
      </c>
      <c r="E161" s="16" t="s">
        <v>80</v>
      </c>
      <c r="F161" s="16" t="s">
        <v>91</v>
      </c>
      <c r="G161" s="16" t="s">
        <v>28</v>
      </c>
      <c r="H161" s="16" t="s">
        <v>9</v>
      </c>
      <c r="I161" s="16" t="s">
        <v>75</v>
      </c>
      <c r="J161" s="16" t="s">
        <v>92</v>
      </c>
      <c r="K161" s="16" t="s">
        <v>93</v>
      </c>
      <c r="L161" s="17">
        <v>22.83</v>
      </c>
      <c r="M161" s="18">
        <f t="shared" si="10"/>
        <v>-22.83</v>
      </c>
      <c r="N161" s="16" t="s">
        <v>78</v>
      </c>
      <c r="O161" s="15" t="str">
        <f t="shared" si="11"/>
        <v>OK</v>
      </c>
    </row>
    <row r="162" spans="1:15" ht="20.100000000000001" customHeight="1" x14ac:dyDescent="0.25">
      <c r="A162" s="14">
        <v>45844</v>
      </c>
      <c r="B162" s="15" t="str">
        <f t="shared" si="8"/>
        <v>Julio</v>
      </c>
      <c r="C162" s="15">
        <f t="shared" si="9"/>
        <v>2025</v>
      </c>
      <c r="D162" s="16" t="s">
        <v>79</v>
      </c>
      <c r="E162" s="16" t="s">
        <v>80</v>
      </c>
      <c r="F162" s="16" t="s">
        <v>94</v>
      </c>
      <c r="G162" s="16" t="s">
        <v>28</v>
      </c>
      <c r="H162" s="16" t="s">
        <v>9</v>
      </c>
      <c r="I162" s="16" t="s">
        <v>75</v>
      </c>
      <c r="J162" s="16" t="s">
        <v>95</v>
      </c>
      <c r="K162" s="16" t="s">
        <v>93</v>
      </c>
      <c r="L162" s="17">
        <v>20.39</v>
      </c>
      <c r="M162" s="18">
        <f t="shared" si="10"/>
        <v>-20.39</v>
      </c>
      <c r="N162" s="16" t="s">
        <v>78</v>
      </c>
      <c r="O162" s="15" t="str">
        <f t="shared" si="11"/>
        <v>OK</v>
      </c>
    </row>
    <row r="163" spans="1:15" ht="20.100000000000001" customHeight="1" x14ac:dyDescent="0.25">
      <c r="A163" s="14">
        <v>45845</v>
      </c>
      <c r="B163" s="15" t="str">
        <f t="shared" si="8"/>
        <v>Julio</v>
      </c>
      <c r="C163" s="15">
        <f t="shared" si="9"/>
        <v>2025</v>
      </c>
      <c r="D163" s="16" t="s">
        <v>79</v>
      </c>
      <c r="E163" s="16" t="s">
        <v>80</v>
      </c>
      <c r="F163" s="16" t="s">
        <v>96</v>
      </c>
      <c r="G163" s="16" t="s">
        <v>28</v>
      </c>
      <c r="H163" s="16" t="s">
        <v>9</v>
      </c>
      <c r="I163" s="16" t="s">
        <v>75</v>
      </c>
      <c r="J163" s="16" t="s">
        <v>97</v>
      </c>
      <c r="K163" s="16" t="s">
        <v>93</v>
      </c>
      <c r="L163" s="17">
        <v>35</v>
      </c>
      <c r="M163" s="18">
        <f t="shared" si="10"/>
        <v>-35</v>
      </c>
      <c r="N163" s="16" t="s">
        <v>78</v>
      </c>
      <c r="O163" s="15" t="str">
        <f t="shared" si="11"/>
        <v>OK</v>
      </c>
    </row>
    <row r="164" spans="1:15" ht="20.100000000000001" customHeight="1" x14ac:dyDescent="0.25">
      <c r="A164" s="14">
        <v>45846</v>
      </c>
      <c r="B164" s="15" t="str">
        <f t="shared" si="8"/>
        <v>Julio</v>
      </c>
      <c r="C164" s="15">
        <f t="shared" si="9"/>
        <v>2025</v>
      </c>
      <c r="D164" s="16" t="s">
        <v>79</v>
      </c>
      <c r="E164" s="16" t="s">
        <v>80</v>
      </c>
      <c r="F164" s="16" t="s">
        <v>98</v>
      </c>
      <c r="G164" s="16" t="s">
        <v>32</v>
      </c>
      <c r="H164" s="16" t="s">
        <v>9</v>
      </c>
      <c r="I164" s="16" t="s">
        <v>75</v>
      </c>
      <c r="J164" s="16" t="s">
        <v>99</v>
      </c>
      <c r="K164" s="16" t="s">
        <v>93</v>
      </c>
      <c r="L164" s="17">
        <v>18</v>
      </c>
      <c r="M164" s="18">
        <f t="shared" si="10"/>
        <v>-18</v>
      </c>
      <c r="N164" s="16" t="s">
        <v>78</v>
      </c>
      <c r="O164" s="15" t="str">
        <f t="shared" si="11"/>
        <v>OK</v>
      </c>
    </row>
    <row r="165" spans="1:15" ht="20.100000000000001" customHeight="1" x14ac:dyDescent="0.25">
      <c r="A165" s="14">
        <v>45847</v>
      </c>
      <c r="B165" s="15" t="str">
        <f t="shared" si="8"/>
        <v>Julio</v>
      </c>
      <c r="C165" s="15">
        <f t="shared" si="9"/>
        <v>2025</v>
      </c>
      <c r="D165" s="16" t="s">
        <v>79</v>
      </c>
      <c r="E165" s="16" t="s">
        <v>83</v>
      </c>
      <c r="F165" s="16" t="s">
        <v>100</v>
      </c>
      <c r="G165" s="16" t="s">
        <v>39</v>
      </c>
      <c r="H165" s="16" t="s">
        <v>9</v>
      </c>
      <c r="I165" s="16" t="s">
        <v>75</v>
      </c>
      <c r="J165" s="16" t="s">
        <v>101</v>
      </c>
      <c r="K165" s="16" t="s">
        <v>87</v>
      </c>
      <c r="L165" s="17">
        <v>24</v>
      </c>
      <c r="M165" s="18">
        <f t="shared" si="10"/>
        <v>-24</v>
      </c>
      <c r="N165" s="16" t="s">
        <v>78</v>
      </c>
      <c r="O165" s="15" t="str">
        <f t="shared" si="11"/>
        <v>OK</v>
      </c>
    </row>
    <row r="166" spans="1:15" ht="20.100000000000001" customHeight="1" x14ac:dyDescent="0.25">
      <c r="A166" s="14">
        <v>45848</v>
      </c>
      <c r="B166" s="15" t="str">
        <f t="shared" si="8"/>
        <v>Julio</v>
      </c>
      <c r="C166" s="15">
        <f t="shared" si="9"/>
        <v>2025</v>
      </c>
      <c r="D166" s="16" t="s">
        <v>79</v>
      </c>
      <c r="E166" s="16" t="s">
        <v>83</v>
      </c>
      <c r="F166" s="16" t="s">
        <v>84</v>
      </c>
      <c r="G166" s="16" t="s">
        <v>29</v>
      </c>
      <c r="H166" s="16" t="s">
        <v>9</v>
      </c>
      <c r="I166" s="16" t="s">
        <v>85</v>
      </c>
      <c r="J166" s="16" t="s">
        <v>86</v>
      </c>
      <c r="K166" s="16" t="s">
        <v>87</v>
      </c>
      <c r="L166" s="17">
        <v>70.709999999999994</v>
      </c>
      <c r="M166" s="18">
        <f t="shared" si="10"/>
        <v>-70.709999999999994</v>
      </c>
      <c r="N166" s="16" t="s">
        <v>78</v>
      </c>
      <c r="O166" s="15" t="str">
        <f t="shared" si="11"/>
        <v>OK</v>
      </c>
    </row>
    <row r="167" spans="1:15" ht="20.100000000000001" customHeight="1" x14ac:dyDescent="0.25">
      <c r="A167" s="14">
        <v>45849</v>
      </c>
      <c r="B167" s="15" t="str">
        <f t="shared" si="8"/>
        <v>Julio</v>
      </c>
      <c r="C167" s="15">
        <f t="shared" si="9"/>
        <v>2025</v>
      </c>
      <c r="D167" s="16" t="s">
        <v>79</v>
      </c>
      <c r="E167" s="16" t="s">
        <v>88</v>
      </c>
      <c r="F167" s="16" t="s">
        <v>89</v>
      </c>
      <c r="G167" s="16" t="s">
        <v>31</v>
      </c>
      <c r="H167" s="16" t="s">
        <v>9</v>
      </c>
      <c r="I167" s="16" t="s">
        <v>85</v>
      </c>
      <c r="J167" s="16" t="s">
        <v>90</v>
      </c>
      <c r="K167" s="16" t="s">
        <v>87</v>
      </c>
      <c r="L167" s="17">
        <v>8.2200000000000006</v>
      </c>
      <c r="M167" s="18">
        <f t="shared" si="10"/>
        <v>-8.2200000000000006</v>
      </c>
      <c r="N167" s="16" t="s">
        <v>78</v>
      </c>
      <c r="O167" s="15" t="str">
        <f t="shared" si="11"/>
        <v>OK</v>
      </c>
    </row>
    <row r="168" spans="1:15" ht="20.100000000000001" customHeight="1" x14ac:dyDescent="0.25">
      <c r="A168" s="14">
        <v>45850</v>
      </c>
      <c r="B168" s="15" t="str">
        <f t="shared" si="8"/>
        <v>Julio</v>
      </c>
      <c r="C168" s="15">
        <f t="shared" si="9"/>
        <v>2025</v>
      </c>
      <c r="D168" s="16" t="s">
        <v>79</v>
      </c>
      <c r="E168" s="16" t="s">
        <v>83</v>
      </c>
      <c r="F168" s="16" t="s">
        <v>102</v>
      </c>
      <c r="G168" s="16" t="s">
        <v>29</v>
      </c>
      <c r="H168" s="16" t="s">
        <v>9</v>
      </c>
      <c r="I168" s="16" t="s">
        <v>85</v>
      </c>
      <c r="J168" s="16" t="s">
        <v>103</v>
      </c>
      <c r="K168" s="16" t="s">
        <v>104</v>
      </c>
      <c r="L168" s="17">
        <v>44.31</v>
      </c>
      <c r="M168" s="18">
        <f t="shared" si="10"/>
        <v>-44.31</v>
      </c>
      <c r="N168" s="16" t="s">
        <v>78</v>
      </c>
      <c r="O168" s="15" t="str">
        <f t="shared" si="11"/>
        <v>OK</v>
      </c>
    </row>
    <row r="169" spans="1:15" ht="20.100000000000001" customHeight="1" x14ac:dyDescent="0.25">
      <c r="A169" s="14">
        <v>45852</v>
      </c>
      <c r="B169" s="15" t="str">
        <f t="shared" si="8"/>
        <v>Julio</v>
      </c>
      <c r="C169" s="15">
        <f t="shared" si="9"/>
        <v>2025</v>
      </c>
      <c r="D169" s="16" t="s">
        <v>79</v>
      </c>
      <c r="E169" s="16" t="s">
        <v>83</v>
      </c>
      <c r="F169" s="16" t="s">
        <v>107</v>
      </c>
      <c r="G169" s="16" t="s">
        <v>33</v>
      </c>
      <c r="H169" s="16" t="s">
        <v>10</v>
      </c>
      <c r="I169" s="16" t="s">
        <v>85</v>
      </c>
      <c r="J169" s="16" t="s">
        <v>108</v>
      </c>
      <c r="K169" s="16" t="s">
        <v>104</v>
      </c>
      <c r="L169" s="17">
        <v>19.690000000000001</v>
      </c>
      <c r="M169" s="18">
        <f t="shared" si="10"/>
        <v>-19.690000000000001</v>
      </c>
      <c r="N169" s="16" t="s">
        <v>78</v>
      </c>
      <c r="O169" s="15" t="str">
        <f t="shared" si="11"/>
        <v>OK</v>
      </c>
    </row>
    <row r="170" spans="1:15" ht="20.100000000000001" customHeight="1" x14ac:dyDescent="0.25">
      <c r="A170" s="14">
        <v>45853</v>
      </c>
      <c r="B170" s="15" t="str">
        <f t="shared" si="8"/>
        <v>Julio</v>
      </c>
      <c r="C170" s="15">
        <f t="shared" si="9"/>
        <v>2025</v>
      </c>
      <c r="D170" s="16" t="s">
        <v>79</v>
      </c>
      <c r="E170" s="16" t="s">
        <v>83</v>
      </c>
      <c r="F170" s="16" t="s">
        <v>111</v>
      </c>
      <c r="G170" s="16" t="s">
        <v>35</v>
      </c>
      <c r="H170" s="16" t="s">
        <v>10</v>
      </c>
      <c r="I170" s="16" t="s">
        <v>85</v>
      </c>
      <c r="J170" s="16" t="s">
        <v>112</v>
      </c>
      <c r="K170" s="16" t="s">
        <v>87</v>
      </c>
      <c r="L170" s="17">
        <v>49.13</v>
      </c>
      <c r="M170" s="18">
        <f t="shared" si="10"/>
        <v>-49.13</v>
      </c>
      <c r="N170" s="16" t="s">
        <v>78</v>
      </c>
      <c r="O170" s="15" t="str">
        <f t="shared" si="11"/>
        <v>OK</v>
      </c>
    </row>
    <row r="171" spans="1:15" ht="20.100000000000001" customHeight="1" x14ac:dyDescent="0.25">
      <c r="A171" s="14">
        <v>45854</v>
      </c>
      <c r="B171" s="15" t="str">
        <f t="shared" si="8"/>
        <v>Julio</v>
      </c>
      <c r="C171" s="15">
        <f t="shared" si="9"/>
        <v>2025</v>
      </c>
      <c r="D171" s="16" t="s">
        <v>71</v>
      </c>
      <c r="E171" s="16" t="s">
        <v>72</v>
      </c>
      <c r="F171" s="16" t="s">
        <v>118</v>
      </c>
      <c r="G171" s="16" t="s">
        <v>119</v>
      </c>
      <c r="H171" s="16" t="s">
        <v>37</v>
      </c>
      <c r="I171" s="16" t="s">
        <v>85</v>
      </c>
      <c r="J171" s="16" t="s">
        <v>125</v>
      </c>
      <c r="K171" s="16" t="s">
        <v>77</v>
      </c>
      <c r="L171" s="17">
        <v>106.12</v>
      </c>
      <c r="M171" s="18">
        <f t="shared" si="10"/>
        <v>106.12</v>
      </c>
      <c r="N171" s="16" t="s">
        <v>121</v>
      </c>
      <c r="O171" s="15" t="str">
        <f t="shared" si="11"/>
        <v>OK</v>
      </c>
    </row>
    <row r="172" spans="1:15" ht="20.100000000000001" customHeight="1" x14ac:dyDescent="0.25">
      <c r="A172" s="14">
        <v>45855</v>
      </c>
      <c r="B172" s="15" t="str">
        <f t="shared" si="8"/>
        <v>Julio</v>
      </c>
      <c r="C172" s="15">
        <f t="shared" si="9"/>
        <v>2025</v>
      </c>
      <c r="D172" s="16" t="s">
        <v>79</v>
      </c>
      <c r="E172" s="16" t="s">
        <v>83</v>
      </c>
      <c r="F172" s="16" t="s">
        <v>84</v>
      </c>
      <c r="G172" s="16" t="s">
        <v>29</v>
      </c>
      <c r="H172" s="16" t="s">
        <v>9</v>
      </c>
      <c r="I172" s="16" t="s">
        <v>85</v>
      </c>
      <c r="J172" s="16" t="s">
        <v>86</v>
      </c>
      <c r="K172" s="16" t="s">
        <v>87</v>
      </c>
      <c r="L172" s="17">
        <v>67.33</v>
      </c>
      <c r="M172" s="18">
        <f t="shared" si="10"/>
        <v>-67.33</v>
      </c>
      <c r="N172" s="16" t="s">
        <v>78</v>
      </c>
      <c r="O172" s="15" t="str">
        <f t="shared" si="11"/>
        <v>OK</v>
      </c>
    </row>
    <row r="173" spans="1:15" ht="20.100000000000001" customHeight="1" x14ac:dyDescent="0.25">
      <c r="A173" s="14">
        <v>45856</v>
      </c>
      <c r="B173" s="15" t="str">
        <f t="shared" si="8"/>
        <v>Julio</v>
      </c>
      <c r="C173" s="15">
        <f t="shared" si="9"/>
        <v>2025</v>
      </c>
      <c r="D173" s="16" t="s">
        <v>79</v>
      </c>
      <c r="E173" s="16" t="s">
        <v>88</v>
      </c>
      <c r="F173" s="16" t="s">
        <v>89</v>
      </c>
      <c r="G173" s="16" t="s">
        <v>31</v>
      </c>
      <c r="H173" s="16" t="s">
        <v>9</v>
      </c>
      <c r="I173" s="16" t="s">
        <v>85</v>
      </c>
      <c r="J173" s="16" t="s">
        <v>90</v>
      </c>
      <c r="K173" s="16" t="s">
        <v>87</v>
      </c>
      <c r="L173" s="17">
        <v>7.54</v>
      </c>
      <c r="M173" s="18">
        <f t="shared" si="10"/>
        <v>-7.54</v>
      </c>
      <c r="N173" s="16" t="s">
        <v>78</v>
      </c>
      <c r="O173" s="15" t="str">
        <f t="shared" si="11"/>
        <v>OK</v>
      </c>
    </row>
    <row r="174" spans="1:15" ht="20.100000000000001" customHeight="1" x14ac:dyDescent="0.25">
      <c r="A174" s="14">
        <v>45858</v>
      </c>
      <c r="B174" s="15" t="str">
        <f t="shared" si="8"/>
        <v>Julio</v>
      </c>
      <c r="C174" s="15">
        <f t="shared" si="9"/>
        <v>2025</v>
      </c>
      <c r="D174" s="16" t="s">
        <v>79</v>
      </c>
      <c r="E174" s="16" t="s">
        <v>83</v>
      </c>
      <c r="F174" s="16" t="s">
        <v>107</v>
      </c>
      <c r="G174" s="16" t="s">
        <v>33</v>
      </c>
      <c r="H174" s="16" t="s">
        <v>10</v>
      </c>
      <c r="I174" s="16" t="s">
        <v>85</v>
      </c>
      <c r="J174" s="16" t="s">
        <v>108</v>
      </c>
      <c r="K174" s="16" t="s">
        <v>87</v>
      </c>
      <c r="L174" s="17">
        <v>30.1</v>
      </c>
      <c r="M174" s="18">
        <f t="shared" si="10"/>
        <v>-30.1</v>
      </c>
      <c r="N174" s="16" t="s">
        <v>78</v>
      </c>
      <c r="O174" s="15" t="str">
        <f t="shared" si="11"/>
        <v>OK</v>
      </c>
    </row>
    <row r="175" spans="1:15" ht="20.100000000000001" customHeight="1" x14ac:dyDescent="0.25">
      <c r="A175" s="14">
        <v>45860</v>
      </c>
      <c r="B175" s="15" t="str">
        <f t="shared" si="8"/>
        <v>Julio</v>
      </c>
      <c r="C175" s="15">
        <f t="shared" si="9"/>
        <v>2025</v>
      </c>
      <c r="D175" s="16" t="s">
        <v>79</v>
      </c>
      <c r="E175" s="16" t="s">
        <v>83</v>
      </c>
      <c r="F175" s="16" t="s">
        <v>109</v>
      </c>
      <c r="G175" s="16" t="s">
        <v>33</v>
      </c>
      <c r="H175" s="16" t="s">
        <v>10</v>
      </c>
      <c r="I175" s="16" t="s">
        <v>85</v>
      </c>
      <c r="J175" s="16" t="s">
        <v>110</v>
      </c>
      <c r="K175" s="16" t="s">
        <v>87</v>
      </c>
      <c r="L175" s="17">
        <v>15.96</v>
      </c>
      <c r="M175" s="18">
        <f t="shared" si="10"/>
        <v>-15.96</v>
      </c>
      <c r="N175" s="16" t="s">
        <v>78</v>
      </c>
      <c r="O175" s="15" t="str">
        <f t="shared" si="11"/>
        <v>OK</v>
      </c>
    </row>
    <row r="176" spans="1:15" ht="20.100000000000001" customHeight="1" x14ac:dyDescent="0.25">
      <c r="A176" s="14">
        <v>45862</v>
      </c>
      <c r="B176" s="15" t="str">
        <f t="shared" si="8"/>
        <v>Julio</v>
      </c>
      <c r="C176" s="15">
        <f t="shared" si="9"/>
        <v>2025</v>
      </c>
      <c r="D176" s="16" t="s">
        <v>79</v>
      </c>
      <c r="E176" s="16" t="s">
        <v>83</v>
      </c>
      <c r="F176" s="16" t="s">
        <v>84</v>
      </c>
      <c r="G176" s="16" t="s">
        <v>29</v>
      </c>
      <c r="H176" s="16" t="s">
        <v>9</v>
      </c>
      <c r="I176" s="16" t="s">
        <v>85</v>
      </c>
      <c r="J176" s="16" t="s">
        <v>86</v>
      </c>
      <c r="K176" s="16" t="s">
        <v>87</v>
      </c>
      <c r="L176" s="17">
        <v>100.46</v>
      </c>
      <c r="M176" s="18">
        <f t="shared" si="10"/>
        <v>-100.46</v>
      </c>
      <c r="N176" s="16" t="s">
        <v>78</v>
      </c>
      <c r="O176" s="15" t="str">
        <f t="shared" si="11"/>
        <v>OK</v>
      </c>
    </row>
    <row r="177" spans="1:15" ht="20.100000000000001" customHeight="1" x14ac:dyDescent="0.25">
      <c r="A177" s="14">
        <v>45863</v>
      </c>
      <c r="B177" s="15" t="str">
        <f t="shared" si="8"/>
        <v>Julio</v>
      </c>
      <c r="C177" s="15">
        <f t="shared" si="9"/>
        <v>2025</v>
      </c>
      <c r="D177" s="16" t="s">
        <v>79</v>
      </c>
      <c r="E177" s="16" t="s">
        <v>88</v>
      </c>
      <c r="F177" s="16" t="s">
        <v>89</v>
      </c>
      <c r="G177" s="16" t="s">
        <v>31</v>
      </c>
      <c r="H177" s="16" t="s">
        <v>9</v>
      </c>
      <c r="I177" s="16" t="s">
        <v>85</v>
      </c>
      <c r="J177" s="16" t="s">
        <v>90</v>
      </c>
      <c r="K177" s="16" t="s">
        <v>87</v>
      </c>
      <c r="L177" s="17">
        <v>9.99</v>
      </c>
      <c r="M177" s="18">
        <f t="shared" si="10"/>
        <v>-9.99</v>
      </c>
      <c r="N177" s="16" t="s">
        <v>78</v>
      </c>
      <c r="O177" s="15" t="str">
        <f t="shared" si="11"/>
        <v>OK</v>
      </c>
    </row>
    <row r="178" spans="1:15" ht="20.100000000000001" customHeight="1" x14ac:dyDescent="0.25">
      <c r="A178" s="14">
        <v>45864</v>
      </c>
      <c r="B178" s="15" t="str">
        <f t="shared" si="8"/>
        <v>Julio</v>
      </c>
      <c r="C178" s="15">
        <f t="shared" si="9"/>
        <v>2025</v>
      </c>
      <c r="D178" s="16" t="s">
        <v>79</v>
      </c>
      <c r="E178" s="16" t="s">
        <v>83</v>
      </c>
      <c r="F178" s="16" t="s">
        <v>102</v>
      </c>
      <c r="G178" s="16" t="s">
        <v>29</v>
      </c>
      <c r="H178" s="16" t="s">
        <v>9</v>
      </c>
      <c r="I178" s="16" t="s">
        <v>85</v>
      </c>
      <c r="J178" s="16" t="s">
        <v>103</v>
      </c>
      <c r="K178" s="16" t="s">
        <v>104</v>
      </c>
      <c r="L178" s="17">
        <v>35.950000000000003</v>
      </c>
      <c r="M178" s="18">
        <f t="shared" si="10"/>
        <v>-35.950000000000003</v>
      </c>
      <c r="N178" s="16" t="s">
        <v>78</v>
      </c>
      <c r="O178" s="15" t="str">
        <f t="shared" si="11"/>
        <v>OK</v>
      </c>
    </row>
    <row r="179" spans="1:15" ht="20.100000000000001" customHeight="1" x14ac:dyDescent="0.25">
      <c r="A179" s="14">
        <v>45865</v>
      </c>
      <c r="B179" s="15" t="str">
        <f t="shared" si="8"/>
        <v>Julio</v>
      </c>
      <c r="C179" s="15">
        <f t="shared" si="9"/>
        <v>2025</v>
      </c>
      <c r="D179" s="16" t="s">
        <v>30</v>
      </c>
      <c r="E179" s="16" t="s">
        <v>113</v>
      </c>
      <c r="F179" s="16" t="s">
        <v>114</v>
      </c>
      <c r="G179" s="16" t="s">
        <v>41</v>
      </c>
      <c r="H179" s="16" t="s">
        <v>30</v>
      </c>
      <c r="I179" s="16" t="s">
        <v>75</v>
      </c>
      <c r="J179" s="16" t="s">
        <v>115</v>
      </c>
      <c r="K179" s="16" t="s">
        <v>77</v>
      </c>
      <c r="L179" s="17">
        <v>241.2</v>
      </c>
      <c r="M179" s="18">
        <f t="shared" si="10"/>
        <v>-241.2</v>
      </c>
      <c r="N179" s="16" t="s">
        <v>78</v>
      </c>
      <c r="O179" s="15" t="str">
        <f t="shared" si="11"/>
        <v>OK</v>
      </c>
    </row>
    <row r="180" spans="1:15" ht="20.100000000000001" customHeight="1" x14ac:dyDescent="0.25">
      <c r="A180" s="14">
        <v>45866</v>
      </c>
      <c r="B180" s="15" t="str">
        <f t="shared" si="8"/>
        <v>Julio</v>
      </c>
      <c r="C180" s="15">
        <f t="shared" si="9"/>
        <v>2025</v>
      </c>
      <c r="D180" s="16" t="s">
        <v>79</v>
      </c>
      <c r="E180" s="16" t="s">
        <v>83</v>
      </c>
      <c r="F180" s="16" t="s">
        <v>107</v>
      </c>
      <c r="G180" s="16" t="s">
        <v>33</v>
      </c>
      <c r="H180" s="16" t="s">
        <v>10</v>
      </c>
      <c r="I180" s="16" t="s">
        <v>85</v>
      </c>
      <c r="J180" s="16" t="s">
        <v>108</v>
      </c>
      <c r="K180" s="16" t="s">
        <v>124</v>
      </c>
      <c r="L180" s="17">
        <v>25.6</v>
      </c>
      <c r="M180" s="18">
        <f t="shared" si="10"/>
        <v>-25.6</v>
      </c>
      <c r="N180" s="16" t="s">
        <v>78</v>
      </c>
      <c r="O180" s="15" t="str">
        <f t="shared" si="11"/>
        <v>OK</v>
      </c>
    </row>
    <row r="181" spans="1:15" ht="20.100000000000001" customHeight="1" x14ac:dyDescent="0.25">
      <c r="A181" s="14">
        <v>45866</v>
      </c>
      <c r="B181" s="15" t="str">
        <f t="shared" si="8"/>
        <v>Julio</v>
      </c>
      <c r="C181" s="15">
        <f t="shared" si="9"/>
        <v>2025</v>
      </c>
      <c r="D181" s="16" t="s">
        <v>30</v>
      </c>
      <c r="E181" s="16" t="s">
        <v>113</v>
      </c>
      <c r="F181" s="16" t="s">
        <v>116</v>
      </c>
      <c r="G181" s="16" t="s">
        <v>41</v>
      </c>
      <c r="H181" s="16" t="s">
        <v>30</v>
      </c>
      <c r="I181" s="16" t="s">
        <v>85</v>
      </c>
      <c r="J181" s="16" t="s">
        <v>117</v>
      </c>
      <c r="K181" s="16" t="s">
        <v>77</v>
      </c>
      <c r="L181" s="17">
        <v>52.57</v>
      </c>
      <c r="M181" s="18">
        <f t="shared" si="10"/>
        <v>-52.57</v>
      </c>
      <c r="N181" s="16" t="s">
        <v>78</v>
      </c>
      <c r="O181" s="15" t="str">
        <f t="shared" si="11"/>
        <v>OK</v>
      </c>
    </row>
    <row r="182" spans="1:15" ht="20.100000000000001" customHeight="1" x14ac:dyDescent="0.25">
      <c r="A182" s="14">
        <v>45870</v>
      </c>
      <c r="B182" s="15" t="str">
        <f t="shared" si="8"/>
        <v>Agosto</v>
      </c>
      <c r="C182" s="15">
        <f t="shared" si="9"/>
        <v>2025</v>
      </c>
      <c r="D182" s="16" t="s">
        <v>71</v>
      </c>
      <c r="E182" s="16" t="s">
        <v>72</v>
      </c>
      <c r="F182" s="16" t="s">
        <v>73</v>
      </c>
      <c r="G182" s="16" t="s">
        <v>74</v>
      </c>
      <c r="H182" s="16" t="s">
        <v>37</v>
      </c>
      <c r="I182" s="16" t="s">
        <v>75</v>
      </c>
      <c r="J182" s="16" t="s">
        <v>76</v>
      </c>
      <c r="K182" s="16" t="s">
        <v>77</v>
      </c>
      <c r="L182" s="17">
        <v>2469.13</v>
      </c>
      <c r="M182" s="18">
        <f t="shared" si="10"/>
        <v>2469.13</v>
      </c>
      <c r="N182" s="16" t="s">
        <v>78</v>
      </c>
      <c r="O182" s="15" t="str">
        <f t="shared" si="11"/>
        <v>OK</v>
      </c>
    </row>
    <row r="183" spans="1:15" ht="20.100000000000001" customHeight="1" x14ac:dyDescent="0.25">
      <c r="A183" s="14">
        <v>45871</v>
      </c>
      <c r="B183" s="15" t="str">
        <f t="shared" si="8"/>
        <v>Agosto</v>
      </c>
      <c r="C183" s="15">
        <f t="shared" si="9"/>
        <v>2025</v>
      </c>
      <c r="D183" s="16" t="s">
        <v>79</v>
      </c>
      <c r="E183" s="16" t="s">
        <v>80</v>
      </c>
      <c r="F183" s="16" t="s">
        <v>81</v>
      </c>
      <c r="G183" s="16" t="s">
        <v>28</v>
      </c>
      <c r="H183" s="16" t="s">
        <v>9</v>
      </c>
      <c r="I183" s="16" t="s">
        <v>75</v>
      </c>
      <c r="J183" s="16" t="s">
        <v>82</v>
      </c>
      <c r="K183" s="16" t="s">
        <v>77</v>
      </c>
      <c r="L183" s="17">
        <v>980</v>
      </c>
      <c r="M183" s="18">
        <f t="shared" si="10"/>
        <v>-980</v>
      </c>
      <c r="N183" s="16" t="s">
        <v>78</v>
      </c>
      <c r="O183" s="15" t="str">
        <f t="shared" si="11"/>
        <v>OK</v>
      </c>
    </row>
    <row r="184" spans="1:15" ht="20.100000000000001" customHeight="1" x14ac:dyDescent="0.25">
      <c r="A184" s="14">
        <v>45872</v>
      </c>
      <c r="B184" s="15" t="str">
        <f t="shared" si="8"/>
        <v>Agosto</v>
      </c>
      <c r="C184" s="15">
        <f t="shared" si="9"/>
        <v>2025</v>
      </c>
      <c r="D184" s="16" t="s">
        <v>79</v>
      </c>
      <c r="E184" s="16" t="s">
        <v>83</v>
      </c>
      <c r="F184" s="16" t="s">
        <v>84</v>
      </c>
      <c r="G184" s="16" t="s">
        <v>29</v>
      </c>
      <c r="H184" s="16" t="s">
        <v>9</v>
      </c>
      <c r="I184" s="16" t="s">
        <v>85</v>
      </c>
      <c r="J184" s="16" t="s">
        <v>86</v>
      </c>
      <c r="K184" s="16" t="s">
        <v>87</v>
      </c>
      <c r="L184" s="17">
        <v>72.180000000000007</v>
      </c>
      <c r="M184" s="18">
        <f t="shared" si="10"/>
        <v>-72.180000000000007</v>
      </c>
      <c r="N184" s="16" t="s">
        <v>78</v>
      </c>
      <c r="O184" s="15" t="str">
        <f t="shared" si="11"/>
        <v>OK</v>
      </c>
    </row>
    <row r="185" spans="1:15" ht="20.100000000000001" customHeight="1" x14ac:dyDescent="0.25">
      <c r="A185" s="14">
        <v>45873</v>
      </c>
      <c r="B185" s="15" t="str">
        <f t="shared" si="8"/>
        <v>Agosto</v>
      </c>
      <c r="C185" s="15">
        <f t="shared" si="9"/>
        <v>2025</v>
      </c>
      <c r="D185" s="16" t="s">
        <v>79</v>
      </c>
      <c r="E185" s="16" t="s">
        <v>88</v>
      </c>
      <c r="F185" s="16" t="s">
        <v>89</v>
      </c>
      <c r="G185" s="16" t="s">
        <v>31</v>
      </c>
      <c r="H185" s="16" t="s">
        <v>9</v>
      </c>
      <c r="I185" s="16" t="s">
        <v>85</v>
      </c>
      <c r="J185" s="16" t="s">
        <v>90</v>
      </c>
      <c r="K185" s="16" t="s">
        <v>87</v>
      </c>
      <c r="L185" s="17">
        <v>13.95</v>
      </c>
      <c r="M185" s="18">
        <f t="shared" si="10"/>
        <v>-13.95</v>
      </c>
      <c r="N185" s="16" t="s">
        <v>78</v>
      </c>
      <c r="O185" s="15" t="str">
        <f t="shared" si="11"/>
        <v>OK</v>
      </c>
    </row>
    <row r="186" spans="1:15" ht="20.100000000000001" customHeight="1" x14ac:dyDescent="0.25">
      <c r="A186" s="14">
        <v>45874</v>
      </c>
      <c r="B186" s="15" t="str">
        <f t="shared" si="8"/>
        <v>Agosto</v>
      </c>
      <c r="C186" s="15">
        <f t="shared" si="9"/>
        <v>2025</v>
      </c>
      <c r="D186" s="16" t="s">
        <v>79</v>
      </c>
      <c r="E186" s="16" t="s">
        <v>80</v>
      </c>
      <c r="F186" s="16" t="s">
        <v>91</v>
      </c>
      <c r="G186" s="16" t="s">
        <v>28</v>
      </c>
      <c r="H186" s="16" t="s">
        <v>9</v>
      </c>
      <c r="I186" s="16" t="s">
        <v>75</v>
      </c>
      <c r="J186" s="16" t="s">
        <v>92</v>
      </c>
      <c r="K186" s="16" t="s">
        <v>93</v>
      </c>
      <c r="L186" s="17">
        <v>28.18</v>
      </c>
      <c r="M186" s="18">
        <f t="shared" si="10"/>
        <v>-28.18</v>
      </c>
      <c r="N186" s="16" t="s">
        <v>78</v>
      </c>
      <c r="O186" s="15" t="str">
        <f t="shared" si="11"/>
        <v>OK</v>
      </c>
    </row>
    <row r="187" spans="1:15" ht="20.100000000000001" customHeight="1" x14ac:dyDescent="0.25">
      <c r="A187" s="14">
        <v>45875</v>
      </c>
      <c r="B187" s="15" t="str">
        <f t="shared" si="8"/>
        <v>Agosto</v>
      </c>
      <c r="C187" s="15">
        <f t="shared" si="9"/>
        <v>2025</v>
      </c>
      <c r="D187" s="16" t="s">
        <v>79</v>
      </c>
      <c r="E187" s="16" t="s">
        <v>80</v>
      </c>
      <c r="F187" s="16" t="s">
        <v>94</v>
      </c>
      <c r="G187" s="16" t="s">
        <v>28</v>
      </c>
      <c r="H187" s="16" t="s">
        <v>9</v>
      </c>
      <c r="I187" s="16" t="s">
        <v>75</v>
      </c>
      <c r="J187" s="16" t="s">
        <v>95</v>
      </c>
      <c r="K187" s="16" t="s">
        <v>93</v>
      </c>
      <c r="L187" s="17">
        <v>20.64</v>
      </c>
      <c r="M187" s="18">
        <f t="shared" si="10"/>
        <v>-20.64</v>
      </c>
      <c r="N187" s="16" t="s">
        <v>78</v>
      </c>
      <c r="O187" s="15" t="str">
        <f t="shared" si="11"/>
        <v>OK</v>
      </c>
    </row>
    <row r="188" spans="1:15" ht="20.100000000000001" customHeight="1" x14ac:dyDescent="0.25">
      <c r="A188" s="14">
        <v>45876</v>
      </c>
      <c r="B188" s="15" t="str">
        <f t="shared" si="8"/>
        <v>Agosto</v>
      </c>
      <c r="C188" s="15">
        <f t="shared" si="9"/>
        <v>2025</v>
      </c>
      <c r="D188" s="16" t="s">
        <v>79</v>
      </c>
      <c r="E188" s="16" t="s">
        <v>80</v>
      </c>
      <c r="F188" s="16" t="s">
        <v>96</v>
      </c>
      <c r="G188" s="16" t="s">
        <v>28</v>
      </c>
      <c r="H188" s="16" t="s">
        <v>9</v>
      </c>
      <c r="I188" s="16" t="s">
        <v>75</v>
      </c>
      <c r="J188" s="16" t="s">
        <v>97</v>
      </c>
      <c r="K188" s="16" t="s">
        <v>93</v>
      </c>
      <c r="L188" s="17">
        <v>35</v>
      </c>
      <c r="M188" s="18">
        <f t="shared" si="10"/>
        <v>-35</v>
      </c>
      <c r="N188" s="16" t="s">
        <v>78</v>
      </c>
      <c r="O188" s="15" t="str">
        <f t="shared" si="11"/>
        <v>OK</v>
      </c>
    </row>
    <row r="189" spans="1:15" ht="20.100000000000001" customHeight="1" x14ac:dyDescent="0.25">
      <c r="A189" s="14">
        <v>45877</v>
      </c>
      <c r="B189" s="15" t="str">
        <f t="shared" si="8"/>
        <v>Agosto</v>
      </c>
      <c r="C189" s="15">
        <f t="shared" si="9"/>
        <v>2025</v>
      </c>
      <c r="D189" s="16" t="s">
        <v>79</v>
      </c>
      <c r="E189" s="16" t="s">
        <v>80</v>
      </c>
      <c r="F189" s="16" t="s">
        <v>98</v>
      </c>
      <c r="G189" s="16" t="s">
        <v>32</v>
      </c>
      <c r="H189" s="16" t="s">
        <v>9</v>
      </c>
      <c r="I189" s="16" t="s">
        <v>75</v>
      </c>
      <c r="J189" s="16" t="s">
        <v>99</v>
      </c>
      <c r="K189" s="16" t="s">
        <v>93</v>
      </c>
      <c r="L189" s="17">
        <v>18</v>
      </c>
      <c r="M189" s="18">
        <f t="shared" si="10"/>
        <v>-18</v>
      </c>
      <c r="N189" s="16" t="s">
        <v>78</v>
      </c>
      <c r="O189" s="15" t="str">
        <f t="shared" si="11"/>
        <v>OK</v>
      </c>
    </row>
    <row r="190" spans="1:15" ht="20.100000000000001" customHeight="1" x14ac:dyDescent="0.25">
      <c r="A190" s="14">
        <v>45878</v>
      </c>
      <c r="B190" s="15" t="str">
        <f t="shared" si="8"/>
        <v>Agosto</v>
      </c>
      <c r="C190" s="15">
        <f t="shared" si="9"/>
        <v>2025</v>
      </c>
      <c r="D190" s="16" t="s">
        <v>79</v>
      </c>
      <c r="E190" s="16" t="s">
        <v>83</v>
      </c>
      <c r="F190" s="16" t="s">
        <v>100</v>
      </c>
      <c r="G190" s="16" t="s">
        <v>39</v>
      </c>
      <c r="H190" s="16" t="s">
        <v>9</v>
      </c>
      <c r="I190" s="16" t="s">
        <v>75</v>
      </c>
      <c r="J190" s="16" t="s">
        <v>101</v>
      </c>
      <c r="K190" s="16" t="s">
        <v>87</v>
      </c>
      <c r="L190" s="17">
        <v>24</v>
      </c>
      <c r="M190" s="18">
        <f t="shared" si="10"/>
        <v>-24</v>
      </c>
      <c r="N190" s="16" t="s">
        <v>78</v>
      </c>
      <c r="O190" s="15" t="str">
        <f t="shared" si="11"/>
        <v>OK</v>
      </c>
    </row>
    <row r="191" spans="1:15" ht="20.100000000000001" customHeight="1" x14ac:dyDescent="0.25">
      <c r="A191" s="14">
        <v>45879</v>
      </c>
      <c r="B191" s="15" t="str">
        <f t="shared" si="8"/>
        <v>Agosto</v>
      </c>
      <c r="C191" s="15">
        <f t="shared" si="9"/>
        <v>2025</v>
      </c>
      <c r="D191" s="16" t="s">
        <v>79</v>
      </c>
      <c r="E191" s="16" t="s">
        <v>83</v>
      </c>
      <c r="F191" s="16" t="s">
        <v>84</v>
      </c>
      <c r="G191" s="16" t="s">
        <v>29</v>
      </c>
      <c r="H191" s="16" t="s">
        <v>9</v>
      </c>
      <c r="I191" s="16" t="s">
        <v>85</v>
      </c>
      <c r="J191" s="16" t="s">
        <v>86</v>
      </c>
      <c r="K191" s="16" t="s">
        <v>87</v>
      </c>
      <c r="L191" s="17">
        <v>99.96</v>
      </c>
      <c r="M191" s="18">
        <f t="shared" si="10"/>
        <v>-99.96</v>
      </c>
      <c r="N191" s="16" t="s">
        <v>78</v>
      </c>
      <c r="O191" s="15" t="str">
        <f t="shared" si="11"/>
        <v>OK</v>
      </c>
    </row>
    <row r="192" spans="1:15" ht="20.100000000000001" customHeight="1" x14ac:dyDescent="0.25">
      <c r="A192" s="14">
        <v>45880</v>
      </c>
      <c r="B192" s="15" t="str">
        <f t="shared" si="8"/>
        <v>Agosto</v>
      </c>
      <c r="C192" s="15">
        <f t="shared" si="9"/>
        <v>2025</v>
      </c>
      <c r="D192" s="16" t="s">
        <v>79</v>
      </c>
      <c r="E192" s="16" t="s">
        <v>88</v>
      </c>
      <c r="F192" s="16" t="s">
        <v>89</v>
      </c>
      <c r="G192" s="16" t="s">
        <v>31</v>
      </c>
      <c r="H192" s="16" t="s">
        <v>9</v>
      </c>
      <c r="I192" s="16" t="s">
        <v>85</v>
      </c>
      <c r="J192" s="16" t="s">
        <v>90</v>
      </c>
      <c r="K192" s="16" t="s">
        <v>87</v>
      </c>
      <c r="L192" s="17">
        <v>13.63</v>
      </c>
      <c r="M192" s="18">
        <f t="shared" si="10"/>
        <v>-13.63</v>
      </c>
      <c r="N192" s="16" t="s">
        <v>78</v>
      </c>
      <c r="O192" s="15" t="str">
        <f t="shared" si="11"/>
        <v>OK</v>
      </c>
    </row>
    <row r="193" spans="1:15" ht="20.100000000000001" customHeight="1" x14ac:dyDescent="0.25">
      <c r="A193" s="14">
        <v>45881</v>
      </c>
      <c r="B193" s="15" t="str">
        <f t="shared" si="8"/>
        <v>Agosto</v>
      </c>
      <c r="C193" s="15">
        <f t="shared" si="9"/>
        <v>2025</v>
      </c>
      <c r="D193" s="16" t="s">
        <v>79</v>
      </c>
      <c r="E193" s="16" t="s">
        <v>83</v>
      </c>
      <c r="F193" s="16" t="s">
        <v>102</v>
      </c>
      <c r="G193" s="16" t="s">
        <v>29</v>
      </c>
      <c r="H193" s="16" t="s">
        <v>9</v>
      </c>
      <c r="I193" s="16" t="s">
        <v>85</v>
      </c>
      <c r="J193" s="16" t="s">
        <v>103</v>
      </c>
      <c r="K193" s="16" t="s">
        <v>87</v>
      </c>
      <c r="L193" s="17">
        <v>43.78</v>
      </c>
      <c r="M193" s="18">
        <f t="shared" si="10"/>
        <v>-43.78</v>
      </c>
      <c r="N193" s="16" t="s">
        <v>78</v>
      </c>
      <c r="O193" s="15" t="str">
        <f t="shared" si="11"/>
        <v>OK</v>
      </c>
    </row>
    <row r="194" spans="1:15" ht="20.100000000000001" customHeight="1" x14ac:dyDescent="0.25">
      <c r="A194" s="14">
        <v>45882</v>
      </c>
      <c r="B194" s="15" t="str">
        <f t="shared" si="8"/>
        <v>Agosto</v>
      </c>
      <c r="C194" s="15">
        <f t="shared" si="9"/>
        <v>2025</v>
      </c>
      <c r="D194" s="16" t="s">
        <v>79</v>
      </c>
      <c r="E194" s="16" t="s">
        <v>83</v>
      </c>
      <c r="F194" s="16" t="s">
        <v>105</v>
      </c>
      <c r="G194" s="16" t="s">
        <v>32</v>
      </c>
      <c r="H194" s="16" t="s">
        <v>9</v>
      </c>
      <c r="I194" s="16" t="s">
        <v>85</v>
      </c>
      <c r="J194" s="16" t="s">
        <v>106</v>
      </c>
      <c r="K194" s="16" t="s">
        <v>87</v>
      </c>
      <c r="L194" s="17">
        <v>12.33</v>
      </c>
      <c r="M194" s="18">
        <f t="shared" si="10"/>
        <v>-12.33</v>
      </c>
      <c r="N194" s="16" t="s">
        <v>78</v>
      </c>
      <c r="O194" s="15" t="str">
        <f t="shared" si="11"/>
        <v>OK</v>
      </c>
    </row>
    <row r="195" spans="1:15" ht="20.100000000000001" customHeight="1" x14ac:dyDescent="0.25">
      <c r="A195" s="14">
        <v>45883</v>
      </c>
      <c r="B195" s="15" t="str">
        <f t="shared" si="8"/>
        <v>Agosto</v>
      </c>
      <c r="C195" s="15">
        <f t="shared" si="9"/>
        <v>2025</v>
      </c>
      <c r="D195" s="16" t="s">
        <v>79</v>
      </c>
      <c r="E195" s="16" t="s">
        <v>83</v>
      </c>
      <c r="F195" s="16" t="s">
        <v>107</v>
      </c>
      <c r="G195" s="16" t="s">
        <v>33</v>
      </c>
      <c r="H195" s="16" t="s">
        <v>10</v>
      </c>
      <c r="I195" s="16" t="s">
        <v>85</v>
      </c>
      <c r="J195" s="16" t="s">
        <v>108</v>
      </c>
      <c r="K195" s="16" t="s">
        <v>87</v>
      </c>
      <c r="L195" s="17">
        <v>19.16</v>
      </c>
      <c r="M195" s="18">
        <f t="shared" si="10"/>
        <v>-19.16</v>
      </c>
      <c r="N195" s="16" t="s">
        <v>78</v>
      </c>
      <c r="O195" s="15" t="str">
        <f t="shared" si="11"/>
        <v>OK</v>
      </c>
    </row>
    <row r="196" spans="1:15" ht="20.100000000000001" customHeight="1" x14ac:dyDescent="0.25">
      <c r="A196" s="14">
        <v>45886</v>
      </c>
      <c r="B196" s="15" t="str">
        <f t="shared" si="8"/>
        <v>Agosto</v>
      </c>
      <c r="C196" s="15">
        <f t="shared" si="9"/>
        <v>2025</v>
      </c>
      <c r="D196" s="16" t="s">
        <v>79</v>
      </c>
      <c r="E196" s="16" t="s">
        <v>83</v>
      </c>
      <c r="F196" s="16" t="s">
        <v>84</v>
      </c>
      <c r="G196" s="16" t="s">
        <v>29</v>
      </c>
      <c r="H196" s="16" t="s">
        <v>9</v>
      </c>
      <c r="I196" s="16" t="s">
        <v>85</v>
      </c>
      <c r="J196" s="16" t="s">
        <v>86</v>
      </c>
      <c r="K196" s="16" t="s">
        <v>87</v>
      </c>
      <c r="L196" s="17">
        <v>80.150000000000006</v>
      </c>
      <c r="M196" s="18">
        <f t="shared" si="10"/>
        <v>-80.150000000000006</v>
      </c>
      <c r="N196" s="16" t="s">
        <v>78</v>
      </c>
      <c r="O196" s="15" t="str">
        <f t="shared" si="11"/>
        <v>OK</v>
      </c>
    </row>
    <row r="197" spans="1:15" ht="20.100000000000001" customHeight="1" x14ac:dyDescent="0.25">
      <c r="A197" s="14">
        <v>45887</v>
      </c>
      <c r="B197" s="15" t="str">
        <f t="shared" si="8"/>
        <v>Agosto</v>
      </c>
      <c r="C197" s="15">
        <f t="shared" si="9"/>
        <v>2025</v>
      </c>
      <c r="D197" s="16" t="s">
        <v>79</v>
      </c>
      <c r="E197" s="16" t="s">
        <v>88</v>
      </c>
      <c r="F197" s="16" t="s">
        <v>89</v>
      </c>
      <c r="G197" s="16" t="s">
        <v>31</v>
      </c>
      <c r="H197" s="16" t="s">
        <v>9</v>
      </c>
      <c r="I197" s="16" t="s">
        <v>85</v>
      </c>
      <c r="J197" s="16" t="s">
        <v>90</v>
      </c>
      <c r="K197" s="16" t="s">
        <v>87</v>
      </c>
      <c r="L197" s="17">
        <v>13.06</v>
      </c>
      <c r="M197" s="18">
        <f t="shared" si="10"/>
        <v>-13.06</v>
      </c>
      <c r="N197" s="16" t="s">
        <v>78</v>
      </c>
      <c r="O197" s="15" t="str">
        <f t="shared" si="11"/>
        <v>OK</v>
      </c>
    </row>
    <row r="198" spans="1:15" ht="20.100000000000001" customHeight="1" x14ac:dyDescent="0.25">
      <c r="A198" s="14">
        <v>45889</v>
      </c>
      <c r="B198" s="15" t="str">
        <f t="shared" si="8"/>
        <v>Agosto</v>
      </c>
      <c r="C198" s="15">
        <f t="shared" si="9"/>
        <v>2025</v>
      </c>
      <c r="D198" s="16" t="s">
        <v>79</v>
      </c>
      <c r="E198" s="16" t="s">
        <v>83</v>
      </c>
      <c r="F198" s="16" t="s">
        <v>107</v>
      </c>
      <c r="G198" s="16" t="s">
        <v>33</v>
      </c>
      <c r="H198" s="16" t="s">
        <v>10</v>
      </c>
      <c r="I198" s="16" t="s">
        <v>85</v>
      </c>
      <c r="J198" s="16" t="s">
        <v>108</v>
      </c>
      <c r="K198" s="16" t="s">
        <v>87</v>
      </c>
      <c r="L198" s="17">
        <v>13.57</v>
      </c>
      <c r="M198" s="18">
        <f t="shared" si="10"/>
        <v>-13.57</v>
      </c>
      <c r="N198" s="16" t="s">
        <v>78</v>
      </c>
      <c r="O198" s="15" t="str">
        <f t="shared" si="11"/>
        <v>OK</v>
      </c>
    </row>
    <row r="199" spans="1:15" ht="20.100000000000001" customHeight="1" x14ac:dyDescent="0.25">
      <c r="A199" s="14">
        <v>45890</v>
      </c>
      <c r="B199" s="15" t="str">
        <f t="shared" si="8"/>
        <v>Agosto</v>
      </c>
      <c r="C199" s="15">
        <f t="shared" si="9"/>
        <v>2025</v>
      </c>
      <c r="D199" s="16" t="s">
        <v>79</v>
      </c>
      <c r="E199" s="16" t="s">
        <v>83</v>
      </c>
      <c r="F199" s="16" t="s">
        <v>122</v>
      </c>
      <c r="G199" s="16" t="s">
        <v>31</v>
      </c>
      <c r="H199" s="16" t="s">
        <v>9</v>
      </c>
      <c r="I199" s="16" t="s">
        <v>85</v>
      </c>
      <c r="J199" s="16" t="s">
        <v>123</v>
      </c>
      <c r="K199" s="16" t="s">
        <v>87</v>
      </c>
      <c r="L199" s="17">
        <v>11.83</v>
      </c>
      <c r="M199" s="18">
        <f t="shared" si="10"/>
        <v>-11.83</v>
      </c>
      <c r="N199" s="16" t="s">
        <v>78</v>
      </c>
      <c r="O199" s="15" t="str">
        <f t="shared" si="11"/>
        <v>OK</v>
      </c>
    </row>
    <row r="200" spans="1:15" ht="20.100000000000001" customHeight="1" x14ac:dyDescent="0.25">
      <c r="A200" s="14">
        <v>45891</v>
      </c>
      <c r="B200" s="15" t="str">
        <f t="shared" si="8"/>
        <v>Agosto</v>
      </c>
      <c r="C200" s="15">
        <f t="shared" si="9"/>
        <v>2025</v>
      </c>
      <c r="D200" s="16" t="s">
        <v>79</v>
      </c>
      <c r="E200" s="16" t="s">
        <v>83</v>
      </c>
      <c r="F200" s="16" t="s">
        <v>109</v>
      </c>
      <c r="G200" s="16" t="s">
        <v>33</v>
      </c>
      <c r="H200" s="16" t="s">
        <v>10</v>
      </c>
      <c r="I200" s="16" t="s">
        <v>85</v>
      </c>
      <c r="J200" s="16" t="s">
        <v>110</v>
      </c>
      <c r="K200" s="16" t="s">
        <v>87</v>
      </c>
      <c r="L200" s="17">
        <v>34.6</v>
      </c>
      <c r="M200" s="18">
        <f t="shared" si="10"/>
        <v>-34.6</v>
      </c>
      <c r="N200" s="16" t="s">
        <v>78</v>
      </c>
      <c r="O200" s="15" t="str">
        <f t="shared" si="11"/>
        <v>OK</v>
      </c>
    </row>
    <row r="201" spans="1:15" ht="20.100000000000001" customHeight="1" x14ac:dyDescent="0.25">
      <c r="A201" s="14">
        <v>45893</v>
      </c>
      <c r="B201" s="15" t="str">
        <f t="shared" ref="B201:B264" si="12">IF(A201="","",CHOOSE(MONTH(A201),"Enero","Febrero","Marzo","Abril","Mayo","Junio","Julio","Agosto","Septiembre","Octubre","Noviembre","Diciembre"))</f>
        <v>Agosto</v>
      </c>
      <c r="C201" s="15">
        <f t="shared" ref="C201:C264" si="13">IF(A201="","",YEAR(A201))</f>
        <v>2025</v>
      </c>
      <c r="D201" s="16" t="s">
        <v>79</v>
      </c>
      <c r="E201" s="16" t="s">
        <v>83</v>
      </c>
      <c r="F201" s="16" t="s">
        <v>84</v>
      </c>
      <c r="G201" s="16" t="s">
        <v>29</v>
      </c>
      <c r="H201" s="16" t="s">
        <v>9</v>
      </c>
      <c r="I201" s="16" t="s">
        <v>85</v>
      </c>
      <c r="J201" s="16" t="s">
        <v>86</v>
      </c>
      <c r="K201" s="16" t="s">
        <v>87</v>
      </c>
      <c r="L201" s="17">
        <v>97.41</v>
      </c>
      <c r="M201" s="18">
        <f t="shared" ref="M201:M264" si="14">IF(A201="","",IF(D201="Ingreso",L201,IF(D201="Ahorro",-L201,IF(D201="Transferencia",0,-L201))))</f>
        <v>-97.41</v>
      </c>
      <c r="N201" s="16" t="s">
        <v>78</v>
      </c>
      <c r="O201" s="15" t="str">
        <f t="shared" ref="O201:O264" si="15">IF(COUNTA(A201:N201)=0,"",IF(OR(A201="",D201="",F201="",G201="",H201="",I201="",L201=""),"Revisar","OK"))</f>
        <v>OK</v>
      </c>
    </row>
    <row r="202" spans="1:15" ht="20.100000000000001" customHeight="1" x14ac:dyDescent="0.25">
      <c r="A202" s="14">
        <v>45894</v>
      </c>
      <c r="B202" s="15" t="str">
        <f t="shared" si="12"/>
        <v>Agosto</v>
      </c>
      <c r="C202" s="15">
        <f t="shared" si="13"/>
        <v>2025</v>
      </c>
      <c r="D202" s="16" t="s">
        <v>79</v>
      </c>
      <c r="E202" s="16" t="s">
        <v>88</v>
      </c>
      <c r="F202" s="16" t="s">
        <v>89</v>
      </c>
      <c r="G202" s="16" t="s">
        <v>31</v>
      </c>
      <c r="H202" s="16" t="s">
        <v>9</v>
      </c>
      <c r="I202" s="16" t="s">
        <v>85</v>
      </c>
      <c r="J202" s="16" t="s">
        <v>90</v>
      </c>
      <c r="K202" s="16" t="s">
        <v>87</v>
      </c>
      <c r="L202" s="17">
        <v>8.0500000000000007</v>
      </c>
      <c r="M202" s="18">
        <f t="shared" si="14"/>
        <v>-8.0500000000000007</v>
      </c>
      <c r="N202" s="16" t="s">
        <v>78</v>
      </c>
      <c r="O202" s="15" t="str">
        <f t="shared" si="15"/>
        <v>OK</v>
      </c>
    </row>
    <row r="203" spans="1:15" ht="20.100000000000001" customHeight="1" x14ac:dyDescent="0.25">
      <c r="A203" s="14">
        <v>45895</v>
      </c>
      <c r="B203" s="15" t="str">
        <f t="shared" si="12"/>
        <v>Agosto</v>
      </c>
      <c r="C203" s="15">
        <f t="shared" si="13"/>
        <v>2025</v>
      </c>
      <c r="D203" s="16" t="s">
        <v>79</v>
      </c>
      <c r="E203" s="16" t="s">
        <v>83</v>
      </c>
      <c r="F203" s="16" t="s">
        <v>102</v>
      </c>
      <c r="G203" s="16" t="s">
        <v>29</v>
      </c>
      <c r="H203" s="16" t="s">
        <v>9</v>
      </c>
      <c r="I203" s="16" t="s">
        <v>85</v>
      </c>
      <c r="J203" s="16" t="s">
        <v>103</v>
      </c>
      <c r="K203" s="16" t="s">
        <v>87</v>
      </c>
      <c r="L203" s="17">
        <v>46.38</v>
      </c>
      <c r="M203" s="18">
        <f t="shared" si="14"/>
        <v>-46.38</v>
      </c>
      <c r="N203" s="16" t="s">
        <v>78</v>
      </c>
      <c r="O203" s="15" t="str">
        <f t="shared" si="15"/>
        <v>OK</v>
      </c>
    </row>
    <row r="204" spans="1:15" ht="20.100000000000001" customHeight="1" x14ac:dyDescent="0.25">
      <c r="A204" s="14">
        <v>45896</v>
      </c>
      <c r="B204" s="15" t="str">
        <f t="shared" si="12"/>
        <v>Agosto</v>
      </c>
      <c r="C204" s="15">
        <f t="shared" si="13"/>
        <v>2025</v>
      </c>
      <c r="D204" s="16" t="s">
        <v>30</v>
      </c>
      <c r="E204" s="16" t="s">
        <v>113</v>
      </c>
      <c r="F204" s="16" t="s">
        <v>114</v>
      </c>
      <c r="G204" s="16" t="s">
        <v>41</v>
      </c>
      <c r="H204" s="16" t="s">
        <v>30</v>
      </c>
      <c r="I204" s="16" t="s">
        <v>75</v>
      </c>
      <c r="J204" s="16" t="s">
        <v>115</v>
      </c>
      <c r="K204" s="16" t="s">
        <v>77</v>
      </c>
      <c r="L204" s="17">
        <v>242.48</v>
      </c>
      <c r="M204" s="18">
        <f t="shared" si="14"/>
        <v>-242.48</v>
      </c>
      <c r="N204" s="16" t="s">
        <v>78</v>
      </c>
      <c r="O204" s="15" t="str">
        <f t="shared" si="15"/>
        <v>OK</v>
      </c>
    </row>
    <row r="205" spans="1:15" ht="20.100000000000001" customHeight="1" x14ac:dyDescent="0.25">
      <c r="A205" s="14">
        <v>45897</v>
      </c>
      <c r="B205" s="15" t="str">
        <f t="shared" si="12"/>
        <v>Agosto</v>
      </c>
      <c r="C205" s="15">
        <f t="shared" si="13"/>
        <v>2025</v>
      </c>
      <c r="D205" s="16" t="s">
        <v>79</v>
      </c>
      <c r="E205" s="16" t="s">
        <v>83</v>
      </c>
      <c r="F205" s="16" t="s">
        <v>107</v>
      </c>
      <c r="G205" s="16" t="s">
        <v>33</v>
      </c>
      <c r="H205" s="16" t="s">
        <v>10</v>
      </c>
      <c r="I205" s="16" t="s">
        <v>85</v>
      </c>
      <c r="J205" s="16" t="s">
        <v>108</v>
      </c>
      <c r="K205" s="16" t="s">
        <v>104</v>
      </c>
      <c r="L205" s="17">
        <v>32.979999999999997</v>
      </c>
      <c r="M205" s="18">
        <f t="shared" si="14"/>
        <v>-32.979999999999997</v>
      </c>
      <c r="N205" s="16" t="s">
        <v>78</v>
      </c>
      <c r="O205" s="15" t="str">
        <f t="shared" si="15"/>
        <v>OK</v>
      </c>
    </row>
    <row r="206" spans="1:15" ht="20.100000000000001" customHeight="1" x14ac:dyDescent="0.25">
      <c r="A206" s="14">
        <v>45897</v>
      </c>
      <c r="B206" s="15" t="str">
        <f t="shared" si="12"/>
        <v>Agosto</v>
      </c>
      <c r="C206" s="15">
        <f t="shared" si="13"/>
        <v>2025</v>
      </c>
      <c r="D206" s="16" t="s">
        <v>30</v>
      </c>
      <c r="E206" s="16" t="s">
        <v>113</v>
      </c>
      <c r="F206" s="16" t="s">
        <v>116</v>
      </c>
      <c r="G206" s="16" t="s">
        <v>41</v>
      </c>
      <c r="H206" s="16" t="s">
        <v>30</v>
      </c>
      <c r="I206" s="16" t="s">
        <v>85</v>
      </c>
      <c r="J206" s="16" t="s">
        <v>117</v>
      </c>
      <c r="K206" s="16" t="s">
        <v>77</v>
      </c>
      <c r="L206" s="17">
        <v>64.72</v>
      </c>
      <c r="M206" s="18">
        <f t="shared" si="14"/>
        <v>-64.72</v>
      </c>
      <c r="N206" s="16" t="s">
        <v>78</v>
      </c>
      <c r="O206" s="15" t="str">
        <f t="shared" si="15"/>
        <v>OK</v>
      </c>
    </row>
    <row r="207" spans="1:15" ht="20.100000000000001" customHeight="1" x14ac:dyDescent="0.25">
      <c r="A207" s="14">
        <v>45901</v>
      </c>
      <c r="B207" s="15" t="str">
        <f t="shared" si="12"/>
        <v>Septiembre</v>
      </c>
      <c r="C207" s="15">
        <f t="shared" si="13"/>
        <v>2025</v>
      </c>
      <c r="D207" s="16" t="s">
        <v>71</v>
      </c>
      <c r="E207" s="16" t="s">
        <v>72</v>
      </c>
      <c r="F207" s="16" t="s">
        <v>73</v>
      </c>
      <c r="G207" s="16" t="s">
        <v>74</v>
      </c>
      <c r="H207" s="16" t="s">
        <v>37</v>
      </c>
      <c r="I207" s="16" t="s">
        <v>75</v>
      </c>
      <c r="J207" s="16" t="s">
        <v>76</v>
      </c>
      <c r="K207" s="16" t="s">
        <v>77</v>
      </c>
      <c r="L207" s="17">
        <v>2500.09</v>
      </c>
      <c r="M207" s="18">
        <f t="shared" si="14"/>
        <v>2500.09</v>
      </c>
      <c r="N207" s="16" t="s">
        <v>78</v>
      </c>
      <c r="O207" s="15" t="str">
        <f t="shared" si="15"/>
        <v>OK</v>
      </c>
    </row>
    <row r="208" spans="1:15" ht="20.100000000000001" customHeight="1" x14ac:dyDescent="0.25">
      <c r="A208" s="14">
        <v>45902</v>
      </c>
      <c r="B208" s="15" t="str">
        <f t="shared" si="12"/>
        <v>Septiembre</v>
      </c>
      <c r="C208" s="15">
        <f t="shared" si="13"/>
        <v>2025</v>
      </c>
      <c r="D208" s="16" t="s">
        <v>79</v>
      </c>
      <c r="E208" s="16" t="s">
        <v>80</v>
      </c>
      <c r="F208" s="16" t="s">
        <v>81</v>
      </c>
      <c r="G208" s="16" t="s">
        <v>28</v>
      </c>
      <c r="H208" s="16" t="s">
        <v>9</v>
      </c>
      <c r="I208" s="16" t="s">
        <v>75</v>
      </c>
      <c r="J208" s="16" t="s">
        <v>82</v>
      </c>
      <c r="K208" s="16" t="s">
        <v>77</v>
      </c>
      <c r="L208" s="17">
        <v>980</v>
      </c>
      <c r="M208" s="18">
        <f t="shared" si="14"/>
        <v>-980</v>
      </c>
      <c r="N208" s="16" t="s">
        <v>78</v>
      </c>
      <c r="O208" s="15" t="str">
        <f t="shared" si="15"/>
        <v>OK</v>
      </c>
    </row>
    <row r="209" spans="1:15" ht="20.100000000000001" customHeight="1" x14ac:dyDescent="0.25">
      <c r="A209" s="14">
        <v>45903</v>
      </c>
      <c r="B209" s="15" t="str">
        <f t="shared" si="12"/>
        <v>Septiembre</v>
      </c>
      <c r="C209" s="15">
        <f t="shared" si="13"/>
        <v>2025</v>
      </c>
      <c r="D209" s="16" t="s">
        <v>79</v>
      </c>
      <c r="E209" s="16" t="s">
        <v>83</v>
      </c>
      <c r="F209" s="16" t="s">
        <v>84</v>
      </c>
      <c r="G209" s="16" t="s">
        <v>29</v>
      </c>
      <c r="H209" s="16" t="s">
        <v>9</v>
      </c>
      <c r="I209" s="16" t="s">
        <v>85</v>
      </c>
      <c r="J209" s="16" t="s">
        <v>86</v>
      </c>
      <c r="K209" s="16" t="s">
        <v>87</v>
      </c>
      <c r="L209" s="17">
        <v>101.83</v>
      </c>
      <c r="M209" s="18">
        <f t="shared" si="14"/>
        <v>-101.83</v>
      </c>
      <c r="N209" s="16" t="s">
        <v>78</v>
      </c>
      <c r="O209" s="15" t="str">
        <f t="shared" si="15"/>
        <v>OK</v>
      </c>
    </row>
    <row r="210" spans="1:15" ht="20.100000000000001" customHeight="1" x14ac:dyDescent="0.25">
      <c r="A210" s="14">
        <v>45904</v>
      </c>
      <c r="B210" s="15" t="str">
        <f t="shared" si="12"/>
        <v>Septiembre</v>
      </c>
      <c r="C210" s="15">
        <f t="shared" si="13"/>
        <v>2025</v>
      </c>
      <c r="D210" s="16" t="s">
        <v>79</v>
      </c>
      <c r="E210" s="16" t="s">
        <v>88</v>
      </c>
      <c r="F210" s="16" t="s">
        <v>89</v>
      </c>
      <c r="G210" s="16" t="s">
        <v>31</v>
      </c>
      <c r="H210" s="16" t="s">
        <v>9</v>
      </c>
      <c r="I210" s="16" t="s">
        <v>85</v>
      </c>
      <c r="J210" s="16" t="s">
        <v>90</v>
      </c>
      <c r="K210" s="16" t="s">
        <v>87</v>
      </c>
      <c r="L210" s="17">
        <v>7.24</v>
      </c>
      <c r="M210" s="18">
        <f t="shared" si="14"/>
        <v>-7.24</v>
      </c>
      <c r="N210" s="16" t="s">
        <v>78</v>
      </c>
      <c r="O210" s="15" t="str">
        <f t="shared" si="15"/>
        <v>OK</v>
      </c>
    </row>
    <row r="211" spans="1:15" ht="20.100000000000001" customHeight="1" x14ac:dyDescent="0.25">
      <c r="A211" s="14">
        <v>45905</v>
      </c>
      <c r="B211" s="15" t="str">
        <f t="shared" si="12"/>
        <v>Septiembre</v>
      </c>
      <c r="C211" s="15">
        <f t="shared" si="13"/>
        <v>2025</v>
      </c>
      <c r="D211" s="16" t="s">
        <v>79</v>
      </c>
      <c r="E211" s="16" t="s">
        <v>80</v>
      </c>
      <c r="F211" s="16" t="s">
        <v>91</v>
      </c>
      <c r="G211" s="16" t="s">
        <v>28</v>
      </c>
      <c r="H211" s="16" t="s">
        <v>9</v>
      </c>
      <c r="I211" s="16" t="s">
        <v>75</v>
      </c>
      <c r="J211" s="16" t="s">
        <v>92</v>
      </c>
      <c r="K211" s="16" t="s">
        <v>93</v>
      </c>
      <c r="L211" s="17">
        <v>27.15</v>
      </c>
      <c r="M211" s="18">
        <f t="shared" si="14"/>
        <v>-27.15</v>
      </c>
      <c r="N211" s="16" t="s">
        <v>78</v>
      </c>
      <c r="O211" s="15" t="str">
        <f t="shared" si="15"/>
        <v>OK</v>
      </c>
    </row>
    <row r="212" spans="1:15" ht="20.100000000000001" customHeight="1" x14ac:dyDescent="0.25">
      <c r="A212" s="14">
        <v>45906</v>
      </c>
      <c r="B212" s="15" t="str">
        <f t="shared" si="12"/>
        <v>Septiembre</v>
      </c>
      <c r="C212" s="15">
        <f t="shared" si="13"/>
        <v>2025</v>
      </c>
      <c r="D212" s="16" t="s">
        <v>79</v>
      </c>
      <c r="E212" s="16" t="s">
        <v>80</v>
      </c>
      <c r="F212" s="16" t="s">
        <v>94</v>
      </c>
      <c r="G212" s="16" t="s">
        <v>28</v>
      </c>
      <c r="H212" s="16" t="s">
        <v>9</v>
      </c>
      <c r="I212" s="16" t="s">
        <v>75</v>
      </c>
      <c r="J212" s="16" t="s">
        <v>95</v>
      </c>
      <c r="K212" s="16" t="s">
        <v>93</v>
      </c>
      <c r="L212" s="17">
        <v>20.75</v>
      </c>
      <c r="M212" s="18">
        <f t="shared" si="14"/>
        <v>-20.75</v>
      </c>
      <c r="N212" s="16" t="s">
        <v>78</v>
      </c>
      <c r="O212" s="15" t="str">
        <f t="shared" si="15"/>
        <v>OK</v>
      </c>
    </row>
    <row r="213" spans="1:15" ht="20.100000000000001" customHeight="1" x14ac:dyDescent="0.25">
      <c r="A213" s="14">
        <v>45907</v>
      </c>
      <c r="B213" s="15" t="str">
        <f t="shared" si="12"/>
        <v>Septiembre</v>
      </c>
      <c r="C213" s="15">
        <f t="shared" si="13"/>
        <v>2025</v>
      </c>
      <c r="D213" s="16" t="s">
        <v>79</v>
      </c>
      <c r="E213" s="16" t="s">
        <v>80</v>
      </c>
      <c r="F213" s="16" t="s">
        <v>96</v>
      </c>
      <c r="G213" s="16" t="s">
        <v>28</v>
      </c>
      <c r="H213" s="16" t="s">
        <v>9</v>
      </c>
      <c r="I213" s="16" t="s">
        <v>75</v>
      </c>
      <c r="J213" s="16" t="s">
        <v>97</v>
      </c>
      <c r="K213" s="16" t="s">
        <v>93</v>
      </c>
      <c r="L213" s="17">
        <v>35</v>
      </c>
      <c r="M213" s="18">
        <f t="shared" si="14"/>
        <v>-35</v>
      </c>
      <c r="N213" s="16" t="s">
        <v>78</v>
      </c>
      <c r="O213" s="15" t="str">
        <f t="shared" si="15"/>
        <v>OK</v>
      </c>
    </row>
    <row r="214" spans="1:15" ht="20.100000000000001" customHeight="1" x14ac:dyDescent="0.25">
      <c r="A214" s="14">
        <v>45908</v>
      </c>
      <c r="B214" s="15" t="str">
        <f t="shared" si="12"/>
        <v>Septiembre</v>
      </c>
      <c r="C214" s="15">
        <f t="shared" si="13"/>
        <v>2025</v>
      </c>
      <c r="D214" s="16" t="s">
        <v>79</v>
      </c>
      <c r="E214" s="16" t="s">
        <v>80</v>
      </c>
      <c r="F214" s="16" t="s">
        <v>98</v>
      </c>
      <c r="G214" s="16" t="s">
        <v>32</v>
      </c>
      <c r="H214" s="16" t="s">
        <v>9</v>
      </c>
      <c r="I214" s="16" t="s">
        <v>75</v>
      </c>
      <c r="J214" s="16" t="s">
        <v>99</v>
      </c>
      <c r="K214" s="16" t="s">
        <v>93</v>
      </c>
      <c r="L214" s="17">
        <v>18</v>
      </c>
      <c r="M214" s="18">
        <f t="shared" si="14"/>
        <v>-18</v>
      </c>
      <c r="N214" s="16" t="s">
        <v>78</v>
      </c>
      <c r="O214" s="15" t="str">
        <f t="shared" si="15"/>
        <v>OK</v>
      </c>
    </row>
    <row r="215" spans="1:15" ht="20.100000000000001" customHeight="1" x14ac:dyDescent="0.25">
      <c r="A215" s="14">
        <v>45909</v>
      </c>
      <c r="B215" s="15" t="str">
        <f t="shared" si="12"/>
        <v>Septiembre</v>
      </c>
      <c r="C215" s="15">
        <f t="shared" si="13"/>
        <v>2025</v>
      </c>
      <c r="D215" s="16" t="s">
        <v>79</v>
      </c>
      <c r="E215" s="16" t="s">
        <v>83</v>
      </c>
      <c r="F215" s="16" t="s">
        <v>100</v>
      </c>
      <c r="G215" s="16" t="s">
        <v>39</v>
      </c>
      <c r="H215" s="16" t="s">
        <v>9</v>
      </c>
      <c r="I215" s="16" t="s">
        <v>75</v>
      </c>
      <c r="J215" s="16" t="s">
        <v>101</v>
      </c>
      <c r="K215" s="16" t="s">
        <v>87</v>
      </c>
      <c r="L215" s="17">
        <v>24</v>
      </c>
      <c r="M215" s="18">
        <f t="shared" si="14"/>
        <v>-24</v>
      </c>
      <c r="N215" s="16" t="s">
        <v>78</v>
      </c>
      <c r="O215" s="15" t="str">
        <f t="shared" si="15"/>
        <v>OK</v>
      </c>
    </row>
    <row r="216" spans="1:15" ht="20.100000000000001" customHeight="1" x14ac:dyDescent="0.25">
      <c r="A216" s="14">
        <v>45910</v>
      </c>
      <c r="B216" s="15" t="str">
        <f t="shared" si="12"/>
        <v>Septiembre</v>
      </c>
      <c r="C216" s="15">
        <f t="shared" si="13"/>
        <v>2025</v>
      </c>
      <c r="D216" s="16" t="s">
        <v>79</v>
      </c>
      <c r="E216" s="16" t="s">
        <v>83</v>
      </c>
      <c r="F216" s="16" t="s">
        <v>84</v>
      </c>
      <c r="G216" s="16" t="s">
        <v>29</v>
      </c>
      <c r="H216" s="16" t="s">
        <v>9</v>
      </c>
      <c r="I216" s="16" t="s">
        <v>85</v>
      </c>
      <c r="J216" s="16" t="s">
        <v>86</v>
      </c>
      <c r="K216" s="16" t="s">
        <v>87</v>
      </c>
      <c r="L216" s="17">
        <v>85.77</v>
      </c>
      <c r="M216" s="18">
        <f t="shared" si="14"/>
        <v>-85.77</v>
      </c>
      <c r="N216" s="16" t="s">
        <v>78</v>
      </c>
      <c r="O216" s="15" t="str">
        <f t="shared" si="15"/>
        <v>OK</v>
      </c>
    </row>
    <row r="217" spans="1:15" ht="20.100000000000001" customHeight="1" x14ac:dyDescent="0.25">
      <c r="A217" s="14">
        <v>45911</v>
      </c>
      <c r="B217" s="15" t="str">
        <f t="shared" si="12"/>
        <v>Septiembre</v>
      </c>
      <c r="C217" s="15">
        <f t="shared" si="13"/>
        <v>2025</v>
      </c>
      <c r="D217" s="16" t="s">
        <v>79</v>
      </c>
      <c r="E217" s="16" t="s">
        <v>88</v>
      </c>
      <c r="F217" s="16" t="s">
        <v>89</v>
      </c>
      <c r="G217" s="16" t="s">
        <v>31</v>
      </c>
      <c r="H217" s="16" t="s">
        <v>9</v>
      </c>
      <c r="I217" s="16" t="s">
        <v>85</v>
      </c>
      <c r="J217" s="16" t="s">
        <v>90</v>
      </c>
      <c r="K217" s="16" t="s">
        <v>87</v>
      </c>
      <c r="L217" s="17">
        <v>10.56</v>
      </c>
      <c r="M217" s="18">
        <f t="shared" si="14"/>
        <v>-10.56</v>
      </c>
      <c r="N217" s="16" t="s">
        <v>78</v>
      </c>
      <c r="O217" s="15" t="str">
        <f t="shared" si="15"/>
        <v>OK</v>
      </c>
    </row>
    <row r="218" spans="1:15" ht="20.100000000000001" customHeight="1" x14ac:dyDescent="0.25">
      <c r="A218" s="14">
        <v>45912</v>
      </c>
      <c r="B218" s="15" t="str">
        <f t="shared" si="12"/>
        <v>Septiembre</v>
      </c>
      <c r="C218" s="15">
        <f t="shared" si="13"/>
        <v>2025</v>
      </c>
      <c r="D218" s="16" t="s">
        <v>79</v>
      </c>
      <c r="E218" s="16" t="s">
        <v>83</v>
      </c>
      <c r="F218" s="16" t="s">
        <v>102</v>
      </c>
      <c r="G218" s="16" t="s">
        <v>29</v>
      </c>
      <c r="H218" s="16" t="s">
        <v>9</v>
      </c>
      <c r="I218" s="16" t="s">
        <v>85</v>
      </c>
      <c r="J218" s="16" t="s">
        <v>103</v>
      </c>
      <c r="K218" s="16" t="s">
        <v>104</v>
      </c>
      <c r="L218" s="17">
        <v>31.21</v>
      </c>
      <c r="M218" s="18">
        <f t="shared" si="14"/>
        <v>-31.21</v>
      </c>
      <c r="N218" s="16" t="s">
        <v>78</v>
      </c>
      <c r="O218" s="15" t="str">
        <f t="shared" si="15"/>
        <v>OK</v>
      </c>
    </row>
    <row r="219" spans="1:15" ht="20.100000000000001" customHeight="1" x14ac:dyDescent="0.25">
      <c r="A219" s="14">
        <v>45914</v>
      </c>
      <c r="B219" s="15" t="str">
        <f t="shared" si="12"/>
        <v>Septiembre</v>
      </c>
      <c r="C219" s="15">
        <f t="shared" si="13"/>
        <v>2025</v>
      </c>
      <c r="D219" s="16" t="s">
        <v>79</v>
      </c>
      <c r="E219" s="16" t="s">
        <v>83</v>
      </c>
      <c r="F219" s="16" t="s">
        <v>107</v>
      </c>
      <c r="G219" s="16" t="s">
        <v>33</v>
      </c>
      <c r="H219" s="16" t="s">
        <v>10</v>
      </c>
      <c r="I219" s="16" t="s">
        <v>85</v>
      </c>
      <c r="J219" s="16" t="s">
        <v>108</v>
      </c>
      <c r="K219" s="16" t="s">
        <v>87</v>
      </c>
      <c r="L219" s="17">
        <v>11.28</v>
      </c>
      <c r="M219" s="18">
        <f t="shared" si="14"/>
        <v>-11.28</v>
      </c>
      <c r="N219" s="16" t="s">
        <v>78</v>
      </c>
      <c r="O219" s="15" t="str">
        <f t="shared" si="15"/>
        <v>OK</v>
      </c>
    </row>
    <row r="220" spans="1:15" ht="20.100000000000001" customHeight="1" x14ac:dyDescent="0.25">
      <c r="A220" s="14">
        <v>45915</v>
      </c>
      <c r="B220" s="15" t="str">
        <f t="shared" si="12"/>
        <v>Septiembre</v>
      </c>
      <c r="C220" s="15">
        <f t="shared" si="13"/>
        <v>2025</v>
      </c>
      <c r="D220" s="16" t="s">
        <v>79</v>
      </c>
      <c r="E220" s="16" t="s">
        <v>83</v>
      </c>
      <c r="F220" s="16" t="s">
        <v>111</v>
      </c>
      <c r="G220" s="16" t="s">
        <v>35</v>
      </c>
      <c r="H220" s="16" t="s">
        <v>10</v>
      </c>
      <c r="I220" s="16" t="s">
        <v>85</v>
      </c>
      <c r="J220" s="16" t="s">
        <v>112</v>
      </c>
      <c r="K220" s="16" t="s">
        <v>87</v>
      </c>
      <c r="L220" s="17">
        <v>21.59</v>
      </c>
      <c r="M220" s="18">
        <f t="shared" si="14"/>
        <v>-21.59</v>
      </c>
      <c r="N220" s="16" t="s">
        <v>78</v>
      </c>
      <c r="O220" s="15" t="str">
        <f t="shared" si="15"/>
        <v>OK</v>
      </c>
    </row>
    <row r="221" spans="1:15" ht="20.100000000000001" customHeight="1" x14ac:dyDescent="0.25">
      <c r="A221" s="14">
        <v>45917</v>
      </c>
      <c r="B221" s="15" t="str">
        <f t="shared" si="12"/>
        <v>Septiembre</v>
      </c>
      <c r="C221" s="15">
        <f t="shared" si="13"/>
        <v>2025</v>
      </c>
      <c r="D221" s="16" t="s">
        <v>79</v>
      </c>
      <c r="E221" s="16" t="s">
        <v>83</v>
      </c>
      <c r="F221" s="16" t="s">
        <v>84</v>
      </c>
      <c r="G221" s="16" t="s">
        <v>29</v>
      </c>
      <c r="H221" s="16" t="s">
        <v>9</v>
      </c>
      <c r="I221" s="16" t="s">
        <v>85</v>
      </c>
      <c r="J221" s="16" t="s">
        <v>86</v>
      </c>
      <c r="K221" s="16" t="s">
        <v>87</v>
      </c>
      <c r="L221" s="17">
        <v>84.24</v>
      </c>
      <c r="M221" s="18">
        <f t="shared" si="14"/>
        <v>-84.24</v>
      </c>
      <c r="N221" s="16" t="s">
        <v>78</v>
      </c>
      <c r="O221" s="15" t="str">
        <f t="shared" si="15"/>
        <v>OK</v>
      </c>
    </row>
    <row r="222" spans="1:15" ht="20.100000000000001" customHeight="1" x14ac:dyDescent="0.25">
      <c r="A222" s="14">
        <v>45918</v>
      </c>
      <c r="B222" s="15" t="str">
        <f t="shared" si="12"/>
        <v>Septiembre</v>
      </c>
      <c r="C222" s="15">
        <f t="shared" si="13"/>
        <v>2025</v>
      </c>
      <c r="D222" s="16" t="s">
        <v>79</v>
      </c>
      <c r="E222" s="16" t="s">
        <v>88</v>
      </c>
      <c r="F222" s="16" t="s">
        <v>89</v>
      </c>
      <c r="G222" s="16" t="s">
        <v>31</v>
      </c>
      <c r="H222" s="16" t="s">
        <v>9</v>
      </c>
      <c r="I222" s="16" t="s">
        <v>85</v>
      </c>
      <c r="J222" s="16" t="s">
        <v>90</v>
      </c>
      <c r="K222" s="16" t="s">
        <v>87</v>
      </c>
      <c r="L222" s="17">
        <v>13.08</v>
      </c>
      <c r="M222" s="18">
        <f t="shared" si="14"/>
        <v>-13.08</v>
      </c>
      <c r="N222" s="16" t="s">
        <v>78</v>
      </c>
      <c r="O222" s="15" t="str">
        <f t="shared" si="15"/>
        <v>OK</v>
      </c>
    </row>
    <row r="223" spans="1:15" ht="20.100000000000001" customHeight="1" x14ac:dyDescent="0.25">
      <c r="A223" s="14">
        <v>45919</v>
      </c>
      <c r="B223" s="15" t="str">
        <f t="shared" si="12"/>
        <v>Septiembre</v>
      </c>
      <c r="C223" s="15">
        <f t="shared" si="13"/>
        <v>2025</v>
      </c>
      <c r="D223" s="16" t="s">
        <v>71</v>
      </c>
      <c r="E223" s="16" t="s">
        <v>72</v>
      </c>
      <c r="F223" s="16" t="s">
        <v>118</v>
      </c>
      <c r="G223" s="16" t="s">
        <v>119</v>
      </c>
      <c r="H223" s="16" t="s">
        <v>37</v>
      </c>
      <c r="I223" s="16" t="s">
        <v>85</v>
      </c>
      <c r="J223" s="16" t="s">
        <v>126</v>
      </c>
      <c r="K223" s="16" t="s">
        <v>77</v>
      </c>
      <c r="L223" s="17">
        <v>224.25</v>
      </c>
      <c r="M223" s="18">
        <f t="shared" si="14"/>
        <v>224.25</v>
      </c>
      <c r="N223" s="16" t="s">
        <v>121</v>
      </c>
      <c r="O223" s="15" t="str">
        <f t="shared" si="15"/>
        <v>OK</v>
      </c>
    </row>
    <row r="224" spans="1:15" ht="20.100000000000001" customHeight="1" x14ac:dyDescent="0.25">
      <c r="A224" s="14">
        <v>45920</v>
      </c>
      <c r="B224" s="15" t="str">
        <f t="shared" si="12"/>
        <v>Septiembre</v>
      </c>
      <c r="C224" s="15">
        <f t="shared" si="13"/>
        <v>2025</v>
      </c>
      <c r="D224" s="16" t="s">
        <v>79</v>
      </c>
      <c r="E224" s="16" t="s">
        <v>83</v>
      </c>
      <c r="F224" s="16" t="s">
        <v>107</v>
      </c>
      <c r="G224" s="16" t="s">
        <v>33</v>
      </c>
      <c r="H224" s="16" t="s">
        <v>10</v>
      </c>
      <c r="I224" s="16" t="s">
        <v>85</v>
      </c>
      <c r="J224" s="16" t="s">
        <v>108</v>
      </c>
      <c r="K224" s="16" t="s">
        <v>124</v>
      </c>
      <c r="L224" s="17">
        <v>19.22</v>
      </c>
      <c r="M224" s="18">
        <f t="shared" si="14"/>
        <v>-19.22</v>
      </c>
      <c r="N224" s="16" t="s">
        <v>78</v>
      </c>
      <c r="O224" s="15" t="str">
        <f t="shared" si="15"/>
        <v>OK</v>
      </c>
    </row>
    <row r="225" spans="1:15" ht="20.100000000000001" customHeight="1" x14ac:dyDescent="0.25">
      <c r="A225" s="14">
        <v>45924</v>
      </c>
      <c r="B225" s="15" t="str">
        <f t="shared" si="12"/>
        <v>Septiembre</v>
      </c>
      <c r="C225" s="15">
        <f t="shared" si="13"/>
        <v>2025</v>
      </c>
      <c r="D225" s="16" t="s">
        <v>79</v>
      </c>
      <c r="E225" s="16" t="s">
        <v>83</v>
      </c>
      <c r="F225" s="16" t="s">
        <v>84</v>
      </c>
      <c r="G225" s="16" t="s">
        <v>29</v>
      </c>
      <c r="H225" s="16" t="s">
        <v>9</v>
      </c>
      <c r="I225" s="16" t="s">
        <v>85</v>
      </c>
      <c r="J225" s="16" t="s">
        <v>86</v>
      </c>
      <c r="K225" s="16" t="s">
        <v>87</v>
      </c>
      <c r="L225" s="17">
        <v>92.73</v>
      </c>
      <c r="M225" s="18">
        <f t="shared" si="14"/>
        <v>-92.73</v>
      </c>
      <c r="N225" s="16" t="s">
        <v>78</v>
      </c>
      <c r="O225" s="15" t="str">
        <f t="shared" si="15"/>
        <v>OK</v>
      </c>
    </row>
    <row r="226" spans="1:15" ht="20.100000000000001" customHeight="1" x14ac:dyDescent="0.25">
      <c r="A226" s="14">
        <v>45925</v>
      </c>
      <c r="B226" s="15" t="str">
        <f t="shared" si="12"/>
        <v>Septiembre</v>
      </c>
      <c r="C226" s="15">
        <f t="shared" si="13"/>
        <v>2025</v>
      </c>
      <c r="D226" s="16" t="s">
        <v>79</v>
      </c>
      <c r="E226" s="16" t="s">
        <v>88</v>
      </c>
      <c r="F226" s="16" t="s">
        <v>89</v>
      </c>
      <c r="G226" s="16" t="s">
        <v>31</v>
      </c>
      <c r="H226" s="16" t="s">
        <v>9</v>
      </c>
      <c r="I226" s="16" t="s">
        <v>85</v>
      </c>
      <c r="J226" s="16" t="s">
        <v>90</v>
      </c>
      <c r="K226" s="16" t="s">
        <v>87</v>
      </c>
      <c r="L226" s="17">
        <v>7.33</v>
      </c>
      <c r="M226" s="18">
        <f t="shared" si="14"/>
        <v>-7.33</v>
      </c>
      <c r="N226" s="16" t="s">
        <v>78</v>
      </c>
      <c r="O226" s="15" t="str">
        <f t="shared" si="15"/>
        <v>OK</v>
      </c>
    </row>
    <row r="227" spans="1:15" ht="20.100000000000001" customHeight="1" x14ac:dyDescent="0.25">
      <c r="A227" s="14">
        <v>45926</v>
      </c>
      <c r="B227" s="15" t="str">
        <f t="shared" si="12"/>
        <v>Septiembre</v>
      </c>
      <c r="C227" s="15">
        <f t="shared" si="13"/>
        <v>2025</v>
      </c>
      <c r="D227" s="16" t="s">
        <v>79</v>
      </c>
      <c r="E227" s="16" t="s">
        <v>83</v>
      </c>
      <c r="F227" s="16" t="s">
        <v>102</v>
      </c>
      <c r="G227" s="16" t="s">
        <v>29</v>
      </c>
      <c r="H227" s="16" t="s">
        <v>9</v>
      </c>
      <c r="I227" s="16" t="s">
        <v>85</v>
      </c>
      <c r="J227" s="16" t="s">
        <v>103</v>
      </c>
      <c r="K227" s="16" t="s">
        <v>87</v>
      </c>
      <c r="L227" s="17">
        <v>42.57</v>
      </c>
      <c r="M227" s="18">
        <f t="shared" si="14"/>
        <v>-42.57</v>
      </c>
      <c r="N227" s="16" t="s">
        <v>78</v>
      </c>
      <c r="O227" s="15" t="str">
        <f t="shared" si="15"/>
        <v>OK</v>
      </c>
    </row>
    <row r="228" spans="1:15" ht="20.100000000000001" customHeight="1" x14ac:dyDescent="0.25">
      <c r="A228" s="14">
        <v>45927</v>
      </c>
      <c r="B228" s="15" t="str">
        <f t="shared" si="12"/>
        <v>Septiembre</v>
      </c>
      <c r="C228" s="15">
        <f t="shared" si="13"/>
        <v>2025</v>
      </c>
      <c r="D228" s="16" t="s">
        <v>30</v>
      </c>
      <c r="E228" s="16" t="s">
        <v>113</v>
      </c>
      <c r="F228" s="16" t="s">
        <v>114</v>
      </c>
      <c r="G228" s="16" t="s">
        <v>41</v>
      </c>
      <c r="H228" s="16" t="s">
        <v>30</v>
      </c>
      <c r="I228" s="16" t="s">
        <v>75</v>
      </c>
      <c r="J228" s="16" t="s">
        <v>115</v>
      </c>
      <c r="K228" s="16" t="s">
        <v>77</v>
      </c>
      <c r="L228" s="17">
        <v>247.17</v>
      </c>
      <c r="M228" s="18">
        <f t="shared" si="14"/>
        <v>-247.17</v>
      </c>
      <c r="N228" s="16" t="s">
        <v>78</v>
      </c>
      <c r="O228" s="15" t="str">
        <f t="shared" si="15"/>
        <v>OK</v>
      </c>
    </row>
    <row r="229" spans="1:15" ht="20.100000000000001" customHeight="1" x14ac:dyDescent="0.25">
      <c r="A229" s="14">
        <v>45928</v>
      </c>
      <c r="B229" s="15" t="str">
        <f t="shared" si="12"/>
        <v>Septiembre</v>
      </c>
      <c r="C229" s="15">
        <f t="shared" si="13"/>
        <v>2025</v>
      </c>
      <c r="D229" s="16" t="s">
        <v>79</v>
      </c>
      <c r="E229" s="16" t="s">
        <v>83</v>
      </c>
      <c r="F229" s="16" t="s">
        <v>107</v>
      </c>
      <c r="G229" s="16" t="s">
        <v>33</v>
      </c>
      <c r="H229" s="16" t="s">
        <v>10</v>
      </c>
      <c r="I229" s="16" t="s">
        <v>85</v>
      </c>
      <c r="J229" s="16" t="s">
        <v>108</v>
      </c>
      <c r="K229" s="16" t="s">
        <v>124</v>
      </c>
      <c r="L229" s="17">
        <v>15.5</v>
      </c>
      <c r="M229" s="18">
        <f t="shared" si="14"/>
        <v>-15.5</v>
      </c>
      <c r="N229" s="16" t="s">
        <v>78</v>
      </c>
      <c r="O229" s="15" t="str">
        <f t="shared" si="15"/>
        <v>OK</v>
      </c>
    </row>
    <row r="230" spans="1:15" ht="20.100000000000001" customHeight="1" x14ac:dyDescent="0.25">
      <c r="A230" s="14">
        <v>45928</v>
      </c>
      <c r="B230" s="15" t="str">
        <f t="shared" si="12"/>
        <v>Septiembre</v>
      </c>
      <c r="C230" s="15">
        <f t="shared" si="13"/>
        <v>2025</v>
      </c>
      <c r="D230" s="16" t="s">
        <v>30</v>
      </c>
      <c r="E230" s="16" t="s">
        <v>113</v>
      </c>
      <c r="F230" s="16" t="s">
        <v>116</v>
      </c>
      <c r="G230" s="16" t="s">
        <v>41</v>
      </c>
      <c r="H230" s="16" t="s">
        <v>30</v>
      </c>
      <c r="I230" s="16" t="s">
        <v>85</v>
      </c>
      <c r="J230" s="16" t="s">
        <v>117</v>
      </c>
      <c r="K230" s="16" t="s">
        <v>77</v>
      </c>
      <c r="L230" s="17">
        <v>62.01</v>
      </c>
      <c r="M230" s="18">
        <f t="shared" si="14"/>
        <v>-62.01</v>
      </c>
      <c r="N230" s="16" t="s">
        <v>78</v>
      </c>
      <c r="O230" s="15" t="str">
        <f t="shared" si="15"/>
        <v>OK</v>
      </c>
    </row>
    <row r="231" spans="1:15" ht="20.100000000000001" customHeight="1" x14ac:dyDescent="0.25">
      <c r="A231" s="14">
        <v>45931</v>
      </c>
      <c r="B231" s="15" t="str">
        <f t="shared" si="12"/>
        <v>Octubre</v>
      </c>
      <c r="C231" s="15">
        <f t="shared" si="13"/>
        <v>2025</v>
      </c>
      <c r="D231" s="16" t="s">
        <v>71</v>
      </c>
      <c r="E231" s="16" t="s">
        <v>72</v>
      </c>
      <c r="F231" s="16" t="s">
        <v>73</v>
      </c>
      <c r="G231" s="16" t="s">
        <v>74</v>
      </c>
      <c r="H231" s="16" t="s">
        <v>37</v>
      </c>
      <c r="I231" s="16" t="s">
        <v>75</v>
      </c>
      <c r="J231" s="16" t="s">
        <v>76</v>
      </c>
      <c r="K231" s="16" t="s">
        <v>77</v>
      </c>
      <c r="L231" s="17">
        <v>2489.44</v>
      </c>
      <c r="M231" s="18">
        <f t="shared" si="14"/>
        <v>2489.44</v>
      </c>
      <c r="N231" s="16" t="s">
        <v>78</v>
      </c>
      <c r="O231" s="15" t="str">
        <f t="shared" si="15"/>
        <v>OK</v>
      </c>
    </row>
    <row r="232" spans="1:15" ht="20.100000000000001" customHeight="1" x14ac:dyDescent="0.25">
      <c r="A232" s="14">
        <v>45932</v>
      </c>
      <c r="B232" s="15" t="str">
        <f t="shared" si="12"/>
        <v>Octubre</v>
      </c>
      <c r="C232" s="15">
        <f t="shared" si="13"/>
        <v>2025</v>
      </c>
      <c r="D232" s="16" t="s">
        <v>79</v>
      </c>
      <c r="E232" s="16" t="s">
        <v>80</v>
      </c>
      <c r="F232" s="16" t="s">
        <v>81</v>
      </c>
      <c r="G232" s="16" t="s">
        <v>28</v>
      </c>
      <c r="H232" s="16" t="s">
        <v>9</v>
      </c>
      <c r="I232" s="16" t="s">
        <v>75</v>
      </c>
      <c r="J232" s="16" t="s">
        <v>82</v>
      </c>
      <c r="K232" s="16" t="s">
        <v>77</v>
      </c>
      <c r="L232" s="17">
        <v>980</v>
      </c>
      <c r="M232" s="18">
        <f t="shared" si="14"/>
        <v>-980</v>
      </c>
      <c r="N232" s="16" t="s">
        <v>78</v>
      </c>
      <c r="O232" s="15" t="str">
        <f t="shared" si="15"/>
        <v>OK</v>
      </c>
    </row>
    <row r="233" spans="1:15" ht="20.100000000000001" customHeight="1" x14ac:dyDescent="0.25">
      <c r="A233" s="14">
        <v>45933</v>
      </c>
      <c r="B233" s="15" t="str">
        <f t="shared" si="12"/>
        <v>Octubre</v>
      </c>
      <c r="C233" s="15">
        <f t="shared" si="13"/>
        <v>2025</v>
      </c>
      <c r="D233" s="16" t="s">
        <v>79</v>
      </c>
      <c r="E233" s="16" t="s">
        <v>83</v>
      </c>
      <c r="F233" s="16" t="s">
        <v>84</v>
      </c>
      <c r="G233" s="16" t="s">
        <v>29</v>
      </c>
      <c r="H233" s="16" t="s">
        <v>9</v>
      </c>
      <c r="I233" s="16" t="s">
        <v>85</v>
      </c>
      <c r="J233" s="16" t="s">
        <v>86</v>
      </c>
      <c r="K233" s="16" t="s">
        <v>87</v>
      </c>
      <c r="L233" s="17">
        <v>91.42</v>
      </c>
      <c r="M233" s="18">
        <f t="shared" si="14"/>
        <v>-91.42</v>
      </c>
      <c r="N233" s="16" t="s">
        <v>78</v>
      </c>
      <c r="O233" s="15" t="str">
        <f t="shared" si="15"/>
        <v>OK</v>
      </c>
    </row>
    <row r="234" spans="1:15" ht="20.100000000000001" customHeight="1" x14ac:dyDescent="0.25">
      <c r="A234" s="14">
        <v>45934</v>
      </c>
      <c r="B234" s="15" t="str">
        <f t="shared" si="12"/>
        <v>Octubre</v>
      </c>
      <c r="C234" s="15">
        <f t="shared" si="13"/>
        <v>2025</v>
      </c>
      <c r="D234" s="16" t="s">
        <v>79</v>
      </c>
      <c r="E234" s="16" t="s">
        <v>88</v>
      </c>
      <c r="F234" s="16" t="s">
        <v>89</v>
      </c>
      <c r="G234" s="16" t="s">
        <v>31</v>
      </c>
      <c r="H234" s="16" t="s">
        <v>9</v>
      </c>
      <c r="I234" s="16" t="s">
        <v>85</v>
      </c>
      <c r="J234" s="16" t="s">
        <v>90</v>
      </c>
      <c r="K234" s="16" t="s">
        <v>87</v>
      </c>
      <c r="L234" s="17">
        <v>6.89</v>
      </c>
      <c r="M234" s="18">
        <f t="shared" si="14"/>
        <v>-6.89</v>
      </c>
      <c r="N234" s="16" t="s">
        <v>78</v>
      </c>
      <c r="O234" s="15" t="str">
        <f t="shared" si="15"/>
        <v>OK</v>
      </c>
    </row>
    <row r="235" spans="1:15" ht="20.100000000000001" customHeight="1" x14ac:dyDescent="0.25">
      <c r="A235" s="14">
        <v>45935</v>
      </c>
      <c r="B235" s="15" t="str">
        <f t="shared" si="12"/>
        <v>Octubre</v>
      </c>
      <c r="C235" s="15">
        <f t="shared" si="13"/>
        <v>2025</v>
      </c>
      <c r="D235" s="16" t="s">
        <v>79</v>
      </c>
      <c r="E235" s="16" t="s">
        <v>80</v>
      </c>
      <c r="F235" s="16" t="s">
        <v>91</v>
      </c>
      <c r="G235" s="16" t="s">
        <v>28</v>
      </c>
      <c r="H235" s="16" t="s">
        <v>9</v>
      </c>
      <c r="I235" s="16" t="s">
        <v>75</v>
      </c>
      <c r="J235" s="16" t="s">
        <v>92</v>
      </c>
      <c r="K235" s="16" t="s">
        <v>93</v>
      </c>
      <c r="L235" s="17">
        <v>38.159999999999997</v>
      </c>
      <c r="M235" s="18">
        <f t="shared" si="14"/>
        <v>-38.159999999999997</v>
      </c>
      <c r="N235" s="16" t="s">
        <v>78</v>
      </c>
      <c r="O235" s="15" t="str">
        <f t="shared" si="15"/>
        <v>OK</v>
      </c>
    </row>
    <row r="236" spans="1:15" ht="20.100000000000001" customHeight="1" x14ac:dyDescent="0.25">
      <c r="A236" s="14">
        <v>45936</v>
      </c>
      <c r="B236" s="15" t="str">
        <f t="shared" si="12"/>
        <v>Octubre</v>
      </c>
      <c r="C236" s="15">
        <f t="shared" si="13"/>
        <v>2025</v>
      </c>
      <c r="D236" s="16" t="s">
        <v>79</v>
      </c>
      <c r="E236" s="16" t="s">
        <v>80</v>
      </c>
      <c r="F236" s="16" t="s">
        <v>94</v>
      </c>
      <c r="G236" s="16" t="s">
        <v>28</v>
      </c>
      <c r="H236" s="16" t="s">
        <v>9</v>
      </c>
      <c r="I236" s="16" t="s">
        <v>75</v>
      </c>
      <c r="J236" s="16" t="s">
        <v>95</v>
      </c>
      <c r="K236" s="16" t="s">
        <v>93</v>
      </c>
      <c r="L236" s="17">
        <v>20.18</v>
      </c>
      <c r="M236" s="18">
        <f t="shared" si="14"/>
        <v>-20.18</v>
      </c>
      <c r="N236" s="16" t="s">
        <v>78</v>
      </c>
      <c r="O236" s="15" t="str">
        <f t="shared" si="15"/>
        <v>OK</v>
      </c>
    </row>
    <row r="237" spans="1:15" ht="20.100000000000001" customHeight="1" x14ac:dyDescent="0.25">
      <c r="A237" s="14">
        <v>45937</v>
      </c>
      <c r="B237" s="15" t="str">
        <f t="shared" si="12"/>
        <v>Octubre</v>
      </c>
      <c r="C237" s="15">
        <f t="shared" si="13"/>
        <v>2025</v>
      </c>
      <c r="D237" s="16" t="s">
        <v>79</v>
      </c>
      <c r="E237" s="16" t="s">
        <v>80</v>
      </c>
      <c r="F237" s="16" t="s">
        <v>96</v>
      </c>
      <c r="G237" s="16" t="s">
        <v>28</v>
      </c>
      <c r="H237" s="16" t="s">
        <v>9</v>
      </c>
      <c r="I237" s="16" t="s">
        <v>75</v>
      </c>
      <c r="J237" s="16" t="s">
        <v>97</v>
      </c>
      <c r="K237" s="16" t="s">
        <v>93</v>
      </c>
      <c r="L237" s="17">
        <v>35</v>
      </c>
      <c r="M237" s="18">
        <f t="shared" si="14"/>
        <v>-35</v>
      </c>
      <c r="N237" s="16" t="s">
        <v>78</v>
      </c>
      <c r="O237" s="15" t="str">
        <f t="shared" si="15"/>
        <v>OK</v>
      </c>
    </row>
    <row r="238" spans="1:15" ht="20.100000000000001" customHeight="1" x14ac:dyDescent="0.25">
      <c r="A238" s="14">
        <v>45938</v>
      </c>
      <c r="B238" s="15" t="str">
        <f t="shared" si="12"/>
        <v>Octubre</v>
      </c>
      <c r="C238" s="15">
        <f t="shared" si="13"/>
        <v>2025</v>
      </c>
      <c r="D238" s="16" t="s">
        <v>79</v>
      </c>
      <c r="E238" s="16" t="s">
        <v>80</v>
      </c>
      <c r="F238" s="16" t="s">
        <v>98</v>
      </c>
      <c r="G238" s="16" t="s">
        <v>32</v>
      </c>
      <c r="H238" s="16" t="s">
        <v>9</v>
      </c>
      <c r="I238" s="16" t="s">
        <v>75</v>
      </c>
      <c r="J238" s="16" t="s">
        <v>99</v>
      </c>
      <c r="K238" s="16" t="s">
        <v>93</v>
      </c>
      <c r="L238" s="17">
        <v>18</v>
      </c>
      <c r="M238" s="18">
        <f t="shared" si="14"/>
        <v>-18</v>
      </c>
      <c r="N238" s="16" t="s">
        <v>78</v>
      </c>
      <c r="O238" s="15" t="str">
        <f t="shared" si="15"/>
        <v>OK</v>
      </c>
    </row>
    <row r="239" spans="1:15" ht="20.100000000000001" customHeight="1" x14ac:dyDescent="0.25">
      <c r="A239" s="14">
        <v>45939</v>
      </c>
      <c r="B239" s="15" t="str">
        <f t="shared" si="12"/>
        <v>Octubre</v>
      </c>
      <c r="C239" s="15">
        <f t="shared" si="13"/>
        <v>2025</v>
      </c>
      <c r="D239" s="16" t="s">
        <v>79</v>
      </c>
      <c r="E239" s="16" t="s">
        <v>83</v>
      </c>
      <c r="F239" s="16" t="s">
        <v>100</v>
      </c>
      <c r="G239" s="16" t="s">
        <v>39</v>
      </c>
      <c r="H239" s="16" t="s">
        <v>9</v>
      </c>
      <c r="I239" s="16" t="s">
        <v>75</v>
      </c>
      <c r="J239" s="16" t="s">
        <v>101</v>
      </c>
      <c r="K239" s="16" t="s">
        <v>87</v>
      </c>
      <c r="L239" s="17">
        <v>24</v>
      </c>
      <c r="M239" s="18">
        <f t="shared" si="14"/>
        <v>-24</v>
      </c>
      <c r="N239" s="16" t="s">
        <v>78</v>
      </c>
      <c r="O239" s="15" t="str">
        <f t="shared" si="15"/>
        <v>OK</v>
      </c>
    </row>
    <row r="240" spans="1:15" ht="20.100000000000001" customHeight="1" x14ac:dyDescent="0.25">
      <c r="A240" s="14">
        <v>45940</v>
      </c>
      <c r="B240" s="15" t="str">
        <f t="shared" si="12"/>
        <v>Octubre</v>
      </c>
      <c r="C240" s="15">
        <f t="shared" si="13"/>
        <v>2025</v>
      </c>
      <c r="D240" s="16" t="s">
        <v>79</v>
      </c>
      <c r="E240" s="16" t="s">
        <v>83</v>
      </c>
      <c r="F240" s="16" t="s">
        <v>84</v>
      </c>
      <c r="G240" s="16" t="s">
        <v>29</v>
      </c>
      <c r="H240" s="16" t="s">
        <v>9</v>
      </c>
      <c r="I240" s="16" t="s">
        <v>85</v>
      </c>
      <c r="J240" s="16" t="s">
        <v>86</v>
      </c>
      <c r="K240" s="16" t="s">
        <v>87</v>
      </c>
      <c r="L240" s="17">
        <v>71.72</v>
      </c>
      <c r="M240" s="18">
        <f t="shared" si="14"/>
        <v>-71.72</v>
      </c>
      <c r="N240" s="16" t="s">
        <v>78</v>
      </c>
      <c r="O240" s="15" t="str">
        <f t="shared" si="15"/>
        <v>OK</v>
      </c>
    </row>
    <row r="241" spans="1:15" ht="20.100000000000001" customHeight="1" x14ac:dyDescent="0.25">
      <c r="A241" s="14">
        <v>45941</v>
      </c>
      <c r="B241" s="15" t="str">
        <f t="shared" si="12"/>
        <v>Octubre</v>
      </c>
      <c r="C241" s="15">
        <f t="shared" si="13"/>
        <v>2025</v>
      </c>
      <c r="D241" s="16" t="s">
        <v>79</v>
      </c>
      <c r="E241" s="16" t="s">
        <v>88</v>
      </c>
      <c r="F241" s="16" t="s">
        <v>89</v>
      </c>
      <c r="G241" s="16" t="s">
        <v>31</v>
      </c>
      <c r="H241" s="16" t="s">
        <v>9</v>
      </c>
      <c r="I241" s="16" t="s">
        <v>85</v>
      </c>
      <c r="J241" s="16" t="s">
        <v>90</v>
      </c>
      <c r="K241" s="16" t="s">
        <v>87</v>
      </c>
      <c r="L241" s="17">
        <v>11.39</v>
      </c>
      <c r="M241" s="18">
        <f t="shared" si="14"/>
        <v>-11.39</v>
      </c>
      <c r="N241" s="16" t="s">
        <v>78</v>
      </c>
      <c r="O241" s="15" t="str">
        <f t="shared" si="15"/>
        <v>OK</v>
      </c>
    </row>
    <row r="242" spans="1:15" ht="20.100000000000001" customHeight="1" x14ac:dyDescent="0.25">
      <c r="A242" s="14">
        <v>45942</v>
      </c>
      <c r="B242" s="15" t="str">
        <f t="shared" si="12"/>
        <v>Octubre</v>
      </c>
      <c r="C242" s="15">
        <f t="shared" si="13"/>
        <v>2025</v>
      </c>
      <c r="D242" s="16" t="s">
        <v>79</v>
      </c>
      <c r="E242" s="16" t="s">
        <v>83</v>
      </c>
      <c r="F242" s="16" t="s">
        <v>102</v>
      </c>
      <c r="G242" s="16" t="s">
        <v>29</v>
      </c>
      <c r="H242" s="16" t="s">
        <v>9</v>
      </c>
      <c r="I242" s="16" t="s">
        <v>85</v>
      </c>
      <c r="J242" s="16" t="s">
        <v>103</v>
      </c>
      <c r="K242" s="16" t="s">
        <v>104</v>
      </c>
      <c r="L242" s="17">
        <v>37.4</v>
      </c>
      <c r="M242" s="18">
        <f t="shared" si="14"/>
        <v>-37.4</v>
      </c>
      <c r="N242" s="16" t="s">
        <v>78</v>
      </c>
      <c r="O242" s="15" t="str">
        <f t="shared" si="15"/>
        <v>OK</v>
      </c>
    </row>
    <row r="243" spans="1:15" ht="20.100000000000001" customHeight="1" x14ac:dyDescent="0.25">
      <c r="A243" s="14">
        <v>45943</v>
      </c>
      <c r="B243" s="15" t="str">
        <f t="shared" si="12"/>
        <v>Octubre</v>
      </c>
      <c r="C243" s="15">
        <f t="shared" si="13"/>
        <v>2025</v>
      </c>
      <c r="D243" s="16" t="s">
        <v>79</v>
      </c>
      <c r="E243" s="16" t="s">
        <v>83</v>
      </c>
      <c r="F243" s="16" t="s">
        <v>105</v>
      </c>
      <c r="G243" s="16" t="s">
        <v>32</v>
      </c>
      <c r="H243" s="16" t="s">
        <v>9</v>
      </c>
      <c r="I243" s="16" t="s">
        <v>85</v>
      </c>
      <c r="J243" s="16" t="s">
        <v>106</v>
      </c>
      <c r="K243" s="16" t="s">
        <v>87</v>
      </c>
      <c r="L243" s="17">
        <v>18.12</v>
      </c>
      <c r="M243" s="18">
        <f t="shared" si="14"/>
        <v>-18.12</v>
      </c>
      <c r="N243" s="16" t="s">
        <v>78</v>
      </c>
      <c r="O243" s="15" t="str">
        <f t="shared" si="15"/>
        <v>OK</v>
      </c>
    </row>
    <row r="244" spans="1:15" ht="20.100000000000001" customHeight="1" x14ac:dyDescent="0.25">
      <c r="A244" s="14">
        <v>45944</v>
      </c>
      <c r="B244" s="15" t="str">
        <f t="shared" si="12"/>
        <v>Octubre</v>
      </c>
      <c r="C244" s="15">
        <f t="shared" si="13"/>
        <v>2025</v>
      </c>
      <c r="D244" s="16" t="s">
        <v>79</v>
      </c>
      <c r="E244" s="16" t="s">
        <v>83</v>
      </c>
      <c r="F244" s="16" t="s">
        <v>107</v>
      </c>
      <c r="G244" s="16" t="s">
        <v>33</v>
      </c>
      <c r="H244" s="16" t="s">
        <v>10</v>
      </c>
      <c r="I244" s="16" t="s">
        <v>85</v>
      </c>
      <c r="J244" s="16" t="s">
        <v>108</v>
      </c>
      <c r="K244" s="16" t="s">
        <v>104</v>
      </c>
      <c r="L244" s="17">
        <v>12.81</v>
      </c>
      <c r="M244" s="18">
        <f t="shared" si="14"/>
        <v>-12.81</v>
      </c>
      <c r="N244" s="16" t="s">
        <v>78</v>
      </c>
      <c r="O244" s="15" t="str">
        <f t="shared" si="15"/>
        <v>OK</v>
      </c>
    </row>
    <row r="245" spans="1:15" ht="20.100000000000001" customHeight="1" x14ac:dyDescent="0.25">
      <c r="A245" s="14">
        <v>45947</v>
      </c>
      <c r="B245" s="15" t="str">
        <f t="shared" si="12"/>
        <v>Octubre</v>
      </c>
      <c r="C245" s="15">
        <f t="shared" si="13"/>
        <v>2025</v>
      </c>
      <c r="D245" s="16" t="s">
        <v>79</v>
      </c>
      <c r="E245" s="16" t="s">
        <v>83</v>
      </c>
      <c r="F245" s="16" t="s">
        <v>84</v>
      </c>
      <c r="G245" s="16" t="s">
        <v>29</v>
      </c>
      <c r="H245" s="16" t="s">
        <v>9</v>
      </c>
      <c r="I245" s="16" t="s">
        <v>85</v>
      </c>
      <c r="J245" s="16" t="s">
        <v>86</v>
      </c>
      <c r="K245" s="16" t="s">
        <v>87</v>
      </c>
      <c r="L245" s="17">
        <v>78.2</v>
      </c>
      <c r="M245" s="18">
        <f t="shared" si="14"/>
        <v>-78.2</v>
      </c>
      <c r="N245" s="16" t="s">
        <v>78</v>
      </c>
      <c r="O245" s="15" t="str">
        <f t="shared" si="15"/>
        <v>OK</v>
      </c>
    </row>
    <row r="246" spans="1:15" ht="20.100000000000001" customHeight="1" x14ac:dyDescent="0.25">
      <c r="A246" s="14">
        <v>45948</v>
      </c>
      <c r="B246" s="15" t="str">
        <f t="shared" si="12"/>
        <v>Octubre</v>
      </c>
      <c r="C246" s="15">
        <f t="shared" si="13"/>
        <v>2025</v>
      </c>
      <c r="D246" s="16" t="s">
        <v>79</v>
      </c>
      <c r="E246" s="16" t="s">
        <v>88</v>
      </c>
      <c r="F246" s="16" t="s">
        <v>89</v>
      </c>
      <c r="G246" s="16" t="s">
        <v>31</v>
      </c>
      <c r="H246" s="16" t="s">
        <v>9</v>
      </c>
      <c r="I246" s="16" t="s">
        <v>85</v>
      </c>
      <c r="J246" s="16" t="s">
        <v>90</v>
      </c>
      <c r="K246" s="16" t="s">
        <v>87</v>
      </c>
      <c r="L246" s="17">
        <v>10.96</v>
      </c>
      <c r="M246" s="18">
        <f t="shared" si="14"/>
        <v>-10.96</v>
      </c>
      <c r="N246" s="16" t="s">
        <v>78</v>
      </c>
      <c r="O246" s="15" t="str">
        <f t="shared" si="15"/>
        <v>OK</v>
      </c>
    </row>
    <row r="247" spans="1:15" ht="20.100000000000001" customHeight="1" x14ac:dyDescent="0.25">
      <c r="A247" s="14">
        <v>45950</v>
      </c>
      <c r="B247" s="15" t="str">
        <f t="shared" si="12"/>
        <v>Octubre</v>
      </c>
      <c r="C247" s="15">
        <f t="shared" si="13"/>
        <v>2025</v>
      </c>
      <c r="D247" s="16" t="s">
        <v>79</v>
      </c>
      <c r="E247" s="16" t="s">
        <v>83</v>
      </c>
      <c r="F247" s="16" t="s">
        <v>107</v>
      </c>
      <c r="G247" s="16" t="s">
        <v>33</v>
      </c>
      <c r="H247" s="16" t="s">
        <v>10</v>
      </c>
      <c r="I247" s="16" t="s">
        <v>85</v>
      </c>
      <c r="J247" s="16" t="s">
        <v>108</v>
      </c>
      <c r="K247" s="16" t="s">
        <v>87</v>
      </c>
      <c r="L247" s="17">
        <v>30.51</v>
      </c>
      <c r="M247" s="18">
        <f t="shared" si="14"/>
        <v>-30.51</v>
      </c>
      <c r="N247" s="16" t="s">
        <v>78</v>
      </c>
      <c r="O247" s="15" t="str">
        <f t="shared" si="15"/>
        <v>OK</v>
      </c>
    </row>
    <row r="248" spans="1:15" ht="20.100000000000001" customHeight="1" x14ac:dyDescent="0.25">
      <c r="A248" s="14">
        <v>45951</v>
      </c>
      <c r="B248" s="15" t="str">
        <f t="shared" si="12"/>
        <v>Octubre</v>
      </c>
      <c r="C248" s="15">
        <f t="shared" si="13"/>
        <v>2025</v>
      </c>
      <c r="D248" s="16" t="s">
        <v>79</v>
      </c>
      <c r="E248" s="16" t="s">
        <v>83</v>
      </c>
      <c r="F248" s="16" t="s">
        <v>122</v>
      </c>
      <c r="G248" s="16" t="s">
        <v>31</v>
      </c>
      <c r="H248" s="16" t="s">
        <v>9</v>
      </c>
      <c r="I248" s="16" t="s">
        <v>85</v>
      </c>
      <c r="J248" s="16" t="s">
        <v>123</v>
      </c>
      <c r="K248" s="16" t="s">
        <v>87</v>
      </c>
      <c r="L248" s="17">
        <v>12.45</v>
      </c>
      <c r="M248" s="18">
        <f t="shared" si="14"/>
        <v>-12.45</v>
      </c>
      <c r="N248" s="16" t="s">
        <v>78</v>
      </c>
      <c r="O248" s="15" t="str">
        <f t="shared" si="15"/>
        <v>OK</v>
      </c>
    </row>
    <row r="249" spans="1:15" ht="20.100000000000001" customHeight="1" x14ac:dyDescent="0.25">
      <c r="A249" s="14">
        <v>45953</v>
      </c>
      <c r="B249" s="15" t="str">
        <f t="shared" si="12"/>
        <v>Octubre</v>
      </c>
      <c r="C249" s="15">
        <f t="shared" si="13"/>
        <v>2025</v>
      </c>
      <c r="D249" s="16" t="s">
        <v>79</v>
      </c>
      <c r="E249" s="16" t="s">
        <v>83</v>
      </c>
      <c r="F249" s="16" t="s">
        <v>109</v>
      </c>
      <c r="G249" s="16" t="s">
        <v>33</v>
      </c>
      <c r="H249" s="16" t="s">
        <v>10</v>
      </c>
      <c r="I249" s="16" t="s">
        <v>85</v>
      </c>
      <c r="J249" s="16" t="s">
        <v>110</v>
      </c>
      <c r="K249" s="16" t="s">
        <v>87</v>
      </c>
      <c r="L249" s="17">
        <v>23.61</v>
      </c>
      <c r="M249" s="18">
        <f t="shared" si="14"/>
        <v>-23.61</v>
      </c>
      <c r="N249" s="16" t="s">
        <v>78</v>
      </c>
      <c r="O249" s="15" t="str">
        <f t="shared" si="15"/>
        <v>OK</v>
      </c>
    </row>
    <row r="250" spans="1:15" ht="20.100000000000001" customHeight="1" x14ac:dyDescent="0.25">
      <c r="A250" s="14">
        <v>45954</v>
      </c>
      <c r="B250" s="15" t="str">
        <f t="shared" si="12"/>
        <v>Octubre</v>
      </c>
      <c r="C250" s="15">
        <f t="shared" si="13"/>
        <v>2025</v>
      </c>
      <c r="D250" s="16" t="s">
        <v>79</v>
      </c>
      <c r="E250" s="16" t="s">
        <v>83</v>
      </c>
      <c r="F250" s="16" t="s">
        <v>84</v>
      </c>
      <c r="G250" s="16" t="s">
        <v>29</v>
      </c>
      <c r="H250" s="16" t="s">
        <v>9</v>
      </c>
      <c r="I250" s="16" t="s">
        <v>85</v>
      </c>
      <c r="J250" s="16" t="s">
        <v>86</v>
      </c>
      <c r="K250" s="16" t="s">
        <v>87</v>
      </c>
      <c r="L250" s="17">
        <v>89.58</v>
      </c>
      <c r="M250" s="18">
        <f t="shared" si="14"/>
        <v>-89.58</v>
      </c>
      <c r="N250" s="16" t="s">
        <v>78</v>
      </c>
      <c r="O250" s="15" t="str">
        <f t="shared" si="15"/>
        <v>OK</v>
      </c>
    </row>
    <row r="251" spans="1:15" ht="20.100000000000001" customHeight="1" x14ac:dyDescent="0.25">
      <c r="A251" s="14">
        <v>45955</v>
      </c>
      <c r="B251" s="15" t="str">
        <f t="shared" si="12"/>
        <v>Octubre</v>
      </c>
      <c r="C251" s="15">
        <f t="shared" si="13"/>
        <v>2025</v>
      </c>
      <c r="D251" s="16" t="s">
        <v>79</v>
      </c>
      <c r="E251" s="16" t="s">
        <v>88</v>
      </c>
      <c r="F251" s="16" t="s">
        <v>89</v>
      </c>
      <c r="G251" s="16" t="s">
        <v>31</v>
      </c>
      <c r="H251" s="16" t="s">
        <v>9</v>
      </c>
      <c r="I251" s="16" t="s">
        <v>85</v>
      </c>
      <c r="J251" s="16" t="s">
        <v>90</v>
      </c>
      <c r="K251" s="16" t="s">
        <v>87</v>
      </c>
      <c r="L251" s="17">
        <v>7.56</v>
      </c>
      <c r="M251" s="18">
        <f t="shared" si="14"/>
        <v>-7.56</v>
      </c>
      <c r="N251" s="16" t="s">
        <v>78</v>
      </c>
      <c r="O251" s="15" t="str">
        <f t="shared" si="15"/>
        <v>OK</v>
      </c>
    </row>
    <row r="252" spans="1:15" ht="20.100000000000001" customHeight="1" x14ac:dyDescent="0.25">
      <c r="A252" s="14">
        <v>45956</v>
      </c>
      <c r="B252" s="15" t="str">
        <f t="shared" si="12"/>
        <v>Octubre</v>
      </c>
      <c r="C252" s="15">
        <f t="shared" si="13"/>
        <v>2025</v>
      </c>
      <c r="D252" s="16" t="s">
        <v>79</v>
      </c>
      <c r="E252" s="16" t="s">
        <v>83</v>
      </c>
      <c r="F252" s="16" t="s">
        <v>102</v>
      </c>
      <c r="G252" s="16" t="s">
        <v>29</v>
      </c>
      <c r="H252" s="16" t="s">
        <v>9</v>
      </c>
      <c r="I252" s="16" t="s">
        <v>85</v>
      </c>
      <c r="J252" s="16" t="s">
        <v>103</v>
      </c>
      <c r="K252" s="16" t="s">
        <v>87</v>
      </c>
      <c r="L252" s="17">
        <v>53.44</v>
      </c>
      <c r="M252" s="18">
        <f t="shared" si="14"/>
        <v>-53.44</v>
      </c>
      <c r="N252" s="16" t="s">
        <v>78</v>
      </c>
      <c r="O252" s="15" t="str">
        <f t="shared" si="15"/>
        <v>OK</v>
      </c>
    </row>
    <row r="253" spans="1:15" ht="20.100000000000001" customHeight="1" x14ac:dyDescent="0.25">
      <c r="A253" s="14">
        <v>45957</v>
      </c>
      <c r="B253" s="15" t="str">
        <f t="shared" si="12"/>
        <v>Octubre</v>
      </c>
      <c r="C253" s="15">
        <f t="shared" si="13"/>
        <v>2025</v>
      </c>
      <c r="D253" s="16" t="s">
        <v>30</v>
      </c>
      <c r="E253" s="16" t="s">
        <v>113</v>
      </c>
      <c r="F253" s="16" t="s">
        <v>114</v>
      </c>
      <c r="G253" s="16" t="s">
        <v>41</v>
      </c>
      <c r="H253" s="16" t="s">
        <v>30</v>
      </c>
      <c r="I253" s="16" t="s">
        <v>75</v>
      </c>
      <c r="J253" s="16" t="s">
        <v>115</v>
      </c>
      <c r="K253" s="16" t="s">
        <v>77</v>
      </c>
      <c r="L253" s="17">
        <v>257.12</v>
      </c>
      <c r="M253" s="18">
        <f t="shared" si="14"/>
        <v>-257.12</v>
      </c>
      <c r="N253" s="16" t="s">
        <v>78</v>
      </c>
      <c r="O253" s="15" t="str">
        <f t="shared" si="15"/>
        <v>OK</v>
      </c>
    </row>
    <row r="254" spans="1:15" ht="20.100000000000001" customHeight="1" x14ac:dyDescent="0.25">
      <c r="A254" s="14">
        <v>45958</v>
      </c>
      <c r="B254" s="15" t="str">
        <f t="shared" si="12"/>
        <v>Octubre</v>
      </c>
      <c r="C254" s="15">
        <f t="shared" si="13"/>
        <v>2025</v>
      </c>
      <c r="D254" s="16" t="s">
        <v>79</v>
      </c>
      <c r="E254" s="16" t="s">
        <v>83</v>
      </c>
      <c r="F254" s="16" t="s">
        <v>107</v>
      </c>
      <c r="G254" s="16" t="s">
        <v>33</v>
      </c>
      <c r="H254" s="16" t="s">
        <v>10</v>
      </c>
      <c r="I254" s="16" t="s">
        <v>85</v>
      </c>
      <c r="J254" s="16" t="s">
        <v>108</v>
      </c>
      <c r="K254" s="16" t="s">
        <v>87</v>
      </c>
      <c r="L254" s="17">
        <v>18.41</v>
      </c>
      <c r="M254" s="18">
        <f t="shared" si="14"/>
        <v>-18.41</v>
      </c>
      <c r="N254" s="16" t="s">
        <v>78</v>
      </c>
      <c r="O254" s="15" t="str">
        <f t="shared" si="15"/>
        <v>OK</v>
      </c>
    </row>
    <row r="255" spans="1:15" ht="20.100000000000001" customHeight="1" x14ac:dyDescent="0.25">
      <c r="A255" s="14">
        <v>45958</v>
      </c>
      <c r="B255" s="15" t="str">
        <f t="shared" si="12"/>
        <v>Octubre</v>
      </c>
      <c r="C255" s="15">
        <f t="shared" si="13"/>
        <v>2025</v>
      </c>
      <c r="D255" s="16" t="s">
        <v>30</v>
      </c>
      <c r="E255" s="16" t="s">
        <v>113</v>
      </c>
      <c r="F255" s="16" t="s">
        <v>116</v>
      </c>
      <c r="G255" s="16" t="s">
        <v>41</v>
      </c>
      <c r="H255" s="16" t="s">
        <v>30</v>
      </c>
      <c r="I255" s="16" t="s">
        <v>85</v>
      </c>
      <c r="J255" s="16" t="s">
        <v>117</v>
      </c>
      <c r="K255" s="16" t="s">
        <v>77</v>
      </c>
      <c r="L255" s="17">
        <v>62.68</v>
      </c>
      <c r="M255" s="18">
        <f t="shared" si="14"/>
        <v>-62.68</v>
      </c>
      <c r="N255" s="16" t="s">
        <v>78</v>
      </c>
      <c r="O255" s="15" t="str">
        <f t="shared" si="15"/>
        <v>OK</v>
      </c>
    </row>
    <row r="256" spans="1:15" ht="20.100000000000001" customHeight="1" x14ac:dyDescent="0.25">
      <c r="A256" s="14">
        <v>45962</v>
      </c>
      <c r="B256" s="15" t="str">
        <f t="shared" si="12"/>
        <v>Noviembre</v>
      </c>
      <c r="C256" s="15">
        <f t="shared" si="13"/>
        <v>2025</v>
      </c>
      <c r="D256" s="16" t="s">
        <v>71</v>
      </c>
      <c r="E256" s="16" t="s">
        <v>72</v>
      </c>
      <c r="F256" s="16" t="s">
        <v>73</v>
      </c>
      <c r="G256" s="16" t="s">
        <v>74</v>
      </c>
      <c r="H256" s="16" t="s">
        <v>37</v>
      </c>
      <c r="I256" s="16" t="s">
        <v>75</v>
      </c>
      <c r="J256" s="16" t="s">
        <v>76</v>
      </c>
      <c r="K256" s="16" t="s">
        <v>77</v>
      </c>
      <c r="L256" s="17">
        <v>2535.91</v>
      </c>
      <c r="M256" s="18">
        <f t="shared" si="14"/>
        <v>2535.91</v>
      </c>
      <c r="N256" s="16" t="s">
        <v>78</v>
      </c>
      <c r="O256" s="15" t="str">
        <f t="shared" si="15"/>
        <v>OK</v>
      </c>
    </row>
    <row r="257" spans="1:15" ht="20.100000000000001" customHeight="1" x14ac:dyDescent="0.25">
      <c r="A257" s="14">
        <v>45963</v>
      </c>
      <c r="B257" s="15" t="str">
        <f t="shared" si="12"/>
        <v>Noviembre</v>
      </c>
      <c r="C257" s="15">
        <f t="shared" si="13"/>
        <v>2025</v>
      </c>
      <c r="D257" s="16" t="s">
        <v>79</v>
      </c>
      <c r="E257" s="16" t="s">
        <v>80</v>
      </c>
      <c r="F257" s="16" t="s">
        <v>81</v>
      </c>
      <c r="G257" s="16" t="s">
        <v>28</v>
      </c>
      <c r="H257" s="16" t="s">
        <v>9</v>
      </c>
      <c r="I257" s="16" t="s">
        <v>75</v>
      </c>
      <c r="J257" s="16" t="s">
        <v>82</v>
      </c>
      <c r="K257" s="16" t="s">
        <v>77</v>
      </c>
      <c r="L257" s="17">
        <v>980</v>
      </c>
      <c r="M257" s="18">
        <f t="shared" si="14"/>
        <v>-980</v>
      </c>
      <c r="N257" s="16" t="s">
        <v>78</v>
      </c>
      <c r="O257" s="15" t="str">
        <f t="shared" si="15"/>
        <v>OK</v>
      </c>
    </row>
    <row r="258" spans="1:15" ht="20.100000000000001" customHeight="1" x14ac:dyDescent="0.25">
      <c r="A258" s="14">
        <v>45964</v>
      </c>
      <c r="B258" s="15" t="str">
        <f t="shared" si="12"/>
        <v>Noviembre</v>
      </c>
      <c r="C258" s="15">
        <f t="shared" si="13"/>
        <v>2025</v>
      </c>
      <c r="D258" s="16" t="s">
        <v>79</v>
      </c>
      <c r="E258" s="16" t="s">
        <v>83</v>
      </c>
      <c r="F258" s="16" t="s">
        <v>84</v>
      </c>
      <c r="G258" s="16" t="s">
        <v>29</v>
      </c>
      <c r="H258" s="16" t="s">
        <v>9</v>
      </c>
      <c r="I258" s="16" t="s">
        <v>85</v>
      </c>
      <c r="J258" s="16" t="s">
        <v>86</v>
      </c>
      <c r="K258" s="16" t="s">
        <v>87</v>
      </c>
      <c r="L258" s="17">
        <v>98.1</v>
      </c>
      <c r="M258" s="18">
        <f t="shared" si="14"/>
        <v>-98.1</v>
      </c>
      <c r="N258" s="16" t="s">
        <v>78</v>
      </c>
      <c r="O258" s="15" t="str">
        <f t="shared" si="15"/>
        <v>OK</v>
      </c>
    </row>
    <row r="259" spans="1:15" ht="20.100000000000001" customHeight="1" x14ac:dyDescent="0.25">
      <c r="A259" s="14">
        <v>45965</v>
      </c>
      <c r="B259" s="15" t="str">
        <f t="shared" si="12"/>
        <v>Noviembre</v>
      </c>
      <c r="C259" s="15">
        <f t="shared" si="13"/>
        <v>2025</v>
      </c>
      <c r="D259" s="16" t="s">
        <v>79</v>
      </c>
      <c r="E259" s="16" t="s">
        <v>88</v>
      </c>
      <c r="F259" s="16" t="s">
        <v>89</v>
      </c>
      <c r="G259" s="16" t="s">
        <v>31</v>
      </c>
      <c r="H259" s="16" t="s">
        <v>9</v>
      </c>
      <c r="I259" s="16" t="s">
        <v>85</v>
      </c>
      <c r="J259" s="16" t="s">
        <v>90</v>
      </c>
      <c r="K259" s="16" t="s">
        <v>87</v>
      </c>
      <c r="L259" s="17">
        <v>8.32</v>
      </c>
      <c r="M259" s="18">
        <f t="shared" si="14"/>
        <v>-8.32</v>
      </c>
      <c r="N259" s="16" t="s">
        <v>78</v>
      </c>
      <c r="O259" s="15" t="str">
        <f t="shared" si="15"/>
        <v>OK</v>
      </c>
    </row>
    <row r="260" spans="1:15" ht="20.100000000000001" customHeight="1" x14ac:dyDescent="0.25">
      <c r="A260" s="14">
        <v>45966</v>
      </c>
      <c r="B260" s="15" t="str">
        <f t="shared" si="12"/>
        <v>Noviembre</v>
      </c>
      <c r="C260" s="15">
        <f t="shared" si="13"/>
        <v>2025</v>
      </c>
      <c r="D260" s="16" t="s">
        <v>79</v>
      </c>
      <c r="E260" s="16" t="s">
        <v>80</v>
      </c>
      <c r="F260" s="16" t="s">
        <v>91</v>
      </c>
      <c r="G260" s="16" t="s">
        <v>28</v>
      </c>
      <c r="H260" s="16" t="s">
        <v>9</v>
      </c>
      <c r="I260" s="16" t="s">
        <v>75</v>
      </c>
      <c r="J260" s="16" t="s">
        <v>92</v>
      </c>
      <c r="K260" s="16" t="s">
        <v>93</v>
      </c>
      <c r="L260" s="17">
        <v>41.6</v>
      </c>
      <c r="M260" s="18">
        <f t="shared" si="14"/>
        <v>-41.6</v>
      </c>
      <c r="N260" s="16" t="s">
        <v>78</v>
      </c>
      <c r="O260" s="15" t="str">
        <f t="shared" si="15"/>
        <v>OK</v>
      </c>
    </row>
    <row r="261" spans="1:15" ht="20.100000000000001" customHeight="1" x14ac:dyDescent="0.25">
      <c r="A261" s="14">
        <v>45967</v>
      </c>
      <c r="B261" s="15" t="str">
        <f t="shared" si="12"/>
        <v>Noviembre</v>
      </c>
      <c r="C261" s="15">
        <f t="shared" si="13"/>
        <v>2025</v>
      </c>
      <c r="D261" s="16" t="s">
        <v>79</v>
      </c>
      <c r="E261" s="16" t="s">
        <v>80</v>
      </c>
      <c r="F261" s="16" t="s">
        <v>94</v>
      </c>
      <c r="G261" s="16" t="s">
        <v>28</v>
      </c>
      <c r="H261" s="16" t="s">
        <v>9</v>
      </c>
      <c r="I261" s="16" t="s">
        <v>75</v>
      </c>
      <c r="J261" s="16" t="s">
        <v>95</v>
      </c>
      <c r="K261" s="16" t="s">
        <v>93</v>
      </c>
      <c r="L261" s="17">
        <v>19.559999999999999</v>
      </c>
      <c r="M261" s="18">
        <f t="shared" si="14"/>
        <v>-19.559999999999999</v>
      </c>
      <c r="N261" s="16" t="s">
        <v>78</v>
      </c>
      <c r="O261" s="15" t="str">
        <f t="shared" si="15"/>
        <v>OK</v>
      </c>
    </row>
    <row r="262" spans="1:15" ht="20.100000000000001" customHeight="1" x14ac:dyDescent="0.25">
      <c r="A262" s="14">
        <v>45968</v>
      </c>
      <c r="B262" s="15" t="str">
        <f t="shared" si="12"/>
        <v>Noviembre</v>
      </c>
      <c r="C262" s="15">
        <f t="shared" si="13"/>
        <v>2025</v>
      </c>
      <c r="D262" s="16" t="s">
        <v>79</v>
      </c>
      <c r="E262" s="16" t="s">
        <v>80</v>
      </c>
      <c r="F262" s="16" t="s">
        <v>96</v>
      </c>
      <c r="G262" s="16" t="s">
        <v>28</v>
      </c>
      <c r="H262" s="16" t="s">
        <v>9</v>
      </c>
      <c r="I262" s="16" t="s">
        <v>75</v>
      </c>
      <c r="J262" s="16" t="s">
        <v>97</v>
      </c>
      <c r="K262" s="16" t="s">
        <v>93</v>
      </c>
      <c r="L262" s="17">
        <v>35</v>
      </c>
      <c r="M262" s="18">
        <f t="shared" si="14"/>
        <v>-35</v>
      </c>
      <c r="N262" s="16" t="s">
        <v>78</v>
      </c>
      <c r="O262" s="15" t="str">
        <f t="shared" si="15"/>
        <v>OK</v>
      </c>
    </row>
    <row r="263" spans="1:15" ht="20.100000000000001" customHeight="1" x14ac:dyDescent="0.25">
      <c r="A263" s="14">
        <v>45969</v>
      </c>
      <c r="B263" s="15" t="str">
        <f t="shared" si="12"/>
        <v>Noviembre</v>
      </c>
      <c r="C263" s="15">
        <f t="shared" si="13"/>
        <v>2025</v>
      </c>
      <c r="D263" s="16" t="s">
        <v>79</v>
      </c>
      <c r="E263" s="16" t="s">
        <v>80</v>
      </c>
      <c r="F263" s="16" t="s">
        <v>98</v>
      </c>
      <c r="G263" s="16" t="s">
        <v>32</v>
      </c>
      <c r="H263" s="16" t="s">
        <v>9</v>
      </c>
      <c r="I263" s="16" t="s">
        <v>75</v>
      </c>
      <c r="J263" s="16" t="s">
        <v>99</v>
      </c>
      <c r="K263" s="16" t="s">
        <v>93</v>
      </c>
      <c r="L263" s="17">
        <v>18</v>
      </c>
      <c r="M263" s="18">
        <f t="shared" si="14"/>
        <v>-18</v>
      </c>
      <c r="N263" s="16" t="s">
        <v>78</v>
      </c>
      <c r="O263" s="15" t="str">
        <f t="shared" si="15"/>
        <v>OK</v>
      </c>
    </row>
    <row r="264" spans="1:15" ht="20.100000000000001" customHeight="1" x14ac:dyDescent="0.25">
      <c r="A264" s="14">
        <v>45970</v>
      </c>
      <c r="B264" s="15" t="str">
        <f t="shared" si="12"/>
        <v>Noviembre</v>
      </c>
      <c r="C264" s="15">
        <f t="shared" si="13"/>
        <v>2025</v>
      </c>
      <c r="D264" s="16" t="s">
        <v>79</v>
      </c>
      <c r="E264" s="16" t="s">
        <v>83</v>
      </c>
      <c r="F264" s="16" t="s">
        <v>100</v>
      </c>
      <c r="G264" s="16" t="s">
        <v>39</v>
      </c>
      <c r="H264" s="16" t="s">
        <v>9</v>
      </c>
      <c r="I264" s="16" t="s">
        <v>75</v>
      </c>
      <c r="J264" s="16" t="s">
        <v>101</v>
      </c>
      <c r="K264" s="16" t="s">
        <v>87</v>
      </c>
      <c r="L264" s="17">
        <v>24</v>
      </c>
      <c r="M264" s="18">
        <f t="shared" si="14"/>
        <v>-24</v>
      </c>
      <c r="N264" s="16" t="s">
        <v>78</v>
      </c>
      <c r="O264" s="15" t="str">
        <f t="shared" si="15"/>
        <v>OK</v>
      </c>
    </row>
    <row r="265" spans="1:15" ht="20.100000000000001" customHeight="1" x14ac:dyDescent="0.25">
      <c r="A265" s="14">
        <v>45971</v>
      </c>
      <c r="B265" s="15" t="str">
        <f t="shared" ref="B265:B328" si="16">IF(A265="","",CHOOSE(MONTH(A265),"Enero","Febrero","Marzo","Abril","Mayo","Junio","Julio","Agosto","Septiembre","Octubre","Noviembre","Diciembre"))</f>
        <v>Noviembre</v>
      </c>
      <c r="C265" s="15">
        <f t="shared" ref="C265:C328" si="17">IF(A265="","",YEAR(A265))</f>
        <v>2025</v>
      </c>
      <c r="D265" s="16" t="s">
        <v>79</v>
      </c>
      <c r="E265" s="16" t="s">
        <v>83</v>
      </c>
      <c r="F265" s="16" t="s">
        <v>84</v>
      </c>
      <c r="G265" s="16" t="s">
        <v>29</v>
      </c>
      <c r="H265" s="16" t="s">
        <v>9</v>
      </c>
      <c r="I265" s="16" t="s">
        <v>85</v>
      </c>
      <c r="J265" s="16" t="s">
        <v>86</v>
      </c>
      <c r="K265" s="16" t="s">
        <v>87</v>
      </c>
      <c r="L265" s="17">
        <v>72.78</v>
      </c>
      <c r="M265" s="18">
        <f t="shared" ref="M265:M328" si="18">IF(A265="","",IF(D265="Ingreso",L265,IF(D265="Ahorro",-L265,IF(D265="Transferencia",0,-L265))))</f>
        <v>-72.78</v>
      </c>
      <c r="N265" s="16" t="s">
        <v>78</v>
      </c>
      <c r="O265" s="15" t="str">
        <f t="shared" ref="O265:O328" si="19">IF(COUNTA(A265:N265)=0,"",IF(OR(A265="",D265="",F265="",G265="",H265="",I265="",L265=""),"Revisar","OK"))</f>
        <v>OK</v>
      </c>
    </row>
    <row r="266" spans="1:15" ht="20.100000000000001" customHeight="1" x14ac:dyDescent="0.25">
      <c r="A266" s="14">
        <v>45972</v>
      </c>
      <c r="B266" s="15" t="str">
        <f t="shared" si="16"/>
        <v>Noviembre</v>
      </c>
      <c r="C266" s="15">
        <f t="shared" si="17"/>
        <v>2025</v>
      </c>
      <c r="D266" s="16" t="s">
        <v>79</v>
      </c>
      <c r="E266" s="16" t="s">
        <v>88</v>
      </c>
      <c r="F266" s="16" t="s">
        <v>89</v>
      </c>
      <c r="G266" s="16" t="s">
        <v>31</v>
      </c>
      <c r="H266" s="16" t="s">
        <v>9</v>
      </c>
      <c r="I266" s="16" t="s">
        <v>85</v>
      </c>
      <c r="J266" s="16" t="s">
        <v>90</v>
      </c>
      <c r="K266" s="16" t="s">
        <v>87</v>
      </c>
      <c r="L266" s="17">
        <v>11.49</v>
      </c>
      <c r="M266" s="18">
        <f t="shared" si="18"/>
        <v>-11.49</v>
      </c>
      <c r="N266" s="16" t="s">
        <v>78</v>
      </c>
      <c r="O266" s="15" t="str">
        <f t="shared" si="19"/>
        <v>OK</v>
      </c>
    </row>
    <row r="267" spans="1:15" ht="20.100000000000001" customHeight="1" x14ac:dyDescent="0.25">
      <c r="A267" s="14">
        <v>45973</v>
      </c>
      <c r="B267" s="15" t="str">
        <f t="shared" si="16"/>
        <v>Noviembre</v>
      </c>
      <c r="C267" s="15">
        <f t="shared" si="17"/>
        <v>2025</v>
      </c>
      <c r="D267" s="16" t="s">
        <v>79</v>
      </c>
      <c r="E267" s="16" t="s">
        <v>83</v>
      </c>
      <c r="F267" s="16" t="s">
        <v>102</v>
      </c>
      <c r="G267" s="16" t="s">
        <v>29</v>
      </c>
      <c r="H267" s="16" t="s">
        <v>9</v>
      </c>
      <c r="I267" s="16" t="s">
        <v>85</v>
      </c>
      <c r="J267" s="16" t="s">
        <v>103</v>
      </c>
      <c r="K267" s="16" t="s">
        <v>104</v>
      </c>
      <c r="L267" s="17">
        <v>33.71</v>
      </c>
      <c r="M267" s="18">
        <f t="shared" si="18"/>
        <v>-33.71</v>
      </c>
      <c r="N267" s="16" t="s">
        <v>78</v>
      </c>
      <c r="O267" s="15" t="str">
        <f t="shared" si="19"/>
        <v>OK</v>
      </c>
    </row>
    <row r="268" spans="1:15" ht="20.100000000000001" customHeight="1" x14ac:dyDescent="0.25">
      <c r="A268" s="14">
        <v>45975</v>
      </c>
      <c r="B268" s="15" t="str">
        <f t="shared" si="16"/>
        <v>Noviembre</v>
      </c>
      <c r="C268" s="15">
        <f t="shared" si="17"/>
        <v>2025</v>
      </c>
      <c r="D268" s="16" t="s">
        <v>79</v>
      </c>
      <c r="E268" s="16" t="s">
        <v>83</v>
      </c>
      <c r="F268" s="16" t="s">
        <v>107</v>
      </c>
      <c r="G268" s="16" t="s">
        <v>33</v>
      </c>
      <c r="H268" s="16" t="s">
        <v>10</v>
      </c>
      <c r="I268" s="16" t="s">
        <v>85</v>
      </c>
      <c r="J268" s="16" t="s">
        <v>108</v>
      </c>
      <c r="K268" s="16" t="s">
        <v>87</v>
      </c>
      <c r="L268" s="17">
        <v>31.09</v>
      </c>
      <c r="M268" s="18">
        <f t="shared" si="18"/>
        <v>-31.09</v>
      </c>
      <c r="N268" s="16" t="s">
        <v>78</v>
      </c>
      <c r="O268" s="15" t="str">
        <f t="shared" si="19"/>
        <v>OK</v>
      </c>
    </row>
    <row r="269" spans="1:15" ht="20.100000000000001" customHeight="1" x14ac:dyDescent="0.25">
      <c r="A269" s="14">
        <v>45977</v>
      </c>
      <c r="B269" s="15" t="str">
        <f t="shared" si="16"/>
        <v>Noviembre</v>
      </c>
      <c r="C269" s="15">
        <f t="shared" si="17"/>
        <v>2025</v>
      </c>
      <c r="D269" s="16" t="s">
        <v>71</v>
      </c>
      <c r="E269" s="16" t="s">
        <v>72</v>
      </c>
      <c r="F269" s="16" t="s">
        <v>118</v>
      </c>
      <c r="G269" s="16" t="s">
        <v>119</v>
      </c>
      <c r="H269" s="16" t="s">
        <v>37</v>
      </c>
      <c r="I269" s="16" t="s">
        <v>85</v>
      </c>
      <c r="J269" s="16" t="s">
        <v>125</v>
      </c>
      <c r="K269" s="16" t="s">
        <v>77</v>
      </c>
      <c r="L269" s="17">
        <v>202.91</v>
      </c>
      <c r="M269" s="18">
        <f t="shared" si="18"/>
        <v>202.91</v>
      </c>
      <c r="N269" s="16" t="s">
        <v>121</v>
      </c>
      <c r="O269" s="15" t="str">
        <f t="shared" si="19"/>
        <v>OK</v>
      </c>
    </row>
    <row r="270" spans="1:15" ht="20.100000000000001" customHeight="1" x14ac:dyDescent="0.25">
      <c r="A270" s="14">
        <v>45977</v>
      </c>
      <c r="B270" s="15" t="str">
        <f t="shared" si="16"/>
        <v>Noviembre</v>
      </c>
      <c r="C270" s="15">
        <f t="shared" si="17"/>
        <v>2025</v>
      </c>
      <c r="D270" s="16" t="s">
        <v>79</v>
      </c>
      <c r="E270" s="16" t="s">
        <v>83</v>
      </c>
      <c r="F270" s="16" t="s">
        <v>109</v>
      </c>
      <c r="G270" s="16" t="s">
        <v>33</v>
      </c>
      <c r="H270" s="16" t="s">
        <v>10</v>
      </c>
      <c r="I270" s="16" t="s">
        <v>85</v>
      </c>
      <c r="J270" s="16" t="s">
        <v>110</v>
      </c>
      <c r="K270" s="16" t="s">
        <v>87</v>
      </c>
      <c r="L270" s="17">
        <v>13.83</v>
      </c>
      <c r="M270" s="18">
        <f t="shared" si="18"/>
        <v>-13.83</v>
      </c>
      <c r="N270" s="16" t="s">
        <v>78</v>
      </c>
      <c r="O270" s="15" t="str">
        <f t="shared" si="19"/>
        <v>OK</v>
      </c>
    </row>
    <row r="271" spans="1:15" ht="20.100000000000001" customHeight="1" x14ac:dyDescent="0.25">
      <c r="A271" s="14">
        <v>45978</v>
      </c>
      <c r="B271" s="15" t="str">
        <f t="shared" si="16"/>
        <v>Noviembre</v>
      </c>
      <c r="C271" s="15">
        <f t="shared" si="17"/>
        <v>2025</v>
      </c>
      <c r="D271" s="16" t="s">
        <v>79</v>
      </c>
      <c r="E271" s="16" t="s">
        <v>83</v>
      </c>
      <c r="F271" s="16" t="s">
        <v>84</v>
      </c>
      <c r="G271" s="16" t="s">
        <v>29</v>
      </c>
      <c r="H271" s="16" t="s">
        <v>9</v>
      </c>
      <c r="I271" s="16" t="s">
        <v>85</v>
      </c>
      <c r="J271" s="16" t="s">
        <v>86</v>
      </c>
      <c r="K271" s="16" t="s">
        <v>87</v>
      </c>
      <c r="L271" s="17">
        <v>98.58</v>
      </c>
      <c r="M271" s="18">
        <f t="shared" si="18"/>
        <v>-98.58</v>
      </c>
      <c r="N271" s="16" t="s">
        <v>78</v>
      </c>
      <c r="O271" s="15" t="str">
        <f t="shared" si="19"/>
        <v>OK</v>
      </c>
    </row>
    <row r="272" spans="1:15" ht="20.100000000000001" customHeight="1" x14ac:dyDescent="0.25">
      <c r="A272" s="14">
        <v>45979</v>
      </c>
      <c r="B272" s="15" t="str">
        <f t="shared" si="16"/>
        <v>Noviembre</v>
      </c>
      <c r="C272" s="15">
        <f t="shared" si="17"/>
        <v>2025</v>
      </c>
      <c r="D272" s="16" t="s">
        <v>79</v>
      </c>
      <c r="E272" s="16" t="s">
        <v>88</v>
      </c>
      <c r="F272" s="16" t="s">
        <v>89</v>
      </c>
      <c r="G272" s="16" t="s">
        <v>31</v>
      </c>
      <c r="H272" s="16" t="s">
        <v>9</v>
      </c>
      <c r="I272" s="16" t="s">
        <v>85</v>
      </c>
      <c r="J272" s="16" t="s">
        <v>90</v>
      </c>
      <c r="K272" s="16" t="s">
        <v>87</v>
      </c>
      <c r="L272" s="17">
        <v>8.77</v>
      </c>
      <c r="M272" s="18">
        <f t="shared" si="18"/>
        <v>-8.77</v>
      </c>
      <c r="N272" s="16" t="s">
        <v>78</v>
      </c>
      <c r="O272" s="15" t="str">
        <f t="shared" si="19"/>
        <v>OK</v>
      </c>
    </row>
    <row r="273" spans="1:15" ht="20.100000000000001" customHeight="1" x14ac:dyDescent="0.25">
      <c r="A273" s="14">
        <v>45980</v>
      </c>
      <c r="B273" s="15" t="str">
        <f t="shared" si="16"/>
        <v>Noviembre</v>
      </c>
      <c r="C273" s="15">
        <f t="shared" si="17"/>
        <v>2025</v>
      </c>
      <c r="D273" s="16" t="s">
        <v>79</v>
      </c>
      <c r="E273" s="16" t="s">
        <v>83</v>
      </c>
      <c r="F273" s="16" t="s">
        <v>111</v>
      </c>
      <c r="G273" s="16" t="s">
        <v>35</v>
      </c>
      <c r="H273" s="16" t="s">
        <v>10</v>
      </c>
      <c r="I273" s="16" t="s">
        <v>85</v>
      </c>
      <c r="J273" s="16" t="s">
        <v>112</v>
      </c>
      <c r="K273" s="16" t="s">
        <v>87</v>
      </c>
      <c r="L273" s="17">
        <v>45.48</v>
      </c>
      <c r="M273" s="18">
        <f t="shared" si="18"/>
        <v>-45.48</v>
      </c>
      <c r="N273" s="16" t="s">
        <v>78</v>
      </c>
      <c r="O273" s="15" t="str">
        <f t="shared" si="19"/>
        <v>OK</v>
      </c>
    </row>
    <row r="274" spans="1:15" ht="20.100000000000001" customHeight="1" x14ac:dyDescent="0.25">
      <c r="A274" s="14">
        <v>45981</v>
      </c>
      <c r="B274" s="15" t="str">
        <f t="shared" si="16"/>
        <v>Noviembre</v>
      </c>
      <c r="C274" s="15">
        <f t="shared" si="17"/>
        <v>2025</v>
      </c>
      <c r="D274" s="16" t="s">
        <v>79</v>
      </c>
      <c r="E274" s="16" t="s">
        <v>83</v>
      </c>
      <c r="F274" s="16" t="s">
        <v>107</v>
      </c>
      <c r="G274" s="16" t="s">
        <v>33</v>
      </c>
      <c r="H274" s="16" t="s">
        <v>10</v>
      </c>
      <c r="I274" s="16" t="s">
        <v>85</v>
      </c>
      <c r="J274" s="16" t="s">
        <v>108</v>
      </c>
      <c r="K274" s="16" t="s">
        <v>104</v>
      </c>
      <c r="L274" s="17">
        <v>11.86</v>
      </c>
      <c r="M274" s="18">
        <f t="shared" si="18"/>
        <v>-11.86</v>
      </c>
      <c r="N274" s="16" t="s">
        <v>78</v>
      </c>
      <c r="O274" s="15" t="str">
        <f t="shared" si="19"/>
        <v>OK</v>
      </c>
    </row>
    <row r="275" spans="1:15" ht="20.100000000000001" customHeight="1" x14ac:dyDescent="0.25">
      <c r="A275" s="14">
        <v>45985</v>
      </c>
      <c r="B275" s="15" t="str">
        <f t="shared" si="16"/>
        <v>Noviembre</v>
      </c>
      <c r="C275" s="15">
        <f t="shared" si="17"/>
        <v>2025</v>
      </c>
      <c r="D275" s="16" t="s">
        <v>79</v>
      </c>
      <c r="E275" s="16" t="s">
        <v>83</v>
      </c>
      <c r="F275" s="16" t="s">
        <v>84</v>
      </c>
      <c r="G275" s="16" t="s">
        <v>29</v>
      </c>
      <c r="H275" s="16" t="s">
        <v>9</v>
      </c>
      <c r="I275" s="16" t="s">
        <v>85</v>
      </c>
      <c r="J275" s="16" t="s">
        <v>86</v>
      </c>
      <c r="K275" s="16" t="s">
        <v>87</v>
      </c>
      <c r="L275" s="17">
        <v>92.5</v>
      </c>
      <c r="M275" s="18">
        <f t="shared" si="18"/>
        <v>-92.5</v>
      </c>
      <c r="N275" s="16" t="s">
        <v>78</v>
      </c>
      <c r="O275" s="15" t="str">
        <f t="shared" si="19"/>
        <v>OK</v>
      </c>
    </row>
    <row r="276" spans="1:15" ht="20.100000000000001" customHeight="1" x14ac:dyDescent="0.25">
      <c r="A276" s="14">
        <v>45986</v>
      </c>
      <c r="B276" s="15" t="str">
        <f t="shared" si="16"/>
        <v>Noviembre</v>
      </c>
      <c r="C276" s="15">
        <f t="shared" si="17"/>
        <v>2025</v>
      </c>
      <c r="D276" s="16" t="s">
        <v>79</v>
      </c>
      <c r="E276" s="16" t="s">
        <v>88</v>
      </c>
      <c r="F276" s="16" t="s">
        <v>89</v>
      </c>
      <c r="G276" s="16" t="s">
        <v>31</v>
      </c>
      <c r="H276" s="16" t="s">
        <v>9</v>
      </c>
      <c r="I276" s="16" t="s">
        <v>85</v>
      </c>
      <c r="J276" s="16" t="s">
        <v>90</v>
      </c>
      <c r="K276" s="16" t="s">
        <v>87</v>
      </c>
      <c r="L276" s="17">
        <v>10.42</v>
      </c>
      <c r="M276" s="18">
        <f t="shared" si="18"/>
        <v>-10.42</v>
      </c>
      <c r="N276" s="16" t="s">
        <v>78</v>
      </c>
      <c r="O276" s="15" t="str">
        <f t="shared" si="19"/>
        <v>OK</v>
      </c>
    </row>
    <row r="277" spans="1:15" ht="20.100000000000001" customHeight="1" x14ac:dyDescent="0.25">
      <c r="A277" s="14">
        <v>45987</v>
      </c>
      <c r="B277" s="15" t="str">
        <f t="shared" si="16"/>
        <v>Noviembre</v>
      </c>
      <c r="C277" s="15">
        <f t="shared" si="17"/>
        <v>2025</v>
      </c>
      <c r="D277" s="16" t="s">
        <v>79</v>
      </c>
      <c r="E277" s="16" t="s">
        <v>83</v>
      </c>
      <c r="F277" s="16" t="s">
        <v>102</v>
      </c>
      <c r="G277" s="16" t="s">
        <v>29</v>
      </c>
      <c r="H277" s="16" t="s">
        <v>9</v>
      </c>
      <c r="I277" s="16" t="s">
        <v>85</v>
      </c>
      <c r="J277" s="16" t="s">
        <v>103</v>
      </c>
      <c r="K277" s="16" t="s">
        <v>104</v>
      </c>
      <c r="L277" s="17">
        <v>45.17</v>
      </c>
      <c r="M277" s="18">
        <f t="shared" si="18"/>
        <v>-45.17</v>
      </c>
      <c r="N277" s="16" t="s">
        <v>78</v>
      </c>
      <c r="O277" s="15" t="str">
        <f t="shared" si="19"/>
        <v>OK</v>
      </c>
    </row>
    <row r="278" spans="1:15" ht="20.100000000000001" customHeight="1" x14ac:dyDescent="0.25">
      <c r="A278" s="14">
        <v>45988</v>
      </c>
      <c r="B278" s="15" t="str">
        <f t="shared" si="16"/>
        <v>Noviembre</v>
      </c>
      <c r="C278" s="15">
        <f t="shared" si="17"/>
        <v>2025</v>
      </c>
      <c r="D278" s="16" t="s">
        <v>30</v>
      </c>
      <c r="E278" s="16" t="s">
        <v>113</v>
      </c>
      <c r="F278" s="16" t="s">
        <v>114</v>
      </c>
      <c r="G278" s="16" t="s">
        <v>41</v>
      </c>
      <c r="H278" s="16" t="s">
        <v>30</v>
      </c>
      <c r="I278" s="16" t="s">
        <v>75</v>
      </c>
      <c r="J278" s="16" t="s">
        <v>115</v>
      </c>
      <c r="K278" s="16" t="s">
        <v>77</v>
      </c>
      <c r="L278" s="17">
        <v>238.16</v>
      </c>
      <c r="M278" s="18">
        <f t="shared" si="18"/>
        <v>-238.16</v>
      </c>
      <c r="N278" s="16" t="s">
        <v>78</v>
      </c>
      <c r="O278" s="15" t="str">
        <f t="shared" si="19"/>
        <v>OK</v>
      </c>
    </row>
    <row r="279" spans="1:15" ht="20.100000000000001" customHeight="1" x14ac:dyDescent="0.25">
      <c r="A279" s="14">
        <v>45989</v>
      </c>
      <c r="B279" s="15" t="str">
        <f t="shared" si="16"/>
        <v>Noviembre</v>
      </c>
      <c r="C279" s="15">
        <f t="shared" si="17"/>
        <v>2025</v>
      </c>
      <c r="D279" s="16" t="s">
        <v>79</v>
      </c>
      <c r="E279" s="16" t="s">
        <v>83</v>
      </c>
      <c r="F279" s="16" t="s">
        <v>107</v>
      </c>
      <c r="G279" s="16" t="s">
        <v>33</v>
      </c>
      <c r="H279" s="16" t="s">
        <v>10</v>
      </c>
      <c r="I279" s="16" t="s">
        <v>85</v>
      </c>
      <c r="J279" s="16" t="s">
        <v>108</v>
      </c>
      <c r="K279" s="16" t="s">
        <v>87</v>
      </c>
      <c r="L279" s="17">
        <v>29.29</v>
      </c>
      <c r="M279" s="18">
        <f t="shared" si="18"/>
        <v>-29.29</v>
      </c>
      <c r="N279" s="16" t="s">
        <v>78</v>
      </c>
      <c r="O279" s="15" t="str">
        <f t="shared" si="19"/>
        <v>OK</v>
      </c>
    </row>
    <row r="280" spans="1:15" ht="20.100000000000001" customHeight="1" x14ac:dyDescent="0.25">
      <c r="A280" s="14">
        <v>45989</v>
      </c>
      <c r="B280" s="15" t="str">
        <f t="shared" si="16"/>
        <v>Noviembre</v>
      </c>
      <c r="C280" s="15">
        <f t="shared" si="17"/>
        <v>2025</v>
      </c>
      <c r="D280" s="16" t="s">
        <v>30</v>
      </c>
      <c r="E280" s="16" t="s">
        <v>113</v>
      </c>
      <c r="F280" s="16" t="s">
        <v>116</v>
      </c>
      <c r="G280" s="16" t="s">
        <v>41</v>
      </c>
      <c r="H280" s="16" t="s">
        <v>30</v>
      </c>
      <c r="I280" s="16" t="s">
        <v>85</v>
      </c>
      <c r="J280" s="16" t="s">
        <v>117</v>
      </c>
      <c r="K280" s="16" t="s">
        <v>77</v>
      </c>
      <c r="L280" s="17">
        <v>58.6</v>
      </c>
      <c r="M280" s="18">
        <f t="shared" si="18"/>
        <v>-58.6</v>
      </c>
      <c r="N280" s="16" t="s">
        <v>78</v>
      </c>
      <c r="O280" s="15" t="str">
        <f t="shared" si="19"/>
        <v>OK</v>
      </c>
    </row>
    <row r="281" spans="1:15" ht="20.100000000000001" customHeight="1" x14ac:dyDescent="0.25">
      <c r="A281" s="14">
        <v>45992</v>
      </c>
      <c r="B281" s="15" t="str">
        <f t="shared" si="16"/>
        <v>Diciembre</v>
      </c>
      <c r="C281" s="15">
        <f t="shared" si="17"/>
        <v>2025</v>
      </c>
      <c r="D281" s="16" t="s">
        <v>71</v>
      </c>
      <c r="E281" s="16" t="s">
        <v>72</v>
      </c>
      <c r="F281" s="16" t="s">
        <v>73</v>
      </c>
      <c r="G281" s="16" t="s">
        <v>74</v>
      </c>
      <c r="H281" s="16" t="s">
        <v>37</v>
      </c>
      <c r="I281" s="16" t="s">
        <v>75</v>
      </c>
      <c r="J281" s="16" t="s">
        <v>76</v>
      </c>
      <c r="K281" s="16" t="s">
        <v>77</v>
      </c>
      <c r="L281" s="17">
        <v>2518.98</v>
      </c>
      <c r="M281" s="18">
        <f t="shared" si="18"/>
        <v>2518.98</v>
      </c>
      <c r="N281" s="16" t="s">
        <v>78</v>
      </c>
      <c r="O281" s="15" t="str">
        <f t="shared" si="19"/>
        <v>OK</v>
      </c>
    </row>
    <row r="282" spans="1:15" ht="20.100000000000001" customHeight="1" x14ac:dyDescent="0.25">
      <c r="A282" s="14">
        <v>45993</v>
      </c>
      <c r="B282" s="15" t="str">
        <f t="shared" si="16"/>
        <v>Diciembre</v>
      </c>
      <c r="C282" s="15">
        <f t="shared" si="17"/>
        <v>2025</v>
      </c>
      <c r="D282" s="16" t="s">
        <v>79</v>
      </c>
      <c r="E282" s="16" t="s">
        <v>80</v>
      </c>
      <c r="F282" s="16" t="s">
        <v>81</v>
      </c>
      <c r="G282" s="16" t="s">
        <v>28</v>
      </c>
      <c r="H282" s="16" t="s">
        <v>9</v>
      </c>
      <c r="I282" s="16" t="s">
        <v>75</v>
      </c>
      <c r="J282" s="16" t="s">
        <v>82</v>
      </c>
      <c r="K282" s="16" t="s">
        <v>77</v>
      </c>
      <c r="L282" s="17">
        <v>980</v>
      </c>
      <c r="M282" s="18">
        <f t="shared" si="18"/>
        <v>-980</v>
      </c>
      <c r="N282" s="16" t="s">
        <v>78</v>
      </c>
      <c r="O282" s="15" t="str">
        <f t="shared" si="19"/>
        <v>OK</v>
      </c>
    </row>
    <row r="283" spans="1:15" ht="20.100000000000001" customHeight="1" x14ac:dyDescent="0.25">
      <c r="A283" s="14">
        <v>45994</v>
      </c>
      <c r="B283" s="15" t="str">
        <f t="shared" si="16"/>
        <v>Diciembre</v>
      </c>
      <c r="C283" s="15">
        <f t="shared" si="17"/>
        <v>2025</v>
      </c>
      <c r="D283" s="16" t="s">
        <v>79</v>
      </c>
      <c r="E283" s="16" t="s">
        <v>83</v>
      </c>
      <c r="F283" s="16" t="s">
        <v>84</v>
      </c>
      <c r="G283" s="16" t="s">
        <v>29</v>
      </c>
      <c r="H283" s="16" t="s">
        <v>9</v>
      </c>
      <c r="I283" s="16" t="s">
        <v>85</v>
      </c>
      <c r="J283" s="16" t="s">
        <v>86</v>
      </c>
      <c r="K283" s="16" t="s">
        <v>87</v>
      </c>
      <c r="L283" s="17">
        <v>100.86</v>
      </c>
      <c r="M283" s="18">
        <f t="shared" si="18"/>
        <v>-100.86</v>
      </c>
      <c r="N283" s="16" t="s">
        <v>78</v>
      </c>
      <c r="O283" s="15" t="str">
        <f t="shared" si="19"/>
        <v>OK</v>
      </c>
    </row>
    <row r="284" spans="1:15" ht="20.100000000000001" customHeight="1" x14ac:dyDescent="0.25">
      <c r="A284" s="14">
        <v>45995</v>
      </c>
      <c r="B284" s="15" t="str">
        <f t="shared" si="16"/>
        <v>Diciembre</v>
      </c>
      <c r="C284" s="15">
        <f t="shared" si="17"/>
        <v>2025</v>
      </c>
      <c r="D284" s="16" t="s">
        <v>79</v>
      </c>
      <c r="E284" s="16" t="s">
        <v>88</v>
      </c>
      <c r="F284" s="16" t="s">
        <v>89</v>
      </c>
      <c r="G284" s="16" t="s">
        <v>31</v>
      </c>
      <c r="H284" s="16" t="s">
        <v>9</v>
      </c>
      <c r="I284" s="16" t="s">
        <v>85</v>
      </c>
      <c r="J284" s="16" t="s">
        <v>90</v>
      </c>
      <c r="K284" s="16" t="s">
        <v>87</v>
      </c>
      <c r="L284" s="17">
        <v>9.09</v>
      </c>
      <c r="M284" s="18">
        <f t="shared" si="18"/>
        <v>-9.09</v>
      </c>
      <c r="N284" s="16" t="s">
        <v>78</v>
      </c>
      <c r="O284" s="15" t="str">
        <f t="shared" si="19"/>
        <v>OK</v>
      </c>
    </row>
    <row r="285" spans="1:15" ht="20.100000000000001" customHeight="1" x14ac:dyDescent="0.25">
      <c r="A285" s="14">
        <v>45996</v>
      </c>
      <c r="B285" s="15" t="str">
        <f t="shared" si="16"/>
        <v>Diciembre</v>
      </c>
      <c r="C285" s="15">
        <f t="shared" si="17"/>
        <v>2025</v>
      </c>
      <c r="D285" s="16" t="s">
        <v>79</v>
      </c>
      <c r="E285" s="16" t="s">
        <v>80</v>
      </c>
      <c r="F285" s="16" t="s">
        <v>91</v>
      </c>
      <c r="G285" s="16" t="s">
        <v>28</v>
      </c>
      <c r="H285" s="16" t="s">
        <v>9</v>
      </c>
      <c r="I285" s="16" t="s">
        <v>75</v>
      </c>
      <c r="J285" s="16" t="s">
        <v>92</v>
      </c>
      <c r="K285" s="16" t="s">
        <v>93</v>
      </c>
      <c r="L285" s="17">
        <v>39.86</v>
      </c>
      <c r="M285" s="18">
        <f t="shared" si="18"/>
        <v>-39.86</v>
      </c>
      <c r="N285" s="16" t="s">
        <v>78</v>
      </c>
      <c r="O285" s="15" t="str">
        <f t="shared" si="19"/>
        <v>OK</v>
      </c>
    </row>
    <row r="286" spans="1:15" ht="20.100000000000001" customHeight="1" x14ac:dyDescent="0.25">
      <c r="A286" s="14">
        <v>45997</v>
      </c>
      <c r="B286" s="15" t="str">
        <f t="shared" si="16"/>
        <v>Diciembre</v>
      </c>
      <c r="C286" s="15">
        <f t="shared" si="17"/>
        <v>2025</v>
      </c>
      <c r="D286" s="16" t="s">
        <v>79</v>
      </c>
      <c r="E286" s="16" t="s">
        <v>80</v>
      </c>
      <c r="F286" s="16" t="s">
        <v>94</v>
      </c>
      <c r="G286" s="16" t="s">
        <v>28</v>
      </c>
      <c r="H286" s="16" t="s">
        <v>9</v>
      </c>
      <c r="I286" s="16" t="s">
        <v>75</v>
      </c>
      <c r="J286" s="16" t="s">
        <v>95</v>
      </c>
      <c r="K286" s="16" t="s">
        <v>93</v>
      </c>
      <c r="L286" s="17">
        <v>19.61</v>
      </c>
      <c r="M286" s="18">
        <f t="shared" si="18"/>
        <v>-19.61</v>
      </c>
      <c r="N286" s="16" t="s">
        <v>78</v>
      </c>
      <c r="O286" s="15" t="str">
        <f t="shared" si="19"/>
        <v>OK</v>
      </c>
    </row>
    <row r="287" spans="1:15" ht="20.100000000000001" customHeight="1" x14ac:dyDescent="0.25">
      <c r="A287" s="14">
        <v>45998</v>
      </c>
      <c r="B287" s="15" t="str">
        <f t="shared" si="16"/>
        <v>Diciembre</v>
      </c>
      <c r="C287" s="15">
        <f t="shared" si="17"/>
        <v>2025</v>
      </c>
      <c r="D287" s="16" t="s">
        <v>79</v>
      </c>
      <c r="E287" s="16" t="s">
        <v>80</v>
      </c>
      <c r="F287" s="16" t="s">
        <v>96</v>
      </c>
      <c r="G287" s="16" t="s">
        <v>28</v>
      </c>
      <c r="H287" s="16" t="s">
        <v>9</v>
      </c>
      <c r="I287" s="16" t="s">
        <v>75</v>
      </c>
      <c r="J287" s="16" t="s">
        <v>97</v>
      </c>
      <c r="K287" s="16" t="s">
        <v>93</v>
      </c>
      <c r="L287" s="17">
        <v>35</v>
      </c>
      <c r="M287" s="18">
        <f t="shared" si="18"/>
        <v>-35</v>
      </c>
      <c r="N287" s="16" t="s">
        <v>78</v>
      </c>
      <c r="O287" s="15" t="str">
        <f t="shared" si="19"/>
        <v>OK</v>
      </c>
    </row>
    <row r="288" spans="1:15" ht="20.100000000000001" customHeight="1" x14ac:dyDescent="0.25">
      <c r="A288" s="14">
        <v>45999</v>
      </c>
      <c r="B288" s="15" t="str">
        <f t="shared" si="16"/>
        <v>Diciembre</v>
      </c>
      <c r="C288" s="15">
        <f t="shared" si="17"/>
        <v>2025</v>
      </c>
      <c r="D288" s="16" t="s">
        <v>79</v>
      </c>
      <c r="E288" s="16" t="s">
        <v>80</v>
      </c>
      <c r="F288" s="16" t="s">
        <v>98</v>
      </c>
      <c r="G288" s="16" t="s">
        <v>32</v>
      </c>
      <c r="H288" s="16" t="s">
        <v>9</v>
      </c>
      <c r="I288" s="16" t="s">
        <v>75</v>
      </c>
      <c r="J288" s="16" t="s">
        <v>99</v>
      </c>
      <c r="K288" s="16" t="s">
        <v>93</v>
      </c>
      <c r="L288" s="17">
        <v>18</v>
      </c>
      <c r="M288" s="18">
        <f t="shared" si="18"/>
        <v>-18</v>
      </c>
      <c r="N288" s="16" t="s">
        <v>78</v>
      </c>
      <c r="O288" s="15" t="str">
        <f t="shared" si="19"/>
        <v>OK</v>
      </c>
    </row>
    <row r="289" spans="1:15" ht="20.100000000000001" customHeight="1" x14ac:dyDescent="0.25">
      <c r="A289" s="14">
        <v>46000</v>
      </c>
      <c r="B289" s="15" t="str">
        <f t="shared" si="16"/>
        <v>Diciembre</v>
      </c>
      <c r="C289" s="15">
        <f t="shared" si="17"/>
        <v>2025</v>
      </c>
      <c r="D289" s="16" t="s">
        <v>79</v>
      </c>
      <c r="E289" s="16" t="s">
        <v>83</v>
      </c>
      <c r="F289" s="16" t="s">
        <v>100</v>
      </c>
      <c r="G289" s="16" t="s">
        <v>39</v>
      </c>
      <c r="H289" s="16" t="s">
        <v>9</v>
      </c>
      <c r="I289" s="16" t="s">
        <v>75</v>
      </c>
      <c r="J289" s="16" t="s">
        <v>101</v>
      </c>
      <c r="K289" s="16" t="s">
        <v>87</v>
      </c>
      <c r="L289" s="17">
        <v>24</v>
      </c>
      <c r="M289" s="18">
        <f t="shared" si="18"/>
        <v>-24</v>
      </c>
      <c r="N289" s="16" t="s">
        <v>78</v>
      </c>
      <c r="O289" s="15" t="str">
        <f t="shared" si="19"/>
        <v>OK</v>
      </c>
    </row>
    <row r="290" spans="1:15" ht="20.100000000000001" customHeight="1" x14ac:dyDescent="0.25">
      <c r="A290" s="14">
        <v>46001</v>
      </c>
      <c r="B290" s="15" t="str">
        <f t="shared" si="16"/>
        <v>Diciembre</v>
      </c>
      <c r="C290" s="15">
        <f t="shared" si="17"/>
        <v>2025</v>
      </c>
      <c r="D290" s="16" t="s">
        <v>79</v>
      </c>
      <c r="E290" s="16" t="s">
        <v>83</v>
      </c>
      <c r="F290" s="16" t="s">
        <v>84</v>
      </c>
      <c r="G290" s="16" t="s">
        <v>29</v>
      </c>
      <c r="H290" s="16" t="s">
        <v>9</v>
      </c>
      <c r="I290" s="16" t="s">
        <v>85</v>
      </c>
      <c r="J290" s="16" t="s">
        <v>86</v>
      </c>
      <c r="K290" s="16" t="s">
        <v>87</v>
      </c>
      <c r="L290" s="17">
        <v>90.38</v>
      </c>
      <c r="M290" s="18">
        <f t="shared" si="18"/>
        <v>-90.38</v>
      </c>
      <c r="N290" s="16" t="s">
        <v>78</v>
      </c>
      <c r="O290" s="15" t="str">
        <f t="shared" si="19"/>
        <v>OK</v>
      </c>
    </row>
    <row r="291" spans="1:15" ht="20.100000000000001" customHeight="1" x14ac:dyDescent="0.25">
      <c r="A291" s="14">
        <v>46002</v>
      </c>
      <c r="B291" s="15" t="str">
        <f t="shared" si="16"/>
        <v>Diciembre</v>
      </c>
      <c r="C291" s="15">
        <f t="shared" si="17"/>
        <v>2025</v>
      </c>
      <c r="D291" s="16" t="s">
        <v>79</v>
      </c>
      <c r="E291" s="16" t="s">
        <v>88</v>
      </c>
      <c r="F291" s="16" t="s">
        <v>89</v>
      </c>
      <c r="G291" s="16" t="s">
        <v>31</v>
      </c>
      <c r="H291" s="16" t="s">
        <v>9</v>
      </c>
      <c r="I291" s="16" t="s">
        <v>85</v>
      </c>
      <c r="J291" s="16" t="s">
        <v>90</v>
      </c>
      <c r="K291" s="16" t="s">
        <v>87</v>
      </c>
      <c r="L291" s="17">
        <v>13.43</v>
      </c>
      <c r="M291" s="18">
        <f t="shared" si="18"/>
        <v>-13.43</v>
      </c>
      <c r="N291" s="16" t="s">
        <v>78</v>
      </c>
      <c r="O291" s="15" t="str">
        <f t="shared" si="19"/>
        <v>OK</v>
      </c>
    </row>
    <row r="292" spans="1:15" ht="20.100000000000001" customHeight="1" x14ac:dyDescent="0.25">
      <c r="A292" s="14">
        <v>46003</v>
      </c>
      <c r="B292" s="15" t="str">
        <f t="shared" si="16"/>
        <v>Diciembre</v>
      </c>
      <c r="C292" s="15">
        <f t="shared" si="17"/>
        <v>2025</v>
      </c>
      <c r="D292" s="16" t="s">
        <v>79</v>
      </c>
      <c r="E292" s="16" t="s">
        <v>83</v>
      </c>
      <c r="F292" s="16" t="s">
        <v>102</v>
      </c>
      <c r="G292" s="16" t="s">
        <v>29</v>
      </c>
      <c r="H292" s="16" t="s">
        <v>9</v>
      </c>
      <c r="I292" s="16" t="s">
        <v>85</v>
      </c>
      <c r="J292" s="16" t="s">
        <v>103</v>
      </c>
      <c r="K292" s="16" t="s">
        <v>87</v>
      </c>
      <c r="L292" s="17">
        <v>39.17</v>
      </c>
      <c r="M292" s="18">
        <f t="shared" si="18"/>
        <v>-39.17</v>
      </c>
      <c r="N292" s="16" t="s">
        <v>78</v>
      </c>
      <c r="O292" s="15" t="str">
        <f t="shared" si="19"/>
        <v>OK</v>
      </c>
    </row>
    <row r="293" spans="1:15" ht="20.100000000000001" customHeight="1" x14ac:dyDescent="0.25">
      <c r="A293" s="14">
        <v>46004</v>
      </c>
      <c r="B293" s="15" t="str">
        <f t="shared" si="16"/>
        <v>Diciembre</v>
      </c>
      <c r="C293" s="15">
        <f t="shared" si="17"/>
        <v>2025</v>
      </c>
      <c r="D293" s="16" t="s">
        <v>79</v>
      </c>
      <c r="E293" s="16" t="s">
        <v>83</v>
      </c>
      <c r="F293" s="16" t="s">
        <v>105</v>
      </c>
      <c r="G293" s="16" t="s">
        <v>32</v>
      </c>
      <c r="H293" s="16" t="s">
        <v>9</v>
      </c>
      <c r="I293" s="16" t="s">
        <v>85</v>
      </c>
      <c r="J293" s="16" t="s">
        <v>106</v>
      </c>
      <c r="K293" s="16" t="s">
        <v>87</v>
      </c>
      <c r="L293" s="17">
        <v>12.26</v>
      </c>
      <c r="M293" s="18">
        <f t="shared" si="18"/>
        <v>-12.26</v>
      </c>
      <c r="N293" s="16" t="s">
        <v>78</v>
      </c>
      <c r="O293" s="15" t="str">
        <f t="shared" si="19"/>
        <v>OK</v>
      </c>
    </row>
    <row r="294" spans="1:15" ht="20.100000000000001" customHeight="1" x14ac:dyDescent="0.25">
      <c r="A294" s="14">
        <v>46005</v>
      </c>
      <c r="B294" s="15" t="str">
        <f t="shared" si="16"/>
        <v>Diciembre</v>
      </c>
      <c r="C294" s="15">
        <f t="shared" si="17"/>
        <v>2025</v>
      </c>
      <c r="D294" s="16" t="s">
        <v>79</v>
      </c>
      <c r="E294" s="16" t="s">
        <v>83</v>
      </c>
      <c r="F294" s="16" t="s">
        <v>107</v>
      </c>
      <c r="G294" s="16" t="s">
        <v>33</v>
      </c>
      <c r="H294" s="16" t="s">
        <v>10</v>
      </c>
      <c r="I294" s="16" t="s">
        <v>85</v>
      </c>
      <c r="J294" s="16" t="s">
        <v>108</v>
      </c>
      <c r="K294" s="16" t="s">
        <v>87</v>
      </c>
      <c r="L294" s="17">
        <v>15.58</v>
      </c>
      <c r="M294" s="18">
        <f t="shared" si="18"/>
        <v>-15.58</v>
      </c>
      <c r="N294" s="16" t="s">
        <v>78</v>
      </c>
      <c r="O294" s="15" t="str">
        <f t="shared" si="19"/>
        <v>OK</v>
      </c>
    </row>
    <row r="295" spans="1:15" ht="20.100000000000001" customHeight="1" x14ac:dyDescent="0.25">
      <c r="A295" s="14">
        <v>46008</v>
      </c>
      <c r="B295" s="15" t="str">
        <f t="shared" si="16"/>
        <v>Diciembre</v>
      </c>
      <c r="C295" s="15">
        <f t="shared" si="17"/>
        <v>2025</v>
      </c>
      <c r="D295" s="16" t="s">
        <v>79</v>
      </c>
      <c r="E295" s="16" t="s">
        <v>83</v>
      </c>
      <c r="F295" s="16" t="s">
        <v>84</v>
      </c>
      <c r="G295" s="16" t="s">
        <v>29</v>
      </c>
      <c r="H295" s="16" t="s">
        <v>9</v>
      </c>
      <c r="I295" s="16" t="s">
        <v>85</v>
      </c>
      <c r="J295" s="16" t="s">
        <v>86</v>
      </c>
      <c r="K295" s="16" t="s">
        <v>87</v>
      </c>
      <c r="L295" s="17">
        <v>68.02</v>
      </c>
      <c r="M295" s="18">
        <f t="shared" si="18"/>
        <v>-68.02</v>
      </c>
      <c r="N295" s="16" t="s">
        <v>78</v>
      </c>
      <c r="O295" s="15" t="str">
        <f t="shared" si="19"/>
        <v>OK</v>
      </c>
    </row>
    <row r="296" spans="1:15" ht="20.100000000000001" customHeight="1" x14ac:dyDescent="0.25">
      <c r="A296" s="14">
        <v>46009</v>
      </c>
      <c r="B296" s="15" t="str">
        <f t="shared" si="16"/>
        <v>Diciembre</v>
      </c>
      <c r="C296" s="15">
        <f t="shared" si="17"/>
        <v>2025</v>
      </c>
      <c r="D296" s="16" t="s">
        <v>79</v>
      </c>
      <c r="E296" s="16" t="s">
        <v>88</v>
      </c>
      <c r="F296" s="16" t="s">
        <v>89</v>
      </c>
      <c r="G296" s="16" t="s">
        <v>31</v>
      </c>
      <c r="H296" s="16" t="s">
        <v>9</v>
      </c>
      <c r="I296" s="16" t="s">
        <v>85</v>
      </c>
      <c r="J296" s="16" t="s">
        <v>90</v>
      </c>
      <c r="K296" s="16" t="s">
        <v>87</v>
      </c>
      <c r="L296" s="17">
        <v>12.68</v>
      </c>
      <c r="M296" s="18">
        <f t="shared" si="18"/>
        <v>-12.68</v>
      </c>
      <c r="N296" s="16" t="s">
        <v>78</v>
      </c>
      <c r="O296" s="15" t="str">
        <f t="shared" si="19"/>
        <v>OK</v>
      </c>
    </row>
    <row r="297" spans="1:15" ht="20.100000000000001" customHeight="1" x14ac:dyDescent="0.25">
      <c r="A297" s="14">
        <v>46011</v>
      </c>
      <c r="B297" s="15" t="str">
        <f t="shared" si="16"/>
        <v>Diciembre</v>
      </c>
      <c r="C297" s="15">
        <f t="shared" si="17"/>
        <v>2025</v>
      </c>
      <c r="D297" s="16" t="s">
        <v>79</v>
      </c>
      <c r="E297" s="16" t="s">
        <v>83</v>
      </c>
      <c r="F297" s="16" t="s">
        <v>107</v>
      </c>
      <c r="G297" s="16" t="s">
        <v>33</v>
      </c>
      <c r="H297" s="16" t="s">
        <v>10</v>
      </c>
      <c r="I297" s="16" t="s">
        <v>85</v>
      </c>
      <c r="J297" s="16" t="s">
        <v>108</v>
      </c>
      <c r="K297" s="16" t="s">
        <v>124</v>
      </c>
      <c r="L297" s="17">
        <v>18.04</v>
      </c>
      <c r="M297" s="18">
        <f t="shared" si="18"/>
        <v>-18.04</v>
      </c>
      <c r="N297" s="16" t="s">
        <v>78</v>
      </c>
      <c r="O297" s="15" t="str">
        <f t="shared" si="19"/>
        <v>OK</v>
      </c>
    </row>
    <row r="298" spans="1:15" ht="20.100000000000001" customHeight="1" x14ac:dyDescent="0.25">
      <c r="A298" s="14">
        <v>46012</v>
      </c>
      <c r="B298" s="15" t="str">
        <f t="shared" si="16"/>
        <v>Diciembre</v>
      </c>
      <c r="C298" s="15">
        <f t="shared" si="17"/>
        <v>2025</v>
      </c>
      <c r="D298" s="16" t="s">
        <v>79</v>
      </c>
      <c r="E298" s="16" t="s">
        <v>83</v>
      </c>
      <c r="F298" s="16" t="s">
        <v>122</v>
      </c>
      <c r="G298" s="16" t="s">
        <v>31</v>
      </c>
      <c r="H298" s="16" t="s">
        <v>9</v>
      </c>
      <c r="I298" s="16" t="s">
        <v>85</v>
      </c>
      <c r="J298" s="16" t="s">
        <v>123</v>
      </c>
      <c r="K298" s="16" t="s">
        <v>87</v>
      </c>
      <c r="L298" s="17">
        <v>16.79</v>
      </c>
      <c r="M298" s="18">
        <f t="shared" si="18"/>
        <v>-16.79</v>
      </c>
      <c r="N298" s="16" t="s">
        <v>78</v>
      </c>
      <c r="O298" s="15" t="str">
        <f t="shared" si="19"/>
        <v>OK</v>
      </c>
    </row>
    <row r="299" spans="1:15" ht="20.100000000000001" customHeight="1" x14ac:dyDescent="0.25">
      <c r="A299" s="14">
        <v>46014</v>
      </c>
      <c r="B299" s="15" t="str">
        <f t="shared" si="16"/>
        <v>Diciembre</v>
      </c>
      <c r="C299" s="15">
        <f t="shared" si="17"/>
        <v>2025</v>
      </c>
      <c r="D299" s="16" t="s">
        <v>79</v>
      </c>
      <c r="E299" s="16" t="s">
        <v>83</v>
      </c>
      <c r="F299" s="16" t="s">
        <v>109</v>
      </c>
      <c r="G299" s="16" t="s">
        <v>33</v>
      </c>
      <c r="H299" s="16" t="s">
        <v>10</v>
      </c>
      <c r="I299" s="16" t="s">
        <v>85</v>
      </c>
      <c r="J299" s="16" t="s">
        <v>110</v>
      </c>
      <c r="K299" s="16" t="s">
        <v>87</v>
      </c>
      <c r="L299" s="17">
        <v>35.659999999999997</v>
      </c>
      <c r="M299" s="18">
        <f t="shared" si="18"/>
        <v>-35.659999999999997</v>
      </c>
      <c r="N299" s="16" t="s">
        <v>78</v>
      </c>
      <c r="O299" s="15" t="str">
        <f t="shared" si="19"/>
        <v>OK</v>
      </c>
    </row>
    <row r="300" spans="1:15" ht="20.100000000000001" customHeight="1" x14ac:dyDescent="0.25">
      <c r="A300" s="14">
        <v>46015</v>
      </c>
      <c r="B300" s="15" t="str">
        <f t="shared" si="16"/>
        <v>Diciembre</v>
      </c>
      <c r="C300" s="15">
        <f t="shared" si="17"/>
        <v>2025</v>
      </c>
      <c r="D300" s="16" t="s">
        <v>79</v>
      </c>
      <c r="E300" s="16" t="s">
        <v>83</v>
      </c>
      <c r="F300" s="16" t="s">
        <v>84</v>
      </c>
      <c r="G300" s="16" t="s">
        <v>29</v>
      </c>
      <c r="H300" s="16" t="s">
        <v>9</v>
      </c>
      <c r="I300" s="16" t="s">
        <v>85</v>
      </c>
      <c r="J300" s="16" t="s">
        <v>86</v>
      </c>
      <c r="K300" s="16" t="s">
        <v>87</v>
      </c>
      <c r="L300" s="17">
        <v>63.36</v>
      </c>
      <c r="M300" s="18">
        <f t="shared" si="18"/>
        <v>-63.36</v>
      </c>
      <c r="N300" s="16" t="s">
        <v>78</v>
      </c>
      <c r="O300" s="15" t="str">
        <f t="shared" si="19"/>
        <v>OK</v>
      </c>
    </row>
    <row r="301" spans="1:15" ht="20.100000000000001" customHeight="1" x14ac:dyDescent="0.25">
      <c r="A301" s="14">
        <v>46016</v>
      </c>
      <c r="B301" s="15" t="str">
        <f t="shared" si="16"/>
        <v>Diciembre</v>
      </c>
      <c r="C301" s="15">
        <f t="shared" si="17"/>
        <v>2025</v>
      </c>
      <c r="D301" s="16" t="s">
        <v>79</v>
      </c>
      <c r="E301" s="16" t="s">
        <v>88</v>
      </c>
      <c r="F301" s="16" t="s">
        <v>89</v>
      </c>
      <c r="G301" s="16" t="s">
        <v>31</v>
      </c>
      <c r="H301" s="16" t="s">
        <v>9</v>
      </c>
      <c r="I301" s="16" t="s">
        <v>85</v>
      </c>
      <c r="J301" s="16" t="s">
        <v>90</v>
      </c>
      <c r="K301" s="16" t="s">
        <v>87</v>
      </c>
      <c r="L301" s="17">
        <v>13.15</v>
      </c>
      <c r="M301" s="18">
        <f t="shared" si="18"/>
        <v>-13.15</v>
      </c>
      <c r="N301" s="16" t="s">
        <v>78</v>
      </c>
      <c r="O301" s="15" t="str">
        <f t="shared" si="19"/>
        <v>OK</v>
      </c>
    </row>
    <row r="302" spans="1:15" ht="20.100000000000001" customHeight="1" x14ac:dyDescent="0.25">
      <c r="A302" s="14">
        <v>46017</v>
      </c>
      <c r="B302" s="15" t="str">
        <f t="shared" si="16"/>
        <v>Diciembre</v>
      </c>
      <c r="C302" s="15">
        <f t="shared" si="17"/>
        <v>2025</v>
      </c>
      <c r="D302" s="16" t="s">
        <v>79</v>
      </c>
      <c r="E302" s="16" t="s">
        <v>83</v>
      </c>
      <c r="F302" s="16" t="s">
        <v>102</v>
      </c>
      <c r="G302" s="16" t="s">
        <v>29</v>
      </c>
      <c r="H302" s="16" t="s">
        <v>9</v>
      </c>
      <c r="I302" s="16" t="s">
        <v>85</v>
      </c>
      <c r="J302" s="16" t="s">
        <v>103</v>
      </c>
      <c r="K302" s="16" t="s">
        <v>87</v>
      </c>
      <c r="L302" s="17">
        <v>40.71</v>
      </c>
      <c r="M302" s="18">
        <f t="shared" si="18"/>
        <v>-40.71</v>
      </c>
      <c r="N302" s="16" t="s">
        <v>78</v>
      </c>
      <c r="O302" s="15" t="str">
        <f t="shared" si="19"/>
        <v>OK</v>
      </c>
    </row>
    <row r="303" spans="1:15" ht="20.100000000000001" customHeight="1" x14ac:dyDescent="0.25">
      <c r="A303" s="14">
        <v>46018</v>
      </c>
      <c r="B303" s="15" t="str">
        <f t="shared" si="16"/>
        <v>Diciembre</v>
      </c>
      <c r="C303" s="15">
        <f t="shared" si="17"/>
        <v>2025</v>
      </c>
      <c r="D303" s="16" t="s">
        <v>30</v>
      </c>
      <c r="E303" s="16" t="s">
        <v>113</v>
      </c>
      <c r="F303" s="16" t="s">
        <v>114</v>
      </c>
      <c r="G303" s="16" t="s">
        <v>41</v>
      </c>
      <c r="H303" s="16" t="s">
        <v>30</v>
      </c>
      <c r="I303" s="16" t="s">
        <v>75</v>
      </c>
      <c r="J303" s="16" t="s">
        <v>115</v>
      </c>
      <c r="K303" s="16" t="s">
        <v>77</v>
      </c>
      <c r="L303" s="17">
        <v>237.91</v>
      </c>
      <c r="M303" s="18">
        <f t="shared" si="18"/>
        <v>-237.91</v>
      </c>
      <c r="N303" s="16" t="s">
        <v>78</v>
      </c>
      <c r="O303" s="15" t="str">
        <f t="shared" si="19"/>
        <v>OK</v>
      </c>
    </row>
    <row r="304" spans="1:15" ht="20.100000000000001" customHeight="1" x14ac:dyDescent="0.25">
      <c r="A304" s="14">
        <v>46019</v>
      </c>
      <c r="B304" s="15" t="str">
        <f t="shared" si="16"/>
        <v>Diciembre</v>
      </c>
      <c r="C304" s="15">
        <f t="shared" si="17"/>
        <v>2025</v>
      </c>
      <c r="D304" s="16" t="s">
        <v>79</v>
      </c>
      <c r="E304" s="16" t="s">
        <v>83</v>
      </c>
      <c r="F304" s="16" t="s">
        <v>107</v>
      </c>
      <c r="G304" s="16" t="s">
        <v>33</v>
      </c>
      <c r="H304" s="16" t="s">
        <v>10</v>
      </c>
      <c r="I304" s="16" t="s">
        <v>85</v>
      </c>
      <c r="J304" s="16" t="s">
        <v>108</v>
      </c>
      <c r="K304" s="16" t="s">
        <v>104</v>
      </c>
      <c r="L304" s="17">
        <v>30.58</v>
      </c>
      <c r="M304" s="18">
        <f t="shared" si="18"/>
        <v>-30.58</v>
      </c>
      <c r="N304" s="16" t="s">
        <v>78</v>
      </c>
      <c r="O304" s="15" t="str">
        <f t="shared" si="19"/>
        <v>OK</v>
      </c>
    </row>
    <row r="305" spans="1:15" ht="20.100000000000001" customHeight="1" x14ac:dyDescent="0.25">
      <c r="A305" s="14">
        <v>46019</v>
      </c>
      <c r="B305" s="15" t="str">
        <f t="shared" si="16"/>
        <v>Diciembre</v>
      </c>
      <c r="C305" s="15">
        <f t="shared" si="17"/>
        <v>2025</v>
      </c>
      <c r="D305" s="16" t="s">
        <v>30</v>
      </c>
      <c r="E305" s="16" t="s">
        <v>113</v>
      </c>
      <c r="F305" s="16" t="s">
        <v>116</v>
      </c>
      <c r="G305" s="16" t="s">
        <v>41</v>
      </c>
      <c r="H305" s="16" t="s">
        <v>30</v>
      </c>
      <c r="I305" s="16" t="s">
        <v>85</v>
      </c>
      <c r="J305" s="16" t="s">
        <v>117</v>
      </c>
      <c r="K305" s="16" t="s">
        <v>77</v>
      </c>
      <c r="L305" s="17">
        <v>70.319999999999993</v>
      </c>
      <c r="M305" s="18">
        <f t="shared" si="18"/>
        <v>-70.319999999999993</v>
      </c>
      <c r="N305" s="16" t="s">
        <v>78</v>
      </c>
      <c r="O305" s="15" t="str">
        <f t="shared" si="19"/>
        <v>OK</v>
      </c>
    </row>
    <row r="306" spans="1:15" ht="20.100000000000001" customHeight="1" x14ac:dyDescent="0.25">
      <c r="A306" s="14"/>
      <c r="B306" s="15" t="str">
        <f t="shared" si="16"/>
        <v/>
      </c>
      <c r="C306" s="15" t="str">
        <f t="shared" si="17"/>
        <v/>
      </c>
      <c r="D306" s="16"/>
      <c r="E306" s="16"/>
      <c r="F306" s="16"/>
      <c r="G306" s="16"/>
      <c r="H306" s="16"/>
      <c r="I306" s="16"/>
      <c r="J306" s="16"/>
      <c r="K306" s="16"/>
      <c r="L306" s="17"/>
      <c r="M306" s="18" t="str">
        <f t="shared" si="18"/>
        <v/>
      </c>
      <c r="N306" s="16"/>
      <c r="O306" s="15" t="str">
        <f t="shared" si="19"/>
        <v>Revisar</v>
      </c>
    </row>
    <row r="307" spans="1:15" ht="20.100000000000001" customHeight="1" x14ac:dyDescent="0.25">
      <c r="A307" s="14"/>
      <c r="B307" s="15" t="str">
        <f t="shared" si="16"/>
        <v/>
      </c>
      <c r="C307" s="15" t="str">
        <f t="shared" si="17"/>
        <v/>
      </c>
      <c r="D307" s="16"/>
      <c r="E307" s="16"/>
      <c r="F307" s="16"/>
      <c r="G307" s="16"/>
      <c r="H307" s="16"/>
      <c r="I307" s="16"/>
      <c r="J307" s="16"/>
      <c r="K307" s="16"/>
      <c r="L307" s="17"/>
      <c r="M307" s="18" t="str">
        <f t="shared" si="18"/>
        <v/>
      </c>
      <c r="N307" s="16"/>
      <c r="O307" s="15" t="str">
        <f t="shared" si="19"/>
        <v>Revisar</v>
      </c>
    </row>
    <row r="308" spans="1:15" ht="20.100000000000001" customHeight="1" x14ac:dyDescent="0.25">
      <c r="A308" s="14"/>
      <c r="B308" s="15" t="str">
        <f t="shared" si="16"/>
        <v/>
      </c>
      <c r="C308" s="15" t="str">
        <f t="shared" si="17"/>
        <v/>
      </c>
      <c r="D308" s="16"/>
      <c r="E308" s="16"/>
      <c r="F308" s="16"/>
      <c r="G308" s="16"/>
      <c r="H308" s="16"/>
      <c r="I308" s="16"/>
      <c r="J308" s="16"/>
      <c r="K308" s="16"/>
      <c r="L308" s="17"/>
      <c r="M308" s="18" t="str">
        <f t="shared" si="18"/>
        <v/>
      </c>
      <c r="N308" s="16"/>
      <c r="O308" s="15" t="str">
        <f t="shared" si="19"/>
        <v>Revisar</v>
      </c>
    </row>
    <row r="309" spans="1:15" ht="20.100000000000001" customHeight="1" x14ac:dyDescent="0.25">
      <c r="A309" s="14"/>
      <c r="B309" s="15" t="str">
        <f t="shared" si="16"/>
        <v/>
      </c>
      <c r="C309" s="15" t="str">
        <f t="shared" si="17"/>
        <v/>
      </c>
      <c r="D309" s="16"/>
      <c r="E309" s="16"/>
      <c r="F309" s="16"/>
      <c r="G309" s="16"/>
      <c r="H309" s="16"/>
      <c r="I309" s="16"/>
      <c r="J309" s="16"/>
      <c r="K309" s="16"/>
      <c r="L309" s="17"/>
      <c r="M309" s="18" t="str">
        <f t="shared" si="18"/>
        <v/>
      </c>
      <c r="N309" s="16"/>
      <c r="O309" s="15" t="str">
        <f t="shared" si="19"/>
        <v>Revisar</v>
      </c>
    </row>
    <row r="310" spans="1:15" ht="20.100000000000001" customHeight="1" x14ac:dyDescent="0.25">
      <c r="A310" s="14"/>
      <c r="B310" s="15" t="str">
        <f t="shared" si="16"/>
        <v/>
      </c>
      <c r="C310" s="15" t="str">
        <f t="shared" si="17"/>
        <v/>
      </c>
      <c r="D310" s="16"/>
      <c r="E310" s="16"/>
      <c r="F310" s="16"/>
      <c r="G310" s="16"/>
      <c r="H310" s="16"/>
      <c r="I310" s="16"/>
      <c r="J310" s="16"/>
      <c r="K310" s="16"/>
      <c r="L310" s="17"/>
      <c r="M310" s="18" t="str">
        <f t="shared" si="18"/>
        <v/>
      </c>
      <c r="N310" s="16"/>
      <c r="O310" s="15" t="str">
        <f t="shared" si="19"/>
        <v>Revisar</v>
      </c>
    </row>
    <row r="311" spans="1:15" ht="20.100000000000001" customHeight="1" x14ac:dyDescent="0.25">
      <c r="A311" s="14"/>
      <c r="B311" s="15" t="str">
        <f t="shared" si="16"/>
        <v/>
      </c>
      <c r="C311" s="15" t="str">
        <f t="shared" si="17"/>
        <v/>
      </c>
      <c r="D311" s="16"/>
      <c r="E311" s="16"/>
      <c r="F311" s="16"/>
      <c r="G311" s="16"/>
      <c r="H311" s="16"/>
      <c r="I311" s="16"/>
      <c r="J311" s="16"/>
      <c r="K311" s="16"/>
      <c r="L311" s="17"/>
      <c r="M311" s="18" t="str">
        <f t="shared" si="18"/>
        <v/>
      </c>
      <c r="N311" s="16"/>
      <c r="O311" s="15" t="str">
        <f t="shared" si="19"/>
        <v>Revisar</v>
      </c>
    </row>
    <row r="312" spans="1:15" ht="20.100000000000001" customHeight="1" x14ac:dyDescent="0.25">
      <c r="A312" s="14"/>
      <c r="B312" s="15" t="str">
        <f t="shared" si="16"/>
        <v/>
      </c>
      <c r="C312" s="15" t="str">
        <f t="shared" si="17"/>
        <v/>
      </c>
      <c r="D312" s="16"/>
      <c r="E312" s="16"/>
      <c r="F312" s="16"/>
      <c r="G312" s="16"/>
      <c r="H312" s="16"/>
      <c r="I312" s="16"/>
      <c r="J312" s="16"/>
      <c r="K312" s="16"/>
      <c r="L312" s="17"/>
      <c r="M312" s="18" t="str">
        <f t="shared" si="18"/>
        <v/>
      </c>
      <c r="N312" s="16"/>
      <c r="O312" s="15" t="str">
        <f t="shared" si="19"/>
        <v>Revisar</v>
      </c>
    </row>
    <row r="313" spans="1:15" ht="20.100000000000001" customHeight="1" x14ac:dyDescent="0.25">
      <c r="A313" s="14"/>
      <c r="B313" s="15" t="str">
        <f t="shared" si="16"/>
        <v/>
      </c>
      <c r="C313" s="15" t="str">
        <f t="shared" si="17"/>
        <v/>
      </c>
      <c r="D313" s="16"/>
      <c r="E313" s="16"/>
      <c r="F313" s="16"/>
      <c r="G313" s="16"/>
      <c r="H313" s="16"/>
      <c r="I313" s="16"/>
      <c r="J313" s="16"/>
      <c r="K313" s="16"/>
      <c r="L313" s="17"/>
      <c r="M313" s="18" t="str">
        <f t="shared" si="18"/>
        <v/>
      </c>
      <c r="N313" s="16"/>
      <c r="O313" s="15" t="str">
        <f t="shared" si="19"/>
        <v>Revisar</v>
      </c>
    </row>
    <row r="314" spans="1:15" ht="20.100000000000001" customHeight="1" x14ac:dyDescent="0.25">
      <c r="A314" s="14"/>
      <c r="B314" s="15" t="str">
        <f t="shared" si="16"/>
        <v/>
      </c>
      <c r="C314" s="15" t="str">
        <f t="shared" si="17"/>
        <v/>
      </c>
      <c r="D314" s="16"/>
      <c r="E314" s="16"/>
      <c r="F314" s="16"/>
      <c r="G314" s="16"/>
      <c r="H314" s="16"/>
      <c r="I314" s="16"/>
      <c r="J314" s="16"/>
      <c r="K314" s="16"/>
      <c r="L314" s="17"/>
      <c r="M314" s="18" t="str">
        <f t="shared" si="18"/>
        <v/>
      </c>
      <c r="N314" s="16"/>
      <c r="O314" s="15" t="str">
        <f t="shared" si="19"/>
        <v>Revisar</v>
      </c>
    </row>
    <row r="315" spans="1:15" ht="20.100000000000001" customHeight="1" x14ac:dyDescent="0.25">
      <c r="A315" s="14"/>
      <c r="B315" s="15" t="str">
        <f t="shared" si="16"/>
        <v/>
      </c>
      <c r="C315" s="15" t="str">
        <f t="shared" si="17"/>
        <v/>
      </c>
      <c r="D315" s="16"/>
      <c r="E315" s="16"/>
      <c r="F315" s="16"/>
      <c r="G315" s="16"/>
      <c r="H315" s="16"/>
      <c r="I315" s="16"/>
      <c r="J315" s="16"/>
      <c r="K315" s="16"/>
      <c r="L315" s="17"/>
      <c r="M315" s="18" t="str">
        <f t="shared" si="18"/>
        <v/>
      </c>
      <c r="N315" s="16"/>
      <c r="O315" s="15" t="str">
        <f t="shared" si="19"/>
        <v>Revisar</v>
      </c>
    </row>
    <row r="316" spans="1:15" ht="20.100000000000001" customHeight="1" x14ac:dyDescent="0.25">
      <c r="A316" s="14"/>
      <c r="B316" s="15" t="str">
        <f t="shared" si="16"/>
        <v/>
      </c>
      <c r="C316" s="15" t="str">
        <f t="shared" si="17"/>
        <v/>
      </c>
      <c r="D316" s="16"/>
      <c r="E316" s="16"/>
      <c r="F316" s="16"/>
      <c r="G316" s="16"/>
      <c r="H316" s="16"/>
      <c r="I316" s="16"/>
      <c r="J316" s="16"/>
      <c r="K316" s="16"/>
      <c r="L316" s="17"/>
      <c r="M316" s="18" t="str">
        <f t="shared" si="18"/>
        <v/>
      </c>
      <c r="N316" s="16"/>
      <c r="O316" s="15" t="str">
        <f t="shared" si="19"/>
        <v>Revisar</v>
      </c>
    </row>
    <row r="317" spans="1:15" ht="20.100000000000001" customHeight="1" x14ac:dyDescent="0.25">
      <c r="A317" s="14"/>
      <c r="B317" s="15" t="str">
        <f t="shared" si="16"/>
        <v/>
      </c>
      <c r="C317" s="15" t="str">
        <f t="shared" si="17"/>
        <v/>
      </c>
      <c r="D317" s="16"/>
      <c r="E317" s="16"/>
      <c r="F317" s="16"/>
      <c r="G317" s="16"/>
      <c r="H317" s="16"/>
      <c r="I317" s="16"/>
      <c r="J317" s="16"/>
      <c r="K317" s="16"/>
      <c r="L317" s="17"/>
      <c r="M317" s="18" t="str">
        <f t="shared" si="18"/>
        <v/>
      </c>
      <c r="N317" s="16"/>
      <c r="O317" s="15" t="str">
        <f t="shared" si="19"/>
        <v>Revisar</v>
      </c>
    </row>
    <row r="318" spans="1:15" ht="20.100000000000001" customHeight="1" x14ac:dyDescent="0.25">
      <c r="A318" s="14"/>
      <c r="B318" s="15" t="str">
        <f t="shared" si="16"/>
        <v/>
      </c>
      <c r="C318" s="15" t="str">
        <f t="shared" si="17"/>
        <v/>
      </c>
      <c r="D318" s="16"/>
      <c r="E318" s="16"/>
      <c r="F318" s="16"/>
      <c r="G318" s="16"/>
      <c r="H318" s="16"/>
      <c r="I318" s="16"/>
      <c r="J318" s="16"/>
      <c r="K318" s="16"/>
      <c r="L318" s="17"/>
      <c r="M318" s="18" t="str">
        <f t="shared" si="18"/>
        <v/>
      </c>
      <c r="N318" s="16"/>
      <c r="O318" s="15" t="str">
        <f t="shared" si="19"/>
        <v>Revisar</v>
      </c>
    </row>
    <row r="319" spans="1:15" ht="20.100000000000001" customHeight="1" x14ac:dyDescent="0.25">
      <c r="A319" s="14"/>
      <c r="B319" s="15" t="str">
        <f t="shared" si="16"/>
        <v/>
      </c>
      <c r="C319" s="15" t="str">
        <f t="shared" si="17"/>
        <v/>
      </c>
      <c r="D319" s="16"/>
      <c r="E319" s="16"/>
      <c r="F319" s="16"/>
      <c r="G319" s="16"/>
      <c r="H319" s="16"/>
      <c r="I319" s="16"/>
      <c r="J319" s="16"/>
      <c r="K319" s="16"/>
      <c r="L319" s="17"/>
      <c r="M319" s="18" t="str">
        <f t="shared" si="18"/>
        <v/>
      </c>
      <c r="N319" s="16"/>
      <c r="O319" s="15" t="str">
        <f t="shared" si="19"/>
        <v>Revisar</v>
      </c>
    </row>
    <row r="320" spans="1:15" ht="20.100000000000001" customHeight="1" x14ac:dyDescent="0.25">
      <c r="A320" s="14"/>
      <c r="B320" s="15" t="str">
        <f t="shared" si="16"/>
        <v/>
      </c>
      <c r="C320" s="15" t="str">
        <f t="shared" si="17"/>
        <v/>
      </c>
      <c r="D320" s="16"/>
      <c r="E320" s="16"/>
      <c r="F320" s="16"/>
      <c r="G320" s="16"/>
      <c r="H320" s="16"/>
      <c r="I320" s="16"/>
      <c r="J320" s="16"/>
      <c r="K320" s="16"/>
      <c r="L320" s="17"/>
      <c r="M320" s="18" t="str">
        <f t="shared" si="18"/>
        <v/>
      </c>
      <c r="N320" s="16"/>
      <c r="O320" s="15" t="str">
        <f t="shared" si="19"/>
        <v>Revisar</v>
      </c>
    </row>
    <row r="321" spans="1:15" ht="20.100000000000001" customHeight="1" x14ac:dyDescent="0.25">
      <c r="A321" s="14"/>
      <c r="B321" s="15" t="str">
        <f t="shared" si="16"/>
        <v/>
      </c>
      <c r="C321" s="15" t="str">
        <f t="shared" si="17"/>
        <v/>
      </c>
      <c r="D321" s="16"/>
      <c r="E321" s="16"/>
      <c r="F321" s="16"/>
      <c r="G321" s="16"/>
      <c r="H321" s="16"/>
      <c r="I321" s="16"/>
      <c r="J321" s="16"/>
      <c r="K321" s="16"/>
      <c r="L321" s="17"/>
      <c r="M321" s="18" t="str">
        <f t="shared" si="18"/>
        <v/>
      </c>
      <c r="N321" s="16"/>
      <c r="O321" s="15" t="str">
        <f t="shared" si="19"/>
        <v>Revisar</v>
      </c>
    </row>
    <row r="322" spans="1:15" ht="20.100000000000001" customHeight="1" x14ac:dyDescent="0.25">
      <c r="A322" s="14"/>
      <c r="B322" s="15" t="str">
        <f t="shared" si="16"/>
        <v/>
      </c>
      <c r="C322" s="15" t="str">
        <f t="shared" si="17"/>
        <v/>
      </c>
      <c r="D322" s="16"/>
      <c r="E322" s="16"/>
      <c r="F322" s="16"/>
      <c r="G322" s="16"/>
      <c r="H322" s="16"/>
      <c r="I322" s="16"/>
      <c r="J322" s="16"/>
      <c r="K322" s="16"/>
      <c r="L322" s="17"/>
      <c r="M322" s="18" t="str">
        <f t="shared" si="18"/>
        <v/>
      </c>
      <c r="N322" s="16"/>
      <c r="O322" s="15" t="str">
        <f t="shared" si="19"/>
        <v>Revisar</v>
      </c>
    </row>
    <row r="323" spans="1:15" ht="20.100000000000001" customHeight="1" x14ac:dyDescent="0.25">
      <c r="A323" s="14"/>
      <c r="B323" s="15" t="str">
        <f t="shared" si="16"/>
        <v/>
      </c>
      <c r="C323" s="15" t="str">
        <f t="shared" si="17"/>
        <v/>
      </c>
      <c r="D323" s="16"/>
      <c r="E323" s="16"/>
      <c r="F323" s="16"/>
      <c r="G323" s="16"/>
      <c r="H323" s="16"/>
      <c r="I323" s="16"/>
      <c r="J323" s="16"/>
      <c r="K323" s="16"/>
      <c r="L323" s="17"/>
      <c r="M323" s="18" t="str">
        <f t="shared" si="18"/>
        <v/>
      </c>
      <c r="N323" s="16"/>
      <c r="O323" s="15" t="str">
        <f t="shared" si="19"/>
        <v>Revisar</v>
      </c>
    </row>
    <row r="324" spans="1:15" ht="20.100000000000001" customHeight="1" x14ac:dyDescent="0.25">
      <c r="A324" s="14"/>
      <c r="B324" s="15" t="str">
        <f t="shared" si="16"/>
        <v/>
      </c>
      <c r="C324" s="15" t="str">
        <f t="shared" si="17"/>
        <v/>
      </c>
      <c r="D324" s="16"/>
      <c r="E324" s="16"/>
      <c r="F324" s="16"/>
      <c r="G324" s="16"/>
      <c r="H324" s="16"/>
      <c r="I324" s="16"/>
      <c r="J324" s="16"/>
      <c r="K324" s="16"/>
      <c r="L324" s="17"/>
      <c r="M324" s="18" t="str">
        <f t="shared" si="18"/>
        <v/>
      </c>
      <c r="N324" s="16"/>
      <c r="O324" s="15" t="str">
        <f t="shared" si="19"/>
        <v>Revisar</v>
      </c>
    </row>
    <row r="325" spans="1:15" ht="20.100000000000001" customHeight="1" x14ac:dyDescent="0.25">
      <c r="A325" s="14"/>
      <c r="B325" s="15" t="str">
        <f t="shared" si="16"/>
        <v/>
      </c>
      <c r="C325" s="15" t="str">
        <f t="shared" si="17"/>
        <v/>
      </c>
      <c r="D325" s="16"/>
      <c r="E325" s="16"/>
      <c r="F325" s="16"/>
      <c r="G325" s="16"/>
      <c r="H325" s="16"/>
      <c r="I325" s="16"/>
      <c r="J325" s="16"/>
      <c r="K325" s="16"/>
      <c r="L325" s="17"/>
      <c r="M325" s="18" t="str">
        <f t="shared" si="18"/>
        <v/>
      </c>
      <c r="N325" s="16"/>
      <c r="O325" s="15" t="str">
        <f t="shared" si="19"/>
        <v>Revisar</v>
      </c>
    </row>
    <row r="326" spans="1:15" ht="20.100000000000001" customHeight="1" x14ac:dyDescent="0.25">
      <c r="A326" s="14"/>
      <c r="B326" s="15" t="str">
        <f t="shared" si="16"/>
        <v/>
      </c>
      <c r="C326" s="15" t="str">
        <f t="shared" si="17"/>
        <v/>
      </c>
      <c r="D326" s="16"/>
      <c r="E326" s="16"/>
      <c r="F326" s="16"/>
      <c r="G326" s="16"/>
      <c r="H326" s="16"/>
      <c r="I326" s="16"/>
      <c r="J326" s="16"/>
      <c r="K326" s="16"/>
      <c r="L326" s="17"/>
      <c r="M326" s="18" t="str">
        <f t="shared" si="18"/>
        <v/>
      </c>
      <c r="N326" s="16"/>
      <c r="O326" s="15" t="str">
        <f t="shared" si="19"/>
        <v>Revisar</v>
      </c>
    </row>
    <row r="327" spans="1:15" ht="20.100000000000001" customHeight="1" x14ac:dyDescent="0.25">
      <c r="A327" s="14"/>
      <c r="B327" s="15" t="str">
        <f t="shared" si="16"/>
        <v/>
      </c>
      <c r="C327" s="15" t="str">
        <f t="shared" si="17"/>
        <v/>
      </c>
      <c r="D327" s="16"/>
      <c r="E327" s="16"/>
      <c r="F327" s="16"/>
      <c r="G327" s="16"/>
      <c r="H327" s="16"/>
      <c r="I327" s="16"/>
      <c r="J327" s="16"/>
      <c r="K327" s="16"/>
      <c r="L327" s="17"/>
      <c r="M327" s="18" t="str">
        <f t="shared" si="18"/>
        <v/>
      </c>
      <c r="N327" s="16"/>
      <c r="O327" s="15" t="str">
        <f t="shared" si="19"/>
        <v>Revisar</v>
      </c>
    </row>
    <row r="328" spans="1:15" ht="20.100000000000001" customHeight="1" x14ac:dyDescent="0.25">
      <c r="A328" s="14"/>
      <c r="B328" s="15" t="str">
        <f t="shared" si="16"/>
        <v/>
      </c>
      <c r="C328" s="15" t="str">
        <f t="shared" si="17"/>
        <v/>
      </c>
      <c r="D328" s="16"/>
      <c r="E328" s="16"/>
      <c r="F328" s="16"/>
      <c r="G328" s="16"/>
      <c r="H328" s="16"/>
      <c r="I328" s="16"/>
      <c r="J328" s="16"/>
      <c r="K328" s="16"/>
      <c r="L328" s="17"/>
      <c r="M328" s="18" t="str">
        <f t="shared" si="18"/>
        <v/>
      </c>
      <c r="N328" s="16"/>
      <c r="O328" s="15" t="str">
        <f t="shared" si="19"/>
        <v>Revisar</v>
      </c>
    </row>
    <row r="329" spans="1:15" ht="20.100000000000001" customHeight="1" x14ac:dyDescent="0.25">
      <c r="A329" s="14"/>
      <c r="B329" s="15" t="str">
        <f t="shared" ref="B329:B392" si="20">IF(A329="","",CHOOSE(MONTH(A329),"Enero","Febrero","Marzo","Abril","Mayo","Junio","Julio","Agosto","Septiembre","Octubre","Noviembre","Diciembre"))</f>
        <v/>
      </c>
      <c r="C329" s="15" t="str">
        <f t="shared" ref="C329:C392" si="21">IF(A329="","",YEAR(A329))</f>
        <v/>
      </c>
      <c r="D329" s="16"/>
      <c r="E329" s="16"/>
      <c r="F329" s="16"/>
      <c r="G329" s="16"/>
      <c r="H329" s="16"/>
      <c r="I329" s="16"/>
      <c r="J329" s="16"/>
      <c r="K329" s="16"/>
      <c r="L329" s="17"/>
      <c r="M329" s="18" t="str">
        <f t="shared" ref="M329:M392" si="22">IF(A329="","",IF(D329="Ingreso",L329,IF(D329="Ahorro",-L329,IF(D329="Transferencia",0,-L329))))</f>
        <v/>
      </c>
      <c r="N329" s="16"/>
      <c r="O329" s="15" t="str">
        <f t="shared" ref="O329:O392" si="23">IF(COUNTA(A329:N329)=0,"",IF(OR(A329="",D329="",F329="",G329="",H329="",I329="",L329=""),"Revisar","OK"))</f>
        <v>Revisar</v>
      </c>
    </row>
    <row r="330" spans="1:15" ht="20.100000000000001" customHeight="1" x14ac:dyDescent="0.25">
      <c r="A330" s="14"/>
      <c r="B330" s="15" t="str">
        <f t="shared" si="20"/>
        <v/>
      </c>
      <c r="C330" s="15" t="str">
        <f t="shared" si="21"/>
        <v/>
      </c>
      <c r="D330" s="16"/>
      <c r="E330" s="16"/>
      <c r="F330" s="16"/>
      <c r="G330" s="16"/>
      <c r="H330" s="16"/>
      <c r="I330" s="16"/>
      <c r="J330" s="16"/>
      <c r="K330" s="16"/>
      <c r="L330" s="17"/>
      <c r="M330" s="18" t="str">
        <f t="shared" si="22"/>
        <v/>
      </c>
      <c r="N330" s="16"/>
      <c r="O330" s="15" t="str">
        <f t="shared" si="23"/>
        <v>Revisar</v>
      </c>
    </row>
    <row r="331" spans="1:15" ht="20.100000000000001" customHeight="1" x14ac:dyDescent="0.25">
      <c r="A331" s="14"/>
      <c r="B331" s="15" t="str">
        <f t="shared" si="20"/>
        <v/>
      </c>
      <c r="C331" s="15" t="str">
        <f t="shared" si="21"/>
        <v/>
      </c>
      <c r="D331" s="16"/>
      <c r="E331" s="16"/>
      <c r="F331" s="16"/>
      <c r="G331" s="16"/>
      <c r="H331" s="16"/>
      <c r="I331" s="16"/>
      <c r="J331" s="16"/>
      <c r="K331" s="16"/>
      <c r="L331" s="17"/>
      <c r="M331" s="18" t="str">
        <f t="shared" si="22"/>
        <v/>
      </c>
      <c r="N331" s="16"/>
      <c r="O331" s="15" t="str">
        <f t="shared" si="23"/>
        <v>Revisar</v>
      </c>
    </row>
    <row r="332" spans="1:15" ht="20.100000000000001" customHeight="1" x14ac:dyDescent="0.25">
      <c r="A332" s="14"/>
      <c r="B332" s="15" t="str">
        <f t="shared" si="20"/>
        <v/>
      </c>
      <c r="C332" s="15" t="str">
        <f t="shared" si="21"/>
        <v/>
      </c>
      <c r="D332" s="16"/>
      <c r="E332" s="16"/>
      <c r="F332" s="16"/>
      <c r="G332" s="16"/>
      <c r="H332" s="16"/>
      <c r="I332" s="16"/>
      <c r="J332" s="16"/>
      <c r="K332" s="16"/>
      <c r="L332" s="17"/>
      <c r="M332" s="18" t="str">
        <f t="shared" si="22"/>
        <v/>
      </c>
      <c r="N332" s="16"/>
      <c r="O332" s="15" t="str">
        <f t="shared" si="23"/>
        <v>Revisar</v>
      </c>
    </row>
    <row r="333" spans="1:15" ht="20.100000000000001" customHeight="1" x14ac:dyDescent="0.25">
      <c r="A333" s="14"/>
      <c r="B333" s="15" t="str">
        <f t="shared" si="20"/>
        <v/>
      </c>
      <c r="C333" s="15" t="str">
        <f t="shared" si="21"/>
        <v/>
      </c>
      <c r="D333" s="16"/>
      <c r="E333" s="16"/>
      <c r="F333" s="16"/>
      <c r="G333" s="16"/>
      <c r="H333" s="16"/>
      <c r="I333" s="16"/>
      <c r="J333" s="16"/>
      <c r="K333" s="16"/>
      <c r="L333" s="17"/>
      <c r="M333" s="18" t="str">
        <f t="shared" si="22"/>
        <v/>
      </c>
      <c r="N333" s="16"/>
      <c r="O333" s="15" t="str">
        <f t="shared" si="23"/>
        <v>Revisar</v>
      </c>
    </row>
    <row r="334" spans="1:15" ht="20.100000000000001" customHeight="1" x14ac:dyDescent="0.25">
      <c r="A334" s="14"/>
      <c r="B334" s="15" t="str">
        <f t="shared" si="20"/>
        <v/>
      </c>
      <c r="C334" s="15" t="str">
        <f t="shared" si="21"/>
        <v/>
      </c>
      <c r="D334" s="16"/>
      <c r="E334" s="16"/>
      <c r="F334" s="16"/>
      <c r="G334" s="16"/>
      <c r="H334" s="16"/>
      <c r="I334" s="16"/>
      <c r="J334" s="16"/>
      <c r="K334" s="16"/>
      <c r="L334" s="17"/>
      <c r="M334" s="18" t="str">
        <f t="shared" si="22"/>
        <v/>
      </c>
      <c r="N334" s="16"/>
      <c r="O334" s="15" t="str">
        <f t="shared" si="23"/>
        <v>Revisar</v>
      </c>
    </row>
    <row r="335" spans="1:15" ht="20.100000000000001" customHeight="1" x14ac:dyDescent="0.25">
      <c r="A335" s="14"/>
      <c r="B335" s="15" t="str">
        <f t="shared" si="20"/>
        <v/>
      </c>
      <c r="C335" s="15" t="str">
        <f t="shared" si="21"/>
        <v/>
      </c>
      <c r="D335" s="16"/>
      <c r="E335" s="16"/>
      <c r="F335" s="16"/>
      <c r="G335" s="16"/>
      <c r="H335" s="16"/>
      <c r="I335" s="16"/>
      <c r="J335" s="16"/>
      <c r="K335" s="16"/>
      <c r="L335" s="17"/>
      <c r="M335" s="18" t="str">
        <f t="shared" si="22"/>
        <v/>
      </c>
      <c r="N335" s="16"/>
      <c r="O335" s="15" t="str">
        <f t="shared" si="23"/>
        <v>Revisar</v>
      </c>
    </row>
    <row r="336" spans="1:15" ht="20.100000000000001" customHeight="1" x14ac:dyDescent="0.25">
      <c r="A336" s="14"/>
      <c r="B336" s="15" t="str">
        <f t="shared" si="20"/>
        <v/>
      </c>
      <c r="C336" s="15" t="str">
        <f t="shared" si="21"/>
        <v/>
      </c>
      <c r="D336" s="16"/>
      <c r="E336" s="16"/>
      <c r="F336" s="16"/>
      <c r="G336" s="16"/>
      <c r="H336" s="16"/>
      <c r="I336" s="16"/>
      <c r="J336" s="16"/>
      <c r="K336" s="16"/>
      <c r="L336" s="17"/>
      <c r="M336" s="18" t="str">
        <f t="shared" si="22"/>
        <v/>
      </c>
      <c r="N336" s="16"/>
      <c r="O336" s="15" t="str">
        <f t="shared" si="23"/>
        <v>Revisar</v>
      </c>
    </row>
    <row r="337" spans="1:15" ht="20.100000000000001" customHeight="1" x14ac:dyDescent="0.25">
      <c r="A337" s="14"/>
      <c r="B337" s="15" t="str">
        <f t="shared" si="20"/>
        <v/>
      </c>
      <c r="C337" s="15" t="str">
        <f t="shared" si="21"/>
        <v/>
      </c>
      <c r="D337" s="16"/>
      <c r="E337" s="16"/>
      <c r="F337" s="16"/>
      <c r="G337" s="16"/>
      <c r="H337" s="16"/>
      <c r="I337" s="16"/>
      <c r="J337" s="16"/>
      <c r="K337" s="16"/>
      <c r="L337" s="17"/>
      <c r="M337" s="18" t="str">
        <f t="shared" si="22"/>
        <v/>
      </c>
      <c r="N337" s="16"/>
      <c r="O337" s="15" t="str">
        <f t="shared" si="23"/>
        <v>Revisar</v>
      </c>
    </row>
    <row r="338" spans="1:15" ht="20.100000000000001" customHeight="1" x14ac:dyDescent="0.25">
      <c r="A338" s="14"/>
      <c r="B338" s="15" t="str">
        <f t="shared" si="20"/>
        <v/>
      </c>
      <c r="C338" s="15" t="str">
        <f t="shared" si="21"/>
        <v/>
      </c>
      <c r="D338" s="16"/>
      <c r="E338" s="16"/>
      <c r="F338" s="16"/>
      <c r="G338" s="16"/>
      <c r="H338" s="16"/>
      <c r="I338" s="16"/>
      <c r="J338" s="16"/>
      <c r="K338" s="16"/>
      <c r="L338" s="17"/>
      <c r="M338" s="18" t="str">
        <f t="shared" si="22"/>
        <v/>
      </c>
      <c r="N338" s="16"/>
      <c r="O338" s="15" t="str">
        <f t="shared" si="23"/>
        <v>Revisar</v>
      </c>
    </row>
    <row r="339" spans="1:15" ht="20.100000000000001" customHeight="1" x14ac:dyDescent="0.25">
      <c r="A339" s="14"/>
      <c r="B339" s="15" t="str">
        <f t="shared" si="20"/>
        <v/>
      </c>
      <c r="C339" s="15" t="str">
        <f t="shared" si="21"/>
        <v/>
      </c>
      <c r="D339" s="16"/>
      <c r="E339" s="16"/>
      <c r="F339" s="16"/>
      <c r="G339" s="16"/>
      <c r="H339" s="16"/>
      <c r="I339" s="16"/>
      <c r="J339" s="16"/>
      <c r="K339" s="16"/>
      <c r="L339" s="17"/>
      <c r="M339" s="18" t="str">
        <f t="shared" si="22"/>
        <v/>
      </c>
      <c r="N339" s="16"/>
      <c r="O339" s="15" t="str">
        <f t="shared" si="23"/>
        <v>Revisar</v>
      </c>
    </row>
    <row r="340" spans="1:15" ht="20.100000000000001" customHeight="1" x14ac:dyDescent="0.25">
      <c r="A340" s="14"/>
      <c r="B340" s="15" t="str">
        <f t="shared" si="20"/>
        <v/>
      </c>
      <c r="C340" s="15" t="str">
        <f t="shared" si="21"/>
        <v/>
      </c>
      <c r="D340" s="16"/>
      <c r="E340" s="16"/>
      <c r="F340" s="16"/>
      <c r="G340" s="16"/>
      <c r="H340" s="16"/>
      <c r="I340" s="16"/>
      <c r="J340" s="16"/>
      <c r="K340" s="16"/>
      <c r="L340" s="17"/>
      <c r="M340" s="18" t="str">
        <f t="shared" si="22"/>
        <v/>
      </c>
      <c r="N340" s="16"/>
      <c r="O340" s="15" t="str">
        <f t="shared" si="23"/>
        <v>Revisar</v>
      </c>
    </row>
    <row r="341" spans="1:15" ht="20.100000000000001" customHeight="1" x14ac:dyDescent="0.25">
      <c r="A341" s="14"/>
      <c r="B341" s="15" t="str">
        <f t="shared" si="20"/>
        <v/>
      </c>
      <c r="C341" s="15" t="str">
        <f t="shared" si="21"/>
        <v/>
      </c>
      <c r="D341" s="16"/>
      <c r="E341" s="16"/>
      <c r="F341" s="16"/>
      <c r="G341" s="16"/>
      <c r="H341" s="16"/>
      <c r="I341" s="16"/>
      <c r="J341" s="16"/>
      <c r="K341" s="16"/>
      <c r="L341" s="17"/>
      <c r="M341" s="18" t="str">
        <f t="shared" si="22"/>
        <v/>
      </c>
      <c r="N341" s="16"/>
      <c r="O341" s="15" t="str">
        <f t="shared" si="23"/>
        <v>Revisar</v>
      </c>
    </row>
    <row r="342" spans="1:15" ht="20.100000000000001" customHeight="1" x14ac:dyDescent="0.25">
      <c r="A342" s="14"/>
      <c r="B342" s="15" t="str">
        <f t="shared" si="20"/>
        <v/>
      </c>
      <c r="C342" s="15" t="str">
        <f t="shared" si="21"/>
        <v/>
      </c>
      <c r="D342" s="16"/>
      <c r="E342" s="16"/>
      <c r="F342" s="16"/>
      <c r="G342" s="16"/>
      <c r="H342" s="16"/>
      <c r="I342" s="16"/>
      <c r="J342" s="16"/>
      <c r="K342" s="16"/>
      <c r="L342" s="17"/>
      <c r="M342" s="18" t="str">
        <f t="shared" si="22"/>
        <v/>
      </c>
      <c r="N342" s="16"/>
      <c r="O342" s="15" t="str">
        <f t="shared" si="23"/>
        <v>Revisar</v>
      </c>
    </row>
    <row r="343" spans="1:15" ht="20.100000000000001" customHeight="1" x14ac:dyDescent="0.25">
      <c r="A343" s="14"/>
      <c r="B343" s="15" t="str">
        <f t="shared" si="20"/>
        <v/>
      </c>
      <c r="C343" s="15" t="str">
        <f t="shared" si="21"/>
        <v/>
      </c>
      <c r="D343" s="16"/>
      <c r="E343" s="16"/>
      <c r="F343" s="16"/>
      <c r="G343" s="16"/>
      <c r="H343" s="16"/>
      <c r="I343" s="16"/>
      <c r="J343" s="16"/>
      <c r="K343" s="16"/>
      <c r="L343" s="17"/>
      <c r="M343" s="18" t="str">
        <f t="shared" si="22"/>
        <v/>
      </c>
      <c r="N343" s="16"/>
      <c r="O343" s="15" t="str">
        <f t="shared" si="23"/>
        <v>Revisar</v>
      </c>
    </row>
    <row r="344" spans="1:15" ht="20.100000000000001" customHeight="1" x14ac:dyDescent="0.25">
      <c r="A344" s="14"/>
      <c r="B344" s="15" t="str">
        <f t="shared" si="20"/>
        <v/>
      </c>
      <c r="C344" s="15" t="str">
        <f t="shared" si="21"/>
        <v/>
      </c>
      <c r="D344" s="16"/>
      <c r="E344" s="16"/>
      <c r="F344" s="16"/>
      <c r="G344" s="16"/>
      <c r="H344" s="16"/>
      <c r="I344" s="16"/>
      <c r="J344" s="16"/>
      <c r="K344" s="16"/>
      <c r="L344" s="17"/>
      <c r="M344" s="18" t="str">
        <f t="shared" si="22"/>
        <v/>
      </c>
      <c r="N344" s="16"/>
      <c r="O344" s="15" t="str">
        <f t="shared" si="23"/>
        <v>Revisar</v>
      </c>
    </row>
    <row r="345" spans="1:15" ht="20.100000000000001" customHeight="1" x14ac:dyDescent="0.25">
      <c r="A345" s="14"/>
      <c r="B345" s="15" t="str">
        <f t="shared" si="20"/>
        <v/>
      </c>
      <c r="C345" s="15" t="str">
        <f t="shared" si="21"/>
        <v/>
      </c>
      <c r="D345" s="16"/>
      <c r="E345" s="16"/>
      <c r="F345" s="16"/>
      <c r="G345" s="16"/>
      <c r="H345" s="16"/>
      <c r="I345" s="16"/>
      <c r="J345" s="16"/>
      <c r="K345" s="16"/>
      <c r="L345" s="17"/>
      <c r="M345" s="18" t="str">
        <f t="shared" si="22"/>
        <v/>
      </c>
      <c r="N345" s="16"/>
      <c r="O345" s="15" t="str">
        <f t="shared" si="23"/>
        <v>Revisar</v>
      </c>
    </row>
    <row r="346" spans="1:15" ht="20.100000000000001" customHeight="1" x14ac:dyDescent="0.25">
      <c r="A346" s="14"/>
      <c r="B346" s="15" t="str">
        <f t="shared" si="20"/>
        <v/>
      </c>
      <c r="C346" s="15" t="str">
        <f t="shared" si="21"/>
        <v/>
      </c>
      <c r="D346" s="16"/>
      <c r="E346" s="16"/>
      <c r="F346" s="16"/>
      <c r="G346" s="16"/>
      <c r="H346" s="16"/>
      <c r="I346" s="16"/>
      <c r="J346" s="16"/>
      <c r="K346" s="16"/>
      <c r="L346" s="17"/>
      <c r="M346" s="18" t="str">
        <f t="shared" si="22"/>
        <v/>
      </c>
      <c r="N346" s="16"/>
      <c r="O346" s="15" t="str">
        <f t="shared" si="23"/>
        <v>Revisar</v>
      </c>
    </row>
    <row r="347" spans="1:15" ht="20.100000000000001" customHeight="1" x14ac:dyDescent="0.25">
      <c r="A347" s="14"/>
      <c r="B347" s="15" t="str">
        <f t="shared" si="20"/>
        <v/>
      </c>
      <c r="C347" s="15" t="str">
        <f t="shared" si="21"/>
        <v/>
      </c>
      <c r="D347" s="16"/>
      <c r="E347" s="16"/>
      <c r="F347" s="16"/>
      <c r="G347" s="16"/>
      <c r="H347" s="16"/>
      <c r="I347" s="16"/>
      <c r="J347" s="16"/>
      <c r="K347" s="16"/>
      <c r="L347" s="17"/>
      <c r="M347" s="18" t="str">
        <f t="shared" si="22"/>
        <v/>
      </c>
      <c r="N347" s="16"/>
      <c r="O347" s="15" t="str">
        <f t="shared" si="23"/>
        <v>Revisar</v>
      </c>
    </row>
    <row r="348" spans="1:15" ht="20.100000000000001" customHeight="1" x14ac:dyDescent="0.25">
      <c r="A348" s="14"/>
      <c r="B348" s="15" t="str">
        <f t="shared" si="20"/>
        <v/>
      </c>
      <c r="C348" s="15" t="str">
        <f t="shared" si="21"/>
        <v/>
      </c>
      <c r="D348" s="16"/>
      <c r="E348" s="16"/>
      <c r="F348" s="16"/>
      <c r="G348" s="16"/>
      <c r="H348" s="16"/>
      <c r="I348" s="16"/>
      <c r="J348" s="16"/>
      <c r="K348" s="16"/>
      <c r="L348" s="17"/>
      <c r="M348" s="18" t="str">
        <f t="shared" si="22"/>
        <v/>
      </c>
      <c r="N348" s="16"/>
      <c r="O348" s="15" t="str">
        <f t="shared" si="23"/>
        <v>Revisar</v>
      </c>
    </row>
    <row r="349" spans="1:15" ht="20.100000000000001" customHeight="1" x14ac:dyDescent="0.25">
      <c r="A349" s="14"/>
      <c r="B349" s="15" t="str">
        <f t="shared" si="20"/>
        <v/>
      </c>
      <c r="C349" s="15" t="str">
        <f t="shared" si="21"/>
        <v/>
      </c>
      <c r="D349" s="16"/>
      <c r="E349" s="16"/>
      <c r="F349" s="16"/>
      <c r="G349" s="16"/>
      <c r="H349" s="16"/>
      <c r="I349" s="16"/>
      <c r="J349" s="16"/>
      <c r="K349" s="16"/>
      <c r="L349" s="17"/>
      <c r="M349" s="18" t="str">
        <f t="shared" si="22"/>
        <v/>
      </c>
      <c r="N349" s="16"/>
      <c r="O349" s="15" t="str">
        <f t="shared" si="23"/>
        <v>Revisar</v>
      </c>
    </row>
    <row r="350" spans="1:15" ht="20.100000000000001" customHeight="1" x14ac:dyDescent="0.25">
      <c r="A350" s="14"/>
      <c r="B350" s="15" t="str">
        <f t="shared" si="20"/>
        <v/>
      </c>
      <c r="C350" s="15" t="str">
        <f t="shared" si="21"/>
        <v/>
      </c>
      <c r="D350" s="16"/>
      <c r="E350" s="16"/>
      <c r="F350" s="16"/>
      <c r="G350" s="16"/>
      <c r="H350" s="16"/>
      <c r="I350" s="16"/>
      <c r="J350" s="16"/>
      <c r="K350" s="16"/>
      <c r="L350" s="17"/>
      <c r="M350" s="18" t="str">
        <f t="shared" si="22"/>
        <v/>
      </c>
      <c r="N350" s="16"/>
      <c r="O350" s="15" t="str">
        <f t="shared" si="23"/>
        <v>Revisar</v>
      </c>
    </row>
    <row r="351" spans="1:15" ht="20.100000000000001" customHeight="1" x14ac:dyDescent="0.25">
      <c r="A351" s="14"/>
      <c r="B351" s="15" t="str">
        <f t="shared" si="20"/>
        <v/>
      </c>
      <c r="C351" s="15" t="str">
        <f t="shared" si="21"/>
        <v/>
      </c>
      <c r="D351" s="16"/>
      <c r="E351" s="16"/>
      <c r="F351" s="16"/>
      <c r="G351" s="16"/>
      <c r="H351" s="16"/>
      <c r="I351" s="16"/>
      <c r="J351" s="16"/>
      <c r="K351" s="16"/>
      <c r="L351" s="17"/>
      <c r="M351" s="18" t="str">
        <f t="shared" si="22"/>
        <v/>
      </c>
      <c r="N351" s="16"/>
      <c r="O351" s="15" t="str">
        <f t="shared" si="23"/>
        <v>Revisar</v>
      </c>
    </row>
    <row r="352" spans="1:15" ht="20.100000000000001" customHeight="1" x14ac:dyDescent="0.25">
      <c r="A352" s="14"/>
      <c r="B352" s="15" t="str">
        <f t="shared" si="20"/>
        <v/>
      </c>
      <c r="C352" s="15" t="str">
        <f t="shared" si="21"/>
        <v/>
      </c>
      <c r="D352" s="16"/>
      <c r="E352" s="16"/>
      <c r="F352" s="16"/>
      <c r="G352" s="16"/>
      <c r="H352" s="16"/>
      <c r="I352" s="16"/>
      <c r="J352" s="16"/>
      <c r="K352" s="16"/>
      <c r="L352" s="17"/>
      <c r="M352" s="18" t="str">
        <f t="shared" si="22"/>
        <v/>
      </c>
      <c r="N352" s="16"/>
      <c r="O352" s="15" t="str">
        <f t="shared" si="23"/>
        <v>Revisar</v>
      </c>
    </row>
    <row r="353" spans="1:15" ht="20.100000000000001" customHeight="1" x14ac:dyDescent="0.25">
      <c r="A353" s="14"/>
      <c r="B353" s="15" t="str">
        <f t="shared" si="20"/>
        <v/>
      </c>
      <c r="C353" s="15" t="str">
        <f t="shared" si="21"/>
        <v/>
      </c>
      <c r="D353" s="16"/>
      <c r="E353" s="16"/>
      <c r="F353" s="16"/>
      <c r="G353" s="16"/>
      <c r="H353" s="16"/>
      <c r="I353" s="16"/>
      <c r="J353" s="16"/>
      <c r="K353" s="16"/>
      <c r="L353" s="17"/>
      <c r="M353" s="18" t="str">
        <f t="shared" si="22"/>
        <v/>
      </c>
      <c r="N353" s="16"/>
      <c r="O353" s="15" t="str">
        <f t="shared" si="23"/>
        <v>Revisar</v>
      </c>
    </row>
    <row r="354" spans="1:15" ht="20.100000000000001" customHeight="1" x14ac:dyDescent="0.25">
      <c r="A354" s="14"/>
      <c r="B354" s="15" t="str">
        <f t="shared" si="20"/>
        <v/>
      </c>
      <c r="C354" s="15" t="str">
        <f t="shared" si="21"/>
        <v/>
      </c>
      <c r="D354" s="16"/>
      <c r="E354" s="16"/>
      <c r="F354" s="16"/>
      <c r="G354" s="16"/>
      <c r="H354" s="16"/>
      <c r="I354" s="16"/>
      <c r="J354" s="16"/>
      <c r="K354" s="16"/>
      <c r="L354" s="17"/>
      <c r="M354" s="18" t="str">
        <f t="shared" si="22"/>
        <v/>
      </c>
      <c r="N354" s="16"/>
      <c r="O354" s="15" t="str">
        <f t="shared" si="23"/>
        <v>Revisar</v>
      </c>
    </row>
    <row r="355" spans="1:15" ht="20.100000000000001" customHeight="1" x14ac:dyDescent="0.25">
      <c r="A355" s="14"/>
      <c r="B355" s="15" t="str">
        <f t="shared" si="20"/>
        <v/>
      </c>
      <c r="C355" s="15" t="str">
        <f t="shared" si="21"/>
        <v/>
      </c>
      <c r="D355" s="16"/>
      <c r="E355" s="16"/>
      <c r="F355" s="16"/>
      <c r="G355" s="16"/>
      <c r="H355" s="16"/>
      <c r="I355" s="16"/>
      <c r="J355" s="16"/>
      <c r="K355" s="16"/>
      <c r="L355" s="17"/>
      <c r="M355" s="18" t="str">
        <f t="shared" si="22"/>
        <v/>
      </c>
      <c r="N355" s="16"/>
      <c r="O355" s="15" t="str">
        <f t="shared" si="23"/>
        <v>Revisar</v>
      </c>
    </row>
    <row r="356" spans="1:15" ht="20.100000000000001" customHeight="1" x14ac:dyDescent="0.25">
      <c r="A356" s="14"/>
      <c r="B356" s="15" t="str">
        <f t="shared" si="20"/>
        <v/>
      </c>
      <c r="C356" s="15" t="str">
        <f t="shared" si="21"/>
        <v/>
      </c>
      <c r="D356" s="16"/>
      <c r="E356" s="16"/>
      <c r="F356" s="16"/>
      <c r="G356" s="16"/>
      <c r="H356" s="16"/>
      <c r="I356" s="16"/>
      <c r="J356" s="16"/>
      <c r="K356" s="16"/>
      <c r="L356" s="17"/>
      <c r="M356" s="18" t="str">
        <f t="shared" si="22"/>
        <v/>
      </c>
      <c r="N356" s="16"/>
      <c r="O356" s="15" t="str">
        <f t="shared" si="23"/>
        <v>Revisar</v>
      </c>
    </row>
    <row r="357" spans="1:15" ht="20.100000000000001" customHeight="1" x14ac:dyDescent="0.25">
      <c r="A357" s="14"/>
      <c r="B357" s="15" t="str">
        <f t="shared" si="20"/>
        <v/>
      </c>
      <c r="C357" s="15" t="str">
        <f t="shared" si="21"/>
        <v/>
      </c>
      <c r="D357" s="16"/>
      <c r="E357" s="16"/>
      <c r="F357" s="16"/>
      <c r="G357" s="16"/>
      <c r="H357" s="16"/>
      <c r="I357" s="16"/>
      <c r="J357" s="16"/>
      <c r="K357" s="16"/>
      <c r="L357" s="17"/>
      <c r="M357" s="18" t="str">
        <f t="shared" si="22"/>
        <v/>
      </c>
      <c r="N357" s="16"/>
      <c r="O357" s="15" t="str">
        <f t="shared" si="23"/>
        <v>Revisar</v>
      </c>
    </row>
    <row r="358" spans="1:15" ht="20.100000000000001" customHeight="1" x14ac:dyDescent="0.25">
      <c r="A358" s="14"/>
      <c r="B358" s="15" t="str">
        <f t="shared" si="20"/>
        <v/>
      </c>
      <c r="C358" s="15" t="str">
        <f t="shared" si="21"/>
        <v/>
      </c>
      <c r="D358" s="16"/>
      <c r="E358" s="16"/>
      <c r="F358" s="16"/>
      <c r="G358" s="16"/>
      <c r="H358" s="16"/>
      <c r="I358" s="16"/>
      <c r="J358" s="16"/>
      <c r="K358" s="16"/>
      <c r="L358" s="17"/>
      <c r="M358" s="18" t="str">
        <f t="shared" si="22"/>
        <v/>
      </c>
      <c r="N358" s="16"/>
      <c r="O358" s="15" t="str">
        <f t="shared" si="23"/>
        <v>Revisar</v>
      </c>
    </row>
    <row r="359" spans="1:15" ht="20.100000000000001" customHeight="1" x14ac:dyDescent="0.25">
      <c r="A359" s="14"/>
      <c r="B359" s="15" t="str">
        <f t="shared" si="20"/>
        <v/>
      </c>
      <c r="C359" s="15" t="str">
        <f t="shared" si="21"/>
        <v/>
      </c>
      <c r="D359" s="16"/>
      <c r="E359" s="16"/>
      <c r="F359" s="16"/>
      <c r="G359" s="16"/>
      <c r="H359" s="16"/>
      <c r="I359" s="16"/>
      <c r="J359" s="16"/>
      <c r="K359" s="16"/>
      <c r="L359" s="17"/>
      <c r="M359" s="18" t="str">
        <f t="shared" si="22"/>
        <v/>
      </c>
      <c r="N359" s="16"/>
      <c r="O359" s="15" t="str">
        <f t="shared" si="23"/>
        <v>Revisar</v>
      </c>
    </row>
    <row r="360" spans="1:15" ht="20.100000000000001" customHeight="1" x14ac:dyDescent="0.25">
      <c r="A360" s="14"/>
      <c r="B360" s="15" t="str">
        <f t="shared" si="20"/>
        <v/>
      </c>
      <c r="C360" s="15" t="str">
        <f t="shared" si="21"/>
        <v/>
      </c>
      <c r="D360" s="16"/>
      <c r="E360" s="16"/>
      <c r="F360" s="16"/>
      <c r="G360" s="16"/>
      <c r="H360" s="16"/>
      <c r="I360" s="16"/>
      <c r="J360" s="16"/>
      <c r="K360" s="16"/>
      <c r="L360" s="17"/>
      <c r="M360" s="18" t="str">
        <f t="shared" si="22"/>
        <v/>
      </c>
      <c r="N360" s="16"/>
      <c r="O360" s="15" t="str">
        <f t="shared" si="23"/>
        <v>Revisar</v>
      </c>
    </row>
    <row r="361" spans="1:15" ht="20.100000000000001" customHeight="1" x14ac:dyDescent="0.25">
      <c r="A361" s="14"/>
      <c r="B361" s="15" t="str">
        <f t="shared" si="20"/>
        <v/>
      </c>
      <c r="C361" s="15" t="str">
        <f t="shared" si="21"/>
        <v/>
      </c>
      <c r="D361" s="16"/>
      <c r="E361" s="16"/>
      <c r="F361" s="16"/>
      <c r="G361" s="16"/>
      <c r="H361" s="16"/>
      <c r="I361" s="16"/>
      <c r="J361" s="16"/>
      <c r="K361" s="16"/>
      <c r="L361" s="17"/>
      <c r="M361" s="18" t="str">
        <f t="shared" si="22"/>
        <v/>
      </c>
      <c r="N361" s="16"/>
      <c r="O361" s="15" t="str">
        <f t="shared" si="23"/>
        <v>Revisar</v>
      </c>
    </row>
    <row r="362" spans="1:15" ht="20.100000000000001" customHeight="1" x14ac:dyDescent="0.25">
      <c r="A362" s="14"/>
      <c r="B362" s="15" t="str">
        <f t="shared" si="20"/>
        <v/>
      </c>
      <c r="C362" s="15" t="str">
        <f t="shared" si="21"/>
        <v/>
      </c>
      <c r="D362" s="16"/>
      <c r="E362" s="16"/>
      <c r="F362" s="16"/>
      <c r="G362" s="16"/>
      <c r="H362" s="16"/>
      <c r="I362" s="16"/>
      <c r="J362" s="16"/>
      <c r="K362" s="16"/>
      <c r="L362" s="17"/>
      <c r="M362" s="18" t="str">
        <f t="shared" si="22"/>
        <v/>
      </c>
      <c r="N362" s="16"/>
      <c r="O362" s="15" t="str">
        <f t="shared" si="23"/>
        <v>Revisar</v>
      </c>
    </row>
    <row r="363" spans="1:15" ht="20.100000000000001" customHeight="1" x14ac:dyDescent="0.25">
      <c r="A363" s="14"/>
      <c r="B363" s="15" t="str">
        <f t="shared" si="20"/>
        <v/>
      </c>
      <c r="C363" s="15" t="str">
        <f t="shared" si="21"/>
        <v/>
      </c>
      <c r="D363" s="16"/>
      <c r="E363" s="16"/>
      <c r="F363" s="16"/>
      <c r="G363" s="16"/>
      <c r="H363" s="16"/>
      <c r="I363" s="16"/>
      <c r="J363" s="16"/>
      <c r="K363" s="16"/>
      <c r="L363" s="17"/>
      <c r="M363" s="18" t="str">
        <f t="shared" si="22"/>
        <v/>
      </c>
      <c r="N363" s="16"/>
      <c r="O363" s="15" t="str">
        <f t="shared" si="23"/>
        <v>Revisar</v>
      </c>
    </row>
    <row r="364" spans="1:15" ht="20.100000000000001" customHeight="1" x14ac:dyDescent="0.25">
      <c r="A364" s="14"/>
      <c r="B364" s="15" t="str">
        <f t="shared" si="20"/>
        <v/>
      </c>
      <c r="C364" s="15" t="str">
        <f t="shared" si="21"/>
        <v/>
      </c>
      <c r="D364" s="16"/>
      <c r="E364" s="16"/>
      <c r="F364" s="16"/>
      <c r="G364" s="16"/>
      <c r="H364" s="16"/>
      <c r="I364" s="16"/>
      <c r="J364" s="16"/>
      <c r="K364" s="16"/>
      <c r="L364" s="17"/>
      <c r="M364" s="18" t="str">
        <f t="shared" si="22"/>
        <v/>
      </c>
      <c r="N364" s="16"/>
      <c r="O364" s="15" t="str">
        <f t="shared" si="23"/>
        <v>Revisar</v>
      </c>
    </row>
    <row r="365" spans="1:15" ht="20.100000000000001" customHeight="1" x14ac:dyDescent="0.25">
      <c r="A365" s="14"/>
      <c r="B365" s="15" t="str">
        <f t="shared" si="20"/>
        <v/>
      </c>
      <c r="C365" s="15" t="str">
        <f t="shared" si="21"/>
        <v/>
      </c>
      <c r="D365" s="16"/>
      <c r="E365" s="16"/>
      <c r="F365" s="16"/>
      <c r="G365" s="16"/>
      <c r="H365" s="16"/>
      <c r="I365" s="16"/>
      <c r="J365" s="16"/>
      <c r="K365" s="16"/>
      <c r="L365" s="17"/>
      <c r="M365" s="18" t="str">
        <f t="shared" si="22"/>
        <v/>
      </c>
      <c r="N365" s="16"/>
      <c r="O365" s="15" t="str">
        <f t="shared" si="23"/>
        <v>Revisar</v>
      </c>
    </row>
    <row r="366" spans="1:15" ht="20.100000000000001" customHeight="1" x14ac:dyDescent="0.25">
      <c r="A366" s="14"/>
      <c r="B366" s="15" t="str">
        <f t="shared" si="20"/>
        <v/>
      </c>
      <c r="C366" s="15" t="str">
        <f t="shared" si="21"/>
        <v/>
      </c>
      <c r="D366" s="16"/>
      <c r="E366" s="16"/>
      <c r="F366" s="16"/>
      <c r="G366" s="16"/>
      <c r="H366" s="16"/>
      <c r="I366" s="16"/>
      <c r="J366" s="16"/>
      <c r="K366" s="16"/>
      <c r="L366" s="17"/>
      <c r="M366" s="18" t="str">
        <f t="shared" si="22"/>
        <v/>
      </c>
      <c r="N366" s="16"/>
      <c r="O366" s="15" t="str">
        <f t="shared" si="23"/>
        <v>Revisar</v>
      </c>
    </row>
    <row r="367" spans="1:15" ht="20.100000000000001" customHeight="1" x14ac:dyDescent="0.25">
      <c r="A367" s="14"/>
      <c r="B367" s="15" t="str">
        <f t="shared" si="20"/>
        <v/>
      </c>
      <c r="C367" s="15" t="str">
        <f t="shared" si="21"/>
        <v/>
      </c>
      <c r="D367" s="16"/>
      <c r="E367" s="16"/>
      <c r="F367" s="16"/>
      <c r="G367" s="16"/>
      <c r="H367" s="16"/>
      <c r="I367" s="16"/>
      <c r="J367" s="16"/>
      <c r="K367" s="16"/>
      <c r="L367" s="17"/>
      <c r="M367" s="18" t="str">
        <f t="shared" si="22"/>
        <v/>
      </c>
      <c r="N367" s="16"/>
      <c r="O367" s="15" t="str">
        <f t="shared" si="23"/>
        <v>Revisar</v>
      </c>
    </row>
    <row r="368" spans="1:15" ht="20.100000000000001" customHeight="1" x14ac:dyDescent="0.25">
      <c r="A368" s="14"/>
      <c r="B368" s="15" t="str">
        <f t="shared" si="20"/>
        <v/>
      </c>
      <c r="C368" s="15" t="str">
        <f t="shared" si="21"/>
        <v/>
      </c>
      <c r="D368" s="16"/>
      <c r="E368" s="16"/>
      <c r="F368" s="16"/>
      <c r="G368" s="16"/>
      <c r="H368" s="16"/>
      <c r="I368" s="16"/>
      <c r="J368" s="16"/>
      <c r="K368" s="16"/>
      <c r="L368" s="17"/>
      <c r="M368" s="18" t="str">
        <f t="shared" si="22"/>
        <v/>
      </c>
      <c r="N368" s="16"/>
      <c r="O368" s="15" t="str">
        <f t="shared" si="23"/>
        <v>Revisar</v>
      </c>
    </row>
    <row r="369" spans="1:15" ht="20.100000000000001" customHeight="1" x14ac:dyDescent="0.25">
      <c r="A369" s="14"/>
      <c r="B369" s="15" t="str">
        <f t="shared" si="20"/>
        <v/>
      </c>
      <c r="C369" s="15" t="str">
        <f t="shared" si="21"/>
        <v/>
      </c>
      <c r="D369" s="16"/>
      <c r="E369" s="16"/>
      <c r="F369" s="16"/>
      <c r="G369" s="16"/>
      <c r="H369" s="16"/>
      <c r="I369" s="16"/>
      <c r="J369" s="16"/>
      <c r="K369" s="16"/>
      <c r="L369" s="17"/>
      <c r="M369" s="18" t="str">
        <f t="shared" si="22"/>
        <v/>
      </c>
      <c r="N369" s="16"/>
      <c r="O369" s="15" t="str">
        <f t="shared" si="23"/>
        <v>Revisar</v>
      </c>
    </row>
    <row r="370" spans="1:15" ht="20.100000000000001" customHeight="1" x14ac:dyDescent="0.25">
      <c r="A370" s="14"/>
      <c r="B370" s="15" t="str">
        <f t="shared" si="20"/>
        <v/>
      </c>
      <c r="C370" s="15" t="str">
        <f t="shared" si="21"/>
        <v/>
      </c>
      <c r="D370" s="16"/>
      <c r="E370" s="16"/>
      <c r="F370" s="16"/>
      <c r="G370" s="16"/>
      <c r="H370" s="16"/>
      <c r="I370" s="16"/>
      <c r="J370" s="16"/>
      <c r="K370" s="16"/>
      <c r="L370" s="17"/>
      <c r="M370" s="18" t="str">
        <f t="shared" si="22"/>
        <v/>
      </c>
      <c r="N370" s="16"/>
      <c r="O370" s="15" t="str">
        <f t="shared" si="23"/>
        <v>Revisar</v>
      </c>
    </row>
    <row r="371" spans="1:15" ht="20.100000000000001" customHeight="1" x14ac:dyDescent="0.25">
      <c r="A371" s="14"/>
      <c r="B371" s="15" t="str">
        <f t="shared" si="20"/>
        <v/>
      </c>
      <c r="C371" s="15" t="str">
        <f t="shared" si="21"/>
        <v/>
      </c>
      <c r="D371" s="16"/>
      <c r="E371" s="16"/>
      <c r="F371" s="16"/>
      <c r="G371" s="16"/>
      <c r="H371" s="16"/>
      <c r="I371" s="16"/>
      <c r="J371" s="16"/>
      <c r="K371" s="16"/>
      <c r="L371" s="17"/>
      <c r="M371" s="18" t="str">
        <f t="shared" si="22"/>
        <v/>
      </c>
      <c r="N371" s="16"/>
      <c r="O371" s="15" t="str">
        <f t="shared" si="23"/>
        <v>Revisar</v>
      </c>
    </row>
    <row r="372" spans="1:15" ht="20.100000000000001" customHeight="1" x14ac:dyDescent="0.25">
      <c r="A372" s="14"/>
      <c r="B372" s="15" t="str">
        <f t="shared" si="20"/>
        <v/>
      </c>
      <c r="C372" s="15" t="str">
        <f t="shared" si="21"/>
        <v/>
      </c>
      <c r="D372" s="16"/>
      <c r="E372" s="16"/>
      <c r="F372" s="16"/>
      <c r="G372" s="16"/>
      <c r="H372" s="16"/>
      <c r="I372" s="16"/>
      <c r="J372" s="16"/>
      <c r="K372" s="16"/>
      <c r="L372" s="17"/>
      <c r="M372" s="18" t="str">
        <f t="shared" si="22"/>
        <v/>
      </c>
      <c r="N372" s="16"/>
      <c r="O372" s="15" t="str">
        <f t="shared" si="23"/>
        <v>Revisar</v>
      </c>
    </row>
    <row r="373" spans="1:15" ht="20.100000000000001" customHeight="1" x14ac:dyDescent="0.25">
      <c r="A373" s="14"/>
      <c r="B373" s="15" t="str">
        <f t="shared" si="20"/>
        <v/>
      </c>
      <c r="C373" s="15" t="str">
        <f t="shared" si="21"/>
        <v/>
      </c>
      <c r="D373" s="16"/>
      <c r="E373" s="16"/>
      <c r="F373" s="16"/>
      <c r="G373" s="16"/>
      <c r="H373" s="16"/>
      <c r="I373" s="16"/>
      <c r="J373" s="16"/>
      <c r="K373" s="16"/>
      <c r="L373" s="17"/>
      <c r="M373" s="18" t="str">
        <f t="shared" si="22"/>
        <v/>
      </c>
      <c r="N373" s="16"/>
      <c r="O373" s="15" t="str">
        <f t="shared" si="23"/>
        <v>Revisar</v>
      </c>
    </row>
    <row r="374" spans="1:15" ht="20.100000000000001" customHeight="1" x14ac:dyDescent="0.25">
      <c r="A374" s="14"/>
      <c r="B374" s="15" t="str">
        <f t="shared" si="20"/>
        <v/>
      </c>
      <c r="C374" s="15" t="str">
        <f t="shared" si="21"/>
        <v/>
      </c>
      <c r="D374" s="16"/>
      <c r="E374" s="16"/>
      <c r="F374" s="16"/>
      <c r="G374" s="16"/>
      <c r="H374" s="16"/>
      <c r="I374" s="16"/>
      <c r="J374" s="16"/>
      <c r="K374" s="16"/>
      <c r="L374" s="17"/>
      <c r="M374" s="18" t="str">
        <f t="shared" si="22"/>
        <v/>
      </c>
      <c r="N374" s="16"/>
      <c r="O374" s="15" t="str">
        <f t="shared" si="23"/>
        <v>Revisar</v>
      </c>
    </row>
    <row r="375" spans="1:15" ht="20.100000000000001" customHeight="1" x14ac:dyDescent="0.25">
      <c r="A375" s="14"/>
      <c r="B375" s="15" t="str">
        <f t="shared" si="20"/>
        <v/>
      </c>
      <c r="C375" s="15" t="str">
        <f t="shared" si="21"/>
        <v/>
      </c>
      <c r="D375" s="16"/>
      <c r="E375" s="16"/>
      <c r="F375" s="16"/>
      <c r="G375" s="16"/>
      <c r="H375" s="16"/>
      <c r="I375" s="16"/>
      <c r="J375" s="16"/>
      <c r="K375" s="16"/>
      <c r="L375" s="17"/>
      <c r="M375" s="18" t="str">
        <f t="shared" si="22"/>
        <v/>
      </c>
      <c r="N375" s="16"/>
      <c r="O375" s="15" t="str">
        <f t="shared" si="23"/>
        <v>Revisar</v>
      </c>
    </row>
    <row r="376" spans="1:15" ht="20.100000000000001" customHeight="1" x14ac:dyDescent="0.25">
      <c r="A376" s="14"/>
      <c r="B376" s="15" t="str">
        <f t="shared" si="20"/>
        <v/>
      </c>
      <c r="C376" s="15" t="str">
        <f t="shared" si="21"/>
        <v/>
      </c>
      <c r="D376" s="16"/>
      <c r="E376" s="16"/>
      <c r="F376" s="16"/>
      <c r="G376" s="16"/>
      <c r="H376" s="16"/>
      <c r="I376" s="16"/>
      <c r="J376" s="16"/>
      <c r="K376" s="16"/>
      <c r="L376" s="17"/>
      <c r="M376" s="18" t="str">
        <f t="shared" si="22"/>
        <v/>
      </c>
      <c r="N376" s="16"/>
      <c r="O376" s="15" t="str">
        <f t="shared" si="23"/>
        <v>Revisar</v>
      </c>
    </row>
    <row r="377" spans="1:15" ht="20.100000000000001" customHeight="1" x14ac:dyDescent="0.25">
      <c r="A377" s="14"/>
      <c r="B377" s="15" t="str">
        <f t="shared" si="20"/>
        <v/>
      </c>
      <c r="C377" s="15" t="str">
        <f t="shared" si="21"/>
        <v/>
      </c>
      <c r="D377" s="16"/>
      <c r="E377" s="16"/>
      <c r="F377" s="16"/>
      <c r="G377" s="16"/>
      <c r="H377" s="16"/>
      <c r="I377" s="16"/>
      <c r="J377" s="16"/>
      <c r="K377" s="16"/>
      <c r="L377" s="17"/>
      <c r="M377" s="18" t="str">
        <f t="shared" si="22"/>
        <v/>
      </c>
      <c r="N377" s="16"/>
      <c r="O377" s="15" t="str">
        <f t="shared" si="23"/>
        <v>Revisar</v>
      </c>
    </row>
    <row r="378" spans="1:15" ht="20.100000000000001" customHeight="1" x14ac:dyDescent="0.25">
      <c r="A378" s="14"/>
      <c r="B378" s="15" t="str">
        <f t="shared" si="20"/>
        <v/>
      </c>
      <c r="C378" s="15" t="str">
        <f t="shared" si="21"/>
        <v/>
      </c>
      <c r="D378" s="16"/>
      <c r="E378" s="16"/>
      <c r="F378" s="16"/>
      <c r="G378" s="16"/>
      <c r="H378" s="16"/>
      <c r="I378" s="16"/>
      <c r="J378" s="16"/>
      <c r="K378" s="16"/>
      <c r="L378" s="17"/>
      <c r="M378" s="18" t="str">
        <f t="shared" si="22"/>
        <v/>
      </c>
      <c r="N378" s="16"/>
      <c r="O378" s="15" t="str">
        <f t="shared" si="23"/>
        <v>Revisar</v>
      </c>
    </row>
    <row r="379" spans="1:15" ht="20.100000000000001" customHeight="1" x14ac:dyDescent="0.25">
      <c r="A379" s="14"/>
      <c r="B379" s="15" t="str">
        <f t="shared" si="20"/>
        <v/>
      </c>
      <c r="C379" s="15" t="str">
        <f t="shared" si="21"/>
        <v/>
      </c>
      <c r="D379" s="16"/>
      <c r="E379" s="16"/>
      <c r="F379" s="16"/>
      <c r="G379" s="16"/>
      <c r="H379" s="16"/>
      <c r="I379" s="16"/>
      <c r="J379" s="16"/>
      <c r="K379" s="16"/>
      <c r="L379" s="17"/>
      <c r="M379" s="18" t="str">
        <f t="shared" si="22"/>
        <v/>
      </c>
      <c r="N379" s="16"/>
      <c r="O379" s="15" t="str">
        <f t="shared" si="23"/>
        <v>Revisar</v>
      </c>
    </row>
    <row r="380" spans="1:15" ht="20.100000000000001" customHeight="1" x14ac:dyDescent="0.25">
      <c r="A380" s="14"/>
      <c r="B380" s="15" t="str">
        <f t="shared" si="20"/>
        <v/>
      </c>
      <c r="C380" s="15" t="str">
        <f t="shared" si="21"/>
        <v/>
      </c>
      <c r="D380" s="16"/>
      <c r="E380" s="16"/>
      <c r="F380" s="16"/>
      <c r="G380" s="16"/>
      <c r="H380" s="16"/>
      <c r="I380" s="16"/>
      <c r="J380" s="16"/>
      <c r="K380" s="16"/>
      <c r="L380" s="17"/>
      <c r="M380" s="18" t="str">
        <f t="shared" si="22"/>
        <v/>
      </c>
      <c r="N380" s="16"/>
      <c r="O380" s="15" t="str">
        <f t="shared" si="23"/>
        <v>Revisar</v>
      </c>
    </row>
    <row r="381" spans="1:15" ht="20.100000000000001" customHeight="1" x14ac:dyDescent="0.25">
      <c r="A381" s="14"/>
      <c r="B381" s="15" t="str">
        <f t="shared" si="20"/>
        <v/>
      </c>
      <c r="C381" s="15" t="str">
        <f t="shared" si="21"/>
        <v/>
      </c>
      <c r="D381" s="16"/>
      <c r="E381" s="16"/>
      <c r="F381" s="16"/>
      <c r="G381" s="16"/>
      <c r="H381" s="16"/>
      <c r="I381" s="16"/>
      <c r="J381" s="16"/>
      <c r="K381" s="16"/>
      <c r="L381" s="17"/>
      <c r="M381" s="18" t="str">
        <f t="shared" si="22"/>
        <v/>
      </c>
      <c r="N381" s="16"/>
      <c r="O381" s="15" t="str">
        <f t="shared" si="23"/>
        <v>Revisar</v>
      </c>
    </row>
    <row r="382" spans="1:15" ht="20.100000000000001" customHeight="1" x14ac:dyDescent="0.25">
      <c r="A382" s="14"/>
      <c r="B382" s="15" t="str">
        <f t="shared" si="20"/>
        <v/>
      </c>
      <c r="C382" s="15" t="str">
        <f t="shared" si="21"/>
        <v/>
      </c>
      <c r="D382" s="16"/>
      <c r="E382" s="16"/>
      <c r="F382" s="16"/>
      <c r="G382" s="16"/>
      <c r="H382" s="16"/>
      <c r="I382" s="16"/>
      <c r="J382" s="16"/>
      <c r="K382" s="16"/>
      <c r="L382" s="17"/>
      <c r="M382" s="18" t="str">
        <f t="shared" si="22"/>
        <v/>
      </c>
      <c r="N382" s="16"/>
      <c r="O382" s="15" t="str">
        <f t="shared" si="23"/>
        <v>Revisar</v>
      </c>
    </row>
    <row r="383" spans="1:15" ht="20.100000000000001" customHeight="1" x14ac:dyDescent="0.25">
      <c r="A383" s="14"/>
      <c r="B383" s="15" t="str">
        <f t="shared" si="20"/>
        <v/>
      </c>
      <c r="C383" s="15" t="str">
        <f t="shared" si="21"/>
        <v/>
      </c>
      <c r="D383" s="16"/>
      <c r="E383" s="16"/>
      <c r="F383" s="16"/>
      <c r="G383" s="16"/>
      <c r="H383" s="16"/>
      <c r="I383" s="16"/>
      <c r="J383" s="16"/>
      <c r="K383" s="16"/>
      <c r="L383" s="17"/>
      <c r="M383" s="18" t="str">
        <f t="shared" si="22"/>
        <v/>
      </c>
      <c r="N383" s="16"/>
      <c r="O383" s="15" t="str">
        <f t="shared" si="23"/>
        <v>Revisar</v>
      </c>
    </row>
    <row r="384" spans="1:15" ht="20.100000000000001" customHeight="1" x14ac:dyDescent="0.25">
      <c r="A384" s="14"/>
      <c r="B384" s="15" t="str">
        <f t="shared" si="20"/>
        <v/>
      </c>
      <c r="C384" s="15" t="str">
        <f t="shared" si="21"/>
        <v/>
      </c>
      <c r="D384" s="16"/>
      <c r="E384" s="16"/>
      <c r="F384" s="16"/>
      <c r="G384" s="16"/>
      <c r="H384" s="16"/>
      <c r="I384" s="16"/>
      <c r="J384" s="16"/>
      <c r="K384" s="16"/>
      <c r="L384" s="17"/>
      <c r="M384" s="18" t="str">
        <f t="shared" si="22"/>
        <v/>
      </c>
      <c r="N384" s="16"/>
      <c r="O384" s="15" t="str">
        <f t="shared" si="23"/>
        <v>Revisar</v>
      </c>
    </row>
    <row r="385" spans="1:15" ht="20.100000000000001" customHeight="1" x14ac:dyDescent="0.25">
      <c r="A385" s="14"/>
      <c r="B385" s="15" t="str">
        <f t="shared" si="20"/>
        <v/>
      </c>
      <c r="C385" s="15" t="str">
        <f t="shared" si="21"/>
        <v/>
      </c>
      <c r="D385" s="16"/>
      <c r="E385" s="16"/>
      <c r="F385" s="16"/>
      <c r="G385" s="16"/>
      <c r="H385" s="16"/>
      <c r="I385" s="16"/>
      <c r="J385" s="16"/>
      <c r="K385" s="16"/>
      <c r="L385" s="17"/>
      <c r="M385" s="18" t="str">
        <f t="shared" si="22"/>
        <v/>
      </c>
      <c r="N385" s="16"/>
      <c r="O385" s="15" t="str">
        <f t="shared" si="23"/>
        <v>Revisar</v>
      </c>
    </row>
    <row r="386" spans="1:15" ht="20.100000000000001" customHeight="1" x14ac:dyDescent="0.25">
      <c r="A386" s="14"/>
      <c r="B386" s="15" t="str">
        <f t="shared" si="20"/>
        <v/>
      </c>
      <c r="C386" s="15" t="str">
        <f t="shared" si="21"/>
        <v/>
      </c>
      <c r="D386" s="16"/>
      <c r="E386" s="16"/>
      <c r="F386" s="16"/>
      <c r="G386" s="16"/>
      <c r="H386" s="16"/>
      <c r="I386" s="16"/>
      <c r="J386" s="16"/>
      <c r="K386" s="16"/>
      <c r="L386" s="17"/>
      <c r="M386" s="18" t="str">
        <f t="shared" si="22"/>
        <v/>
      </c>
      <c r="N386" s="16"/>
      <c r="O386" s="15" t="str">
        <f t="shared" si="23"/>
        <v>Revisar</v>
      </c>
    </row>
    <row r="387" spans="1:15" ht="20.100000000000001" customHeight="1" x14ac:dyDescent="0.25">
      <c r="A387" s="14"/>
      <c r="B387" s="15" t="str">
        <f t="shared" si="20"/>
        <v/>
      </c>
      <c r="C387" s="15" t="str">
        <f t="shared" si="21"/>
        <v/>
      </c>
      <c r="D387" s="16"/>
      <c r="E387" s="16"/>
      <c r="F387" s="16"/>
      <c r="G387" s="16"/>
      <c r="H387" s="16"/>
      <c r="I387" s="16"/>
      <c r="J387" s="16"/>
      <c r="K387" s="16"/>
      <c r="L387" s="17"/>
      <c r="M387" s="18" t="str">
        <f t="shared" si="22"/>
        <v/>
      </c>
      <c r="N387" s="16"/>
      <c r="O387" s="15" t="str">
        <f t="shared" si="23"/>
        <v>Revisar</v>
      </c>
    </row>
    <row r="388" spans="1:15" ht="20.100000000000001" customHeight="1" x14ac:dyDescent="0.25">
      <c r="A388" s="14"/>
      <c r="B388" s="15" t="str">
        <f t="shared" si="20"/>
        <v/>
      </c>
      <c r="C388" s="15" t="str">
        <f t="shared" si="21"/>
        <v/>
      </c>
      <c r="D388" s="16"/>
      <c r="E388" s="16"/>
      <c r="F388" s="16"/>
      <c r="G388" s="16"/>
      <c r="H388" s="16"/>
      <c r="I388" s="16"/>
      <c r="J388" s="16"/>
      <c r="K388" s="16"/>
      <c r="L388" s="17"/>
      <c r="M388" s="18" t="str">
        <f t="shared" si="22"/>
        <v/>
      </c>
      <c r="N388" s="16"/>
      <c r="O388" s="15" t="str">
        <f t="shared" si="23"/>
        <v>Revisar</v>
      </c>
    </row>
    <row r="389" spans="1:15" ht="20.100000000000001" customHeight="1" x14ac:dyDescent="0.25">
      <c r="A389" s="14"/>
      <c r="B389" s="15" t="str">
        <f t="shared" si="20"/>
        <v/>
      </c>
      <c r="C389" s="15" t="str">
        <f t="shared" si="21"/>
        <v/>
      </c>
      <c r="D389" s="16"/>
      <c r="E389" s="16"/>
      <c r="F389" s="16"/>
      <c r="G389" s="16"/>
      <c r="H389" s="16"/>
      <c r="I389" s="16"/>
      <c r="J389" s="16"/>
      <c r="K389" s="16"/>
      <c r="L389" s="17"/>
      <c r="M389" s="18" t="str">
        <f t="shared" si="22"/>
        <v/>
      </c>
      <c r="N389" s="16"/>
      <c r="O389" s="15" t="str">
        <f t="shared" si="23"/>
        <v>Revisar</v>
      </c>
    </row>
    <row r="390" spans="1:15" ht="20.100000000000001" customHeight="1" x14ac:dyDescent="0.25">
      <c r="A390" s="14"/>
      <c r="B390" s="15" t="str">
        <f t="shared" si="20"/>
        <v/>
      </c>
      <c r="C390" s="15" t="str">
        <f t="shared" si="21"/>
        <v/>
      </c>
      <c r="D390" s="16"/>
      <c r="E390" s="16"/>
      <c r="F390" s="16"/>
      <c r="G390" s="16"/>
      <c r="H390" s="16"/>
      <c r="I390" s="16"/>
      <c r="J390" s="16"/>
      <c r="K390" s="16"/>
      <c r="L390" s="17"/>
      <c r="M390" s="18" t="str">
        <f t="shared" si="22"/>
        <v/>
      </c>
      <c r="N390" s="16"/>
      <c r="O390" s="15" t="str">
        <f t="shared" si="23"/>
        <v>Revisar</v>
      </c>
    </row>
    <row r="391" spans="1:15" ht="20.100000000000001" customHeight="1" x14ac:dyDescent="0.25">
      <c r="A391" s="14"/>
      <c r="B391" s="15" t="str">
        <f t="shared" si="20"/>
        <v/>
      </c>
      <c r="C391" s="15" t="str">
        <f t="shared" si="21"/>
        <v/>
      </c>
      <c r="D391" s="16"/>
      <c r="E391" s="16"/>
      <c r="F391" s="16"/>
      <c r="G391" s="16"/>
      <c r="H391" s="16"/>
      <c r="I391" s="16"/>
      <c r="J391" s="16"/>
      <c r="K391" s="16"/>
      <c r="L391" s="17"/>
      <c r="M391" s="18" t="str">
        <f t="shared" si="22"/>
        <v/>
      </c>
      <c r="N391" s="16"/>
      <c r="O391" s="15" t="str">
        <f t="shared" si="23"/>
        <v>Revisar</v>
      </c>
    </row>
    <row r="392" spans="1:15" ht="20.100000000000001" customHeight="1" x14ac:dyDescent="0.25">
      <c r="A392" s="14"/>
      <c r="B392" s="15" t="str">
        <f t="shared" si="20"/>
        <v/>
      </c>
      <c r="C392" s="15" t="str">
        <f t="shared" si="21"/>
        <v/>
      </c>
      <c r="D392" s="16"/>
      <c r="E392" s="16"/>
      <c r="F392" s="16"/>
      <c r="G392" s="16"/>
      <c r="H392" s="16"/>
      <c r="I392" s="16"/>
      <c r="J392" s="16"/>
      <c r="K392" s="16"/>
      <c r="L392" s="17"/>
      <c r="M392" s="18" t="str">
        <f t="shared" si="22"/>
        <v/>
      </c>
      <c r="N392" s="16"/>
      <c r="O392" s="15" t="str">
        <f t="shared" si="23"/>
        <v>Revisar</v>
      </c>
    </row>
    <row r="393" spans="1:15" ht="20.100000000000001" customHeight="1" x14ac:dyDescent="0.25">
      <c r="A393" s="14"/>
      <c r="B393" s="15" t="str">
        <f t="shared" ref="B393:B456" si="24">IF(A393="","",CHOOSE(MONTH(A393),"Enero","Febrero","Marzo","Abril","Mayo","Junio","Julio","Agosto","Septiembre","Octubre","Noviembre","Diciembre"))</f>
        <v/>
      </c>
      <c r="C393" s="15" t="str">
        <f t="shared" ref="C393:C400" si="25">IF(A393="","",YEAR(A393))</f>
        <v/>
      </c>
      <c r="D393" s="16"/>
      <c r="E393" s="16"/>
      <c r="F393" s="16"/>
      <c r="G393" s="16"/>
      <c r="H393" s="16"/>
      <c r="I393" s="16"/>
      <c r="J393" s="16"/>
      <c r="K393" s="16"/>
      <c r="L393" s="17"/>
      <c r="M393" s="18" t="str">
        <f t="shared" ref="M393:M456" si="26">IF(A393="","",IF(D393="Ingreso",L393,IF(D393="Ahorro",-L393,IF(D393="Transferencia",0,-L393))))</f>
        <v/>
      </c>
      <c r="N393" s="16"/>
      <c r="O393" s="15" t="str">
        <f t="shared" ref="O393:O456" si="27">IF(COUNTA(A393:N393)=0,"",IF(OR(A393="",D393="",F393="",G393="",H393="",I393="",L393=""),"Revisar","OK"))</f>
        <v>Revisar</v>
      </c>
    </row>
    <row r="394" spans="1:15" ht="20.100000000000001" customHeight="1" x14ac:dyDescent="0.25">
      <c r="A394" s="14"/>
      <c r="B394" s="15" t="str">
        <f t="shared" si="24"/>
        <v/>
      </c>
      <c r="C394" s="15" t="str">
        <f t="shared" si="25"/>
        <v/>
      </c>
      <c r="D394" s="16"/>
      <c r="E394" s="16"/>
      <c r="F394" s="16"/>
      <c r="G394" s="16"/>
      <c r="H394" s="16"/>
      <c r="I394" s="16"/>
      <c r="J394" s="16"/>
      <c r="K394" s="16"/>
      <c r="L394" s="17"/>
      <c r="M394" s="18" t="str">
        <f t="shared" si="26"/>
        <v/>
      </c>
      <c r="N394" s="16"/>
      <c r="O394" s="15" t="str">
        <f t="shared" si="27"/>
        <v>Revisar</v>
      </c>
    </row>
    <row r="395" spans="1:15" ht="20.100000000000001" customHeight="1" x14ac:dyDescent="0.25">
      <c r="A395" s="14"/>
      <c r="B395" s="15" t="str">
        <f t="shared" si="24"/>
        <v/>
      </c>
      <c r="C395" s="15" t="str">
        <f t="shared" si="25"/>
        <v/>
      </c>
      <c r="D395" s="16"/>
      <c r="E395" s="16"/>
      <c r="F395" s="16"/>
      <c r="G395" s="16"/>
      <c r="H395" s="16"/>
      <c r="I395" s="16"/>
      <c r="J395" s="16"/>
      <c r="K395" s="16"/>
      <c r="L395" s="17"/>
      <c r="M395" s="18" t="str">
        <f t="shared" si="26"/>
        <v/>
      </c>
      <c r="N395" s="16"/>
      <c r="O395" s="15" t="str">
        <f t="shared" si="27"/>
        <v>Revisar</v>
      </c>
    </row>
    <row r="396" spans="1:15" ht="20.100000000000001" customHeight="1" x14ac:dyDescent="0.25">
      <c r="A396" s="14"/>
      <c r="B396" s="15" t="str">
        <f t="shared" si="24"/>
        <v/>
      </c>
      <c r="C396" s="15" t="str">
        <f t="shared" si="25"/>
        <v/>
      </c>
      <c r="D396" s="16"/>
      <c r="E396" s="16"/>
      <c r="F396" s="16"/>
      <c r="G396" s="16"/>
      <c r="H396" s="16"/>
      <c r="I396" s="16"/>
      <c r="J396" s="16"/>
      <c r="K396" s="16"/>
      <c r="L396" s="17"/>
      <c r="M396" s="18" t="str">
        <f t="shared" si="26"/>
        <v/>
      </c>
      <c r="N396" s="16"/>
      <c r="O396" s="15" t="str">
        <f t="shared" si="27"/>
        <v>Revisar</v>
      </c>
    </row>
    <row r="397" spans="1:15" ht="20.100000000000001" customHeight="1" x14ac:dyDescent="0.25">
      <c r="A397" s="14"/>
      <c r="B397" s="15" t="str">
        <f t="shared" si="24"/>
        <v/>
      </c>
      <c r="C397" s="15" t="str">
        <f t="shared" si="25"/>
        <v/>
      </c>
      <c r="D397" s="16"/>
      <c r="E397" s="16"/>
      <c r="F397" s="16"/>
      <c r="G397" s="16"/>
      <c r="H397" s="16"/>
      <c r="I397" s="16"/>
      <c r="J397" s="16"/>
      <c r="K397" s="16"/>
      <c r="L397" s="17"/>
      <c r="M397" s="18" t="str">
        <f t="shared" si="26"/>
        <v/>
      </c>
      <c r="N397" s="16"/>
      <c r="O397" s="15" t="str">
        <f t="shared" si="27"/>
        <v>Revisar</v>
      </c>
    </row>
    <row r="398" spans="1:15" ht="20.100000000000001" customHeight="1" x14ac:dyDescent="0.25">
      <c r="A398" s="14"/>
      <c r="B398" s="15" t="str">
        <f t="shared" si="24"/>
        <v/>
      </c>
      <c r="C398" s="15" t="str">
        <f t="shared" si="25"/>
        <v/>
      </c>
      <c r="D398" s="16"/>
      <c r="E398" s="16"/>
      <c r="F398" s="16"/>
      <c r="G398" s="16"/>
      <c r="H398" s="16"/>
      <c r="I398" s="16"/>
      <c r="J398" s="16"/>
      <c r="K398" s="16"/>
      <c r="L398" s="17"/>
      <c r="M398" s="18" t="str">
        <f t="shared" si="26"/>
        <v/>
      </c>
      <c r="N398" s="16"/>
      <c r="O398" s="15" t="str">
        <f t="shared" si="27"/>
        <v>Revisar</v>
      </c>
    </row>
    <row r="399" spans="1:15" ht="20.100000000000001" customHeight="1" x14ac:dyDescent="0.25">
      <c r="A399" s="14"/>
      <c r="B399" s="15" t="str">
        <f t="shared" si="24"/>
        <v/>
      </c>
      <c r="C399" s="15" t="str">
        <f t="shared" si="25"/>
        <v/>
      </c>
      <c r="D399" s="16"/>
      <c r="E399" s="16"/>
      <c r="F399" s="16"/>
      <c r="G399" s="16"/>
      <c r="H399" s="16"/>
      <c r="I399" s="16"/>
      <c r="J399" s="16"/>
      <c r="K399" s="16"/>
      <c r="L399" s="17"/>
      <c r="M399" s="18" t="str">
        <f t="shared" si="26"/>
        <v/>
      </c>
      <c r="N399" s="16"/>
      <c r="O399" s="15" t="str">
        <f t="shared" si="27"/>
        <v>Revisar</v>
      </c>
    </row>
    <row r="400" spans="1:15" ht="20.100000000000001" customHeight="1" x14ac:dyDescent="0.25">
      <c r="A400" s="14"/>
      <c r="B400" s="15" t="str">
        <f t="shared" si="24"/>
        <v/>
      </c>
      <c r="C400" s="15" t="str">
        <f t="shared" si="25"/>
        <v/>
      </c>
      <c r="D400" s="16"/>
      <c r="E400" s="16"/>
      <c r="F400" s="16"/>
      <c r="G400" s="16"/>
      <c r="H400" s="16"/>
      <c r="I400" s="16"/>
      <c r="J400" s="16"/>
      <c r="K400" s="16"/>
      <c r="L400" s="17"/>
      <c r="M400" s="18" t="str">
        <f t="shared" si="26"/>
        <v/>
      </c>
      <c r="N400" s="16"/>
      <c r="O400" s="15" t="str">
        <f t="shared" si="27"/>
        <v>Revisar</v>
      </c>
    </row>
  </sheetData>
  <mergeCells count="2">
    <mergeCell ref="A1:O1"/>
    <mergeCell ref="A2:O2"/>
  </mergeCells>
  <conditionalFormatting sqref="L9:L400">
    <cfRule type="dataBar" priority="5">
      <dataBar>
        <cfvo type="num" val="0"/>
        <cfvo type="max"/>
        <color rgb="FF9DC3E6"/>
      </dataBar>
    </cfRule>
  </conditionalFormatting>
  <conditionalFormatting sqref="M9:M400">
    <cfRule type="cellIs" dxfId="8" priority="1" operator="lessThan">
      <formula>0</formula>
    </cfRule>
    <cfRule type="cellIs" dxfId="7" priority="2" operator="greaterThanOrEqual">
      <formula>0</formula>
    </cfRule>
  </conditionalFormatting>
  <conditionalFormatting sqref="O9:O400">
    <cfRule type="expression" dxfId="6" priority="3">
      <formula>$O9="OK"</formula>
    </cfRule>
    <cfRule type="expression" dxfId="5" priority="4">
      <formula>$O9="Revisar"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error="Selecciona un valor de la lista." prompt="Elige una opción de la lista." xr:uid="{00000000-0002-0000-0100-000000000000}">
          <x14:formula1>
            <xm:f>Listas!$D$2:$D$5</xm:f>
          </x14:formula1>
          <xm:sqref>D9:D400</xm:sqref>
        </x14:dataValidation>
        <x14:dataValidation type="list" allowBlank="1" error="Selecciona un valor de la lista." prompt="Elige una opción de la lista." xr:uid="{00000000-0002-0000-0100-000001000000}">
          <x14:formula1>
            <xm:f>Listas!$J$2:$J$6</xm:f>
          </x14:formula1>
          <xm:sqref>E9:E400</xm:sqref>
        </x14:dataValidation>
        <x14:dataValidation type="list" allowBlank="1" error="Selecciona un valor de la lista." prompt="Elige una opción de la lista." xr:uid="{00000000-0002-0000-0100-000002000000}">
          <x14:formula1>
            <xm:f>Listas!$N$2:$N$19</xm:f>
          </x14:formula1>
          <xm:sqref>F9:F400</xm:sqref>
        </x14:dataValidation>
        <x14:dataValidation type="list" allowBlank="1" error="Selecciona un valor de la lista." prompt="Elige una opción de la lista." xr:uid="{00000000-0002-0000-0100-000003000000}">
          <x14:formula1>
            <xm:f>Listas!$P$2:$P$11</xm:f>
          </x14:formula1>
          <xm:sqref>G9:G400</xm:sqref>
        </x14:dataValidation>
        <x14:dataValidation type="list" allowBlank="1" error="Selecciona un valor de la lista." prompt="Elige una opción de la lista." xr:uid="{00000000-0002-0000-0100-000004000000}">
          <x14:formula1>
            <xm:f>Listas!$F$2:$F$5</xm:f>
          </x14:formula1>
          <xm:sqref>H9:H400</xm:sqref>
        </x14:dataValidation>
        <x14:dataValidation type="list" allowBlank="1" error="Selecciona un valor de la lista." prompt="Elige una opción de la lista." xr:uid="{00000000-0002-0000-0100-000005000000}">
          <x14:formula1>
            <xm:f>Listas!$H$2:$H$3</xm:f>
          </x14:formula1>
          <xm:sqref>I9:I400</xm:sqref>
        </x14:dataValidation>
        <x14:dataValidation type="list" allowBlank="1" error="Selecciona un valor de la lista." prompt="Elige una opción de la lista." xr:uid="{00000000-0002-0000-0100-000006000000}">
          <x14:formula1>
            <xm:f>Listas!$L$2:$L$6</xm:f>
          </x14:formula1>
          <xm:sqref>K9:K400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AD47"/>
  </sheetPr>
  <dimension ref="A1:I262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24" customWidth="1"/>
    <col min="3" max="3" width="20" customWidth="1"/>
    <col min="4" max="4" width="18" customWidth="1"/>
    <col min="5" max="8" width="14" customWidth="1"/>
    <col min="9" max="9" width="12" customWidth="1"/>
  </cols>
  <sheetData>
    <row r="1" spans="1:9" ht="22.5" x14ac:dyDescent="0.25">
      <c r="A1" s="25" t="s">
        <v>127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24" t="s">
        <v>128</v>
      </c>
      <c r="B2" s="23"/>
      <c r="C2" s="23"/>
      <c r="D2" s="23"/>
      <c r="E2" s="23"/>
      <c r="F2" s="23"/>
      <c r="G2" s="23"/>
      <c r="H2" s="23"/>
      <c r="I2" s="23"/>
    </row>
    <row r="7" spans="1:9" x14ac:dyDescent="0.25">
      <c r="A7" s="7" t="s">
        <v>129</v>
      </c>
      <c r="B7" s="7" t="s">
        <v>62</v>
      </c>
      <c r="C7" s="7" t="s">
        <v>23</v>
      </c>
      <c r="D7" s="7" t="s">
        <v>63</v>
      </c>
      <c r="E7" s="7" t="s">
        <v>24</v>
      </c>
      <c r="F7" s="7" t="s">
        <v>25</v>
      </c>
      <c r="G7" s="7" t="s">
        <v>26</v>
      </c>
      <c r="H7" s="7" t="s">
        <v>130</v>
      </c>
      <c r="I7" s="7" t="s">
        <v>22</v>
      </c>
    </row>
    <row r="8" spans="1:9" x14ac:dyDescent="0.25">
      <c r="A8" s="19">
        <v>45658</v>
      </c>
      <c r="B8" s="15" t="s">
        <v>73</v>
      </c>
      <c r="C8" s="15" t="s">
        <v>74</v>
      </c>
      <c r="D8" s="15" t="s">
        <v>37</v>
      </c>
      <c r="E8" s="17">
        <v>2450</v>
      </c>
      <c r="F8" s="18">
        <f>IF(A8="","",SUMIFS(Movimientos!$L$9:$L$400,Movimientos!$A$9:$A$400,"&gt;="&amp;$A8,Movimientos!$A$9:$A$400,"&lt;"&amp;EDATE($A8,1),Movimientos!$F$9:$F$400,$B8,Movimientos!$G$9:$G$400,$C8,Movimientos!$D$9:$D$400,IF($D8="Ingresos","Ingreso",IF($D8="Ahorro","Ahorro","Gasto"))))</f>
        <v>2436.35</v>
      </c>
      <c r="G8" s="18">
        <f t="shared" ref="G8:G71" si="0">IF(E8="","",F8-E8)</f>
        <v>-13.650000000000091</v>
      </c>
      <c r="H8" s="20">
        <f t="shared" ref="H8:H71" si="1">IF(E8=0,"",F8/E8)</f>
        <v>0.99442857142857144</v>
      </c>
      <c r="I8" s="15" t="str">
        <f t="shared" ref="I8:I71" si="2">IF(E8="","",IF($D8="Ingresos",IF(H8&gt;=1,"Bien",IF(H8&gt;=0.95,"Casi","Bajo")),IF($D8="Ahorro",IF(H8&gt;=1,"Bien",IF(H8&gt;=0.9,"Casi","Bajo")),IF(H8&lt;=1,"Bien",IF(H8&lt;=1.1,"Vigilar","Exceso")))))</f>
        <v>Casi</v>
      </c>
    </row>
    <row r="9" spans="1:9" x14ac:dyDescent="0.25">
      <c r="A9" s="19">
        <v>45658</v>
      </c>
      <c r="B9" s="15" t="s">
        <v>118</v>
      </c>
      <c r="C9" s="15" t="s">
        <v>119</v>
      </c>
      <c r="D9" s="15" t="s">
        <v>37</v>
      </c>
      <c r="E9" s="17">
        <v>0</v>
      </c>
      <c r="F9" s="18">
        <f>IF(A9="","",SUMIFS(Movimientos!$L$9:$L$400,Movimientos!$A$9:$A$400,"&gt;="&amp;$A9,Movimientos!$A$9:$A$400,"&lt;"&amp;EDATE($A9,1),Movimientos!$F$9:$F$400,$B9,Movimientos!$G$9:$G$400,$C9,Movimientos!$D$9:$D$400,IF($D9="Ingresos","Ingreso",IF($D9="Ahorro","Ahorro","Gasto"))))</f>
        <v>0</v>
      </c>
      <c r="G9" s="18">
        <f t="shared" si="0"/>
        <v>0</v>
      </c>
      <c r="H9" s="20" t="str">
        <f t="shared" si="1"/>
        <v/>
      </c>
      <c r="I9" s="15" t="str">
        <f t="shared" si="2"/>
        <v>Bien</v>
      </c>
    </row>
    <row r="10" spans="1:9" x14ac:dyDescent="0.25">
      <c r="A10" s="19">
        <v>45658</v>
      </c>
      <c r="B10" s="15" t="s">
        <v>81</v>
      </c>
      <c r="C10" s="15" t="s">
        <v>28</v>
      </c>
      <c r="D10" s="15" t="s">
        <v>9</v>
      </c>
      <c r="E10" s="17">
        <v>980</v>
      </c>
      <c r="F10" s="18">
        <f>IF(A10="","",SUMIFS(Movimientos!$L$9:$L$400,Movimientos!$A$9:$A$400,"&gt;="&amp;$A10,Movimientos!$A$9:$A$400,"&lt;"&amp;EDATE($A10,1),Movimientos!$F$9:$F$400,$B10,Movimientos!$G$9:$G$400,$C10,Movimientos!$D$9:$D$400,IF($D10="Ingresos","Ingreso",IF($D10="Ahorro","Ahorro","Gasto"))))</f>
        <v>980</v>
      </c>
      <c r="G10" s="18">
        <f t="shared" si="0"/>
        <v>0</v>
      </c>
      <c r="H10" s="20">
        <f t="shared" si="1"/>
        <v>1</v>
      </c>
      <c r="I10" s="15" t="str">
        <f t="shared" si="2"/>
        <v>Bien</v>
      </c>
    </row>
    <row r="11" spans="1:9" x14ac:dyDescent="0.25">
      <c r="A11" s="19">
        <v>45658</v>
      </c>
      <c r="B11" s="15" t="s">
        <v>91</v>
      </c>
      <c r="C11" s="15" t="s">
        <v>28</v>
      </c>
      <c r="D11" s="15" t="s">
        <v>9</v>
      </c>
      <c r="E11" s="17">
        <v>38</v>
      </c>
      <c r="F11" s="18">
        <f>IF(A11="","",SUMIFS(Movimientos!$L$9:$L$400,Movimientos!$A$9:$A$400,"&gt;="&amp;$A11,Movimientos!$A$9:$A$400,"&lt;"&amp;EDATE($A11,1),Movimientos!$F$9:$F$400,$B11,Movimientos!$G$9:$G$400,$C11,Movimientos!$D$9:$D$400,IF($D11="Ingresos","Ingreso",IF($D11="Ahorro","Ahorro","Gasto"))))</f>
        <v>31.5</v>
      </c>
      <c r="G11" s="18">
        <f t="shared" si="0"/>
        <v>-6.5</v>
      </c>
      <c r="H11" s="20">
        <f t="shared" si="1"/>
        <v>0.82894736842105265</v>
      </c>
      <c r="I11" s="15" t="str">
        <f t="shared" si="2"/>
        <v>Bien</v>
      </c>
    </row>
    <row r="12" spans="1:9" x14ac:dyDescent="0.25">
      <c r="A12" s="19">
        <v>45658</v>
      </c>
      <c r="B12" s="15" t="s">
        <v>94</v>
      </c>
      <c r="C12" s="15" t="s">
        <v>28</v>
      </c>
      <c r="D12" s="15" t="s">
        <v>9</v>
      </c>
      <c r="E12" s="17">
        <v>22</v>
      </c>
      <c r="F12" s="18">
        <f>IF(A12="","",SUMIFS(Movimientos!$L$9:$L$400,Movimientos!$A$9:$A$400,"&gt;="&amp;$A12,Movimientos!$A$9:$A$400,"&lt;"&amp;EDATE($A12,1),Movimientos!$F$9:$F$400,$B12,Movimientos!$G$9:$G$400,$C12,Movimientos!$D$9:$D$400,IF($D12="Ingresos","Ingreso",IF($D12="Ahorro","Ahorro","Gasto"))))</f>
        <v>20.61</v>
      </c>
      <c r="G12" s="18">
        <f t="shared" si="0"/>
        <v>-1.3900000000000006</v>
      </c>
      <c r="H12" s="20">
        <f t="shared" si="1"/>
        <v>0.93681818181818177</v>
      </c>
      <c r="I12" s="15" t="str">
        <f t="shared" si="2"/>
        <v>Bien</v>
      </c>
    </row>
    <row r="13" spans="1:9" x14ac:dyDescent="0.25">
      <c r="A13" s="19">
        <v>45658</v>
      </c>
      <c r="B13" s="15" t="s">
        <v>96</v>
      </c>
      <c r="C13" s="15" t="s">
        <v>28</v>
      </c>
      <c r="D13" s="15" t="s">
        <v>9</v>
      </c>
      <c r="E13" s="17">
        <v>35</v>
      </c>
      <c r="F13" s="18">
        <f>IF(A13="","",SUMIFS(Movimientos!$L$9:$L$400,Movimientos!$A$9:$A$400,"&gt;="&amp;$A13,Movimientos!$A$9:$A$400,"&lt;"&amp;EDATE($A13,1),Movimientos!$F$9:$F$400,$B13,Movimientos!$G$9:$G$400,$C13,Movimientos!$D$9:$D$400,IF($D13="Ingresos","Ingreso",IF($D13="Ahorro","Ahorro","Gasto"))))</f>
        <v>35</v>
      </c>
      <c r="G13" s="18">
        <f t="shared" si="0"/>
        <v>0</v>
      </c>
      <c r="H13" s="20">
        <f t="shared" si="1"/>
        <v>1</v>
      </c>
      <c r="I13" s="15" t="str">
        <f t="shared" si="2"/>
        <v>Bien</v>
      </c>
    </row>
    <row r="14" spans="1:9" x14ac:dyDescent="0.25">
      <c r="A14" s="19">
        <v>45658</v>
      </c>
      <c r="B14" s="15" t="s">
        <v>100</v>
      </c>
      <c r="C14" s="15" t="s">
        <v>39</v>
      </c>
      <c r="D14" s="15" t="s">
        <v>9</v>
      </c>
      <c r="E14" s="17">
        <v>24</v>
      </c>
      <c r="F14" s="18">
        <f>IF(A14="","",SUMIFS(Movimientos!$L$9:$L$400,Movimientos!$A$9:$A$400,"&gt;="&amp;$A14,Movimientos!$A$9:$A$400,"&lt;"&amp;EDATE($A14,1),Movimientos!$F$9:$F$400,$B14,Movimientos!$G$9:$G$400,$C14,Movimientos!$D$9:$D$400,IF($D14="Ingresos","Ingreso",IF($D14="Ahorro","Ahorro","Gasto"))))</f>
        <v>24</v>
      </c>
      <c r="G14" s="18">
        <f t="shared" si="0"/>
        <v>0</v>
      </c>
      <c r="H14" s="20">
        <f t="shared" si="1"/>
        <v>1</v>
      </c>
      <c r="I14" s="15" t="str">
        <f t="shared" si="2"/>
        <v>Bien</v>
      </c>
    </row>
    <row r="15" spans="1:9" x14ac:dyDescent="0.25">
      <c r="A15" s="19">
        <v>45658</v>
      </c>
      <c r="B15" s="15" t="s">
        <v>84</v>
      </c>
      <c r="C15" s="15" t="s">
        <v>29</v>
      </c>
      <c r="D15" s="15" t="s">
        <v>9</v>
      </c>
      <c r="E15" s="17">
        <v>330</v>
      </c>
      <c r="F15" s="18">
        <f>IF(A15="","",SUMIFS(Movimientos!$L$9:$L$400,Movimientos!$A$9:$A$400,"&gt;="&amp;$A15,Movimientos!$A$9:$A$400,"&lt;"&amp;EDATE($A15,1),Movimientos!$F$9:$F$400,$B15,Movimientos!$G$9:$G$400,$C15,Movimientos!$D$9:$D$400,IF($D15="Ingresos","Ingreso",IF($D15="Ahorro","Ahorro","Gasto"))))</f>
        <v>351.8</v>
      </c>
      <c r="G15" s="18">
        <f t="shared" si="0"/>
        <v>21.800000000000011</v>
      </c>
      <c r="H15" s="20">
        <f t="shared" si="1"/>
        <v>1.0660606060606062</v>
      </c>
      <c r="I15" s="15" t="str">
        <f t="shared" si="2"/>
        <v>Vigilar</v>
      </c>
    </row>
    <row r="16" spans="1:9" x14ac:dyDescent="0.25">
      <c r="A16" s="19">
        <v>45658</v>
      </c>
      <c r="B16" s="15" t="s">
        <v>102</v>
      </c>
      <c r="C16" s="15" t="s">
        <v>29</v>
      </c>
      <c r="D16" s="15" t="s">
        <v>9</v>
      </c>
      <c r="E16" s="17">
        <v>85</v>
      </c>
      <c r="F16" s="18">
        <f>IF(A16="","",SUMIFS(Movimientos!$L$9:$L$400,Movimientos!$A$9:$A$400,"&gt;="&amp;$A16,Movimientos!$A$9:$A$400,"&lt;"&amp;EDATE($A16,1),Movimientos!$F$9:$F$400,$B16,Movimientos!$G$9:$G$400,$C16,Movimientos!$D$9:$D$400,IF($D16="Ingresos","Ingreso",IF($D16="Ahorro","Ahorro","Gasto"))))</f>
        <v>62.53</v>
      </c>
      <c r="G16" s="18">
        <f t="shared" si="0"/>
        <v>-22.47</v>
      </c>
      <c r="H16" s="20">
        <f t="shared" si="1"/>
        <v>0.73564705882352943</v>
      </c>
      <c r="I16" s="15" t="str">
        <f t="shared" si="2"/>
        <v>Bien</v>
      </c>
    </row>
    <row r="17" spans="1:9" x14ac:dyDescent="0.25">
      <c r="A17" s="19">
        <v>45658</v>
      </c>
      <c r="B17" s="15" t="s">
        <v>89</v>
      </c>
      <c r="C17" s="15" t="s">
        <v>31</v>
      </c>
      <c r="D17" s="15" t="s">
        <v>9</v>
      </c>
      <c r="E17" s="17">
        <v>42</v>
      </c>
      <c r="F17" s="18">
        <f>IF(A17="","",SUMIFS(Movimientos!$L$9:$L$400,Movimientos!$A$9:$A$400,"&gt;="&amp;$A17,Movimientos!$A$9:$A$400,"&lt;"&amp;EDATE($A17,1),Movimientos!$F$9:$F$400,$B17,Movimientos!$G$9:$G$400,$C17,Movimientos!$D$9:$D$400,IF($D17="Ingresos","Ingreso",IF($D17="Ahorro","Ahorro","Gasto"))))</f>
        <v>34.28</v>
      </c>
      <c r="G17" s="18">
        <f t="shared" si="0"/>
        <v>-7.7199999999999989</v>
      </c>
      <c r="H17" s="20">
        <f t="shared" si="1"/>
        <v>0.81619047619047624</v>
      </c>
      <c r="I17" s="15" t="str">
        <f t="shared" si="2"/>
        <v>Bien</v>
      </c>
    </row>
    <row r="18" spans="1:9" x14ac:dyDescent="0.25">
      <c r="A18" s="19">
        <v>45658</v>
      </c>
      <c r="B18" s="15" t="s">
        <v>122</v>
      </c>
      <c r="C18" s="15" t="s">
        <v>31</v>
      </c>
      <c r="D18" s="15" t="s">
        <v>9</v>
      </c>
      <c r="E18" s="17">
        <v>12</v>
      </c>
      <c r="F18" s="18">
        <f>IF(A18="","",SUMIFS(Movimientos!$L$9:$L$400,Movimientos!$A$9:$A$400,"&gt;="&amp;$A18,Movimientos!$A$9:$A$400,"&lt;"&amp;EDATE($A18,1),Movimientos!$F$9:$F$400,$B18,Movimientos!$G$9:$G$400,$C18,Movimientos!$D$9:$D$400,IF($D18="Ingresos","Ingreso",IF($D18="Ahorro","Ahorro","Gasto"))))</f>
        <v>0</v>
      </c>
      <c r="G18" s="18">
        <f t="shared" si="0"/>
        <v>-12</v>
      </c>
      <c r="H18" s="20">
        <f t="shared" si="1"/>
        <v>0</v>
      </c>
      <c r="I18" s="15" t="str">
        <f t="shared" si="2"/>
        <v>Bien</v>
      </c>
    </row>
    <row r="19" spans="1:9" x14ac:dyDescent="0.25">
      <c r="A19" s="19">
        <v>45658</v>
      </c>
      <c r="B19" s="15" t="s">
        <v>105</v>
      </c>
      <c r="C19" s="15" t="s">
        <v>32</v>
      </c>
      <c r="D19" s="15" t="s">
        <v>9</v>
      </c>
      <c r="E19" s="17">
        <v>18</v>
      </c>
      <c r="F19" s="18">
        <f>IF(A19="","",SUMIFS(Movimientos!$L$9:$L$400,Movimientos!$A$9:$A$400,"&gt;="&amp;$A19,Movimientos!$A$9:$A$400,"&lt;"&amp;EDATE($A19,1),Movimientos!$F$9:$F$400,$B19,Movimientos!$G$9:$G$400,$C19,Movimientos!$D$9:$D$400,IF($D19="Ingresos","Ingreso",IF($D19="Ahorro","Ahorro","Gasto"))))</f>
        <v>20.97</v>
      </c>
      <c r="G19" s="18">
        <f t="shared" si="0"/>
        <v>2.9699999999999989</v>
      </c>
      <c r="H19" s="20">
        <f t="shared" si="1"/>
        <v>1.165</v>
      </c>
      <c r="I19" s="15" t="str">
        <f t="shared" si="2"/>
        <v>Exceso</v>
      </c>
    </row>
    <row r="20" spans="1:9" x14ac:dyDescent="0.25">
      <c r="A20" s="19">
        <v>45658</v>
      </c>
      <c r="B20" s="15" t="s">
        <v>98</v>
      </c>
      <c r="C20" s="15" t="s">
        <v>32</v>
      </c>
      <c r="D20" s="15" t="s">
        <v>9</v>
      </c>
      <c r="E20" s="17">
        <v>18</v>
      </c>
      <c r="F20" s="18">
        <f>IF(A20="","",SUMIFS(Movimientos!$L$9:$L$400,Movimientos!$A$9:$A$400,"&gt;="&amp;$A20,Movimientos!$A$9:$A$400,"&lt;"&amp;EDATE($A20,1),Movimientos!$F$9:$F$400,$B20,Movimientos!$G$9:$G$400,$C20,Movimientos!$D$9:$D$400,IF($D20="Ingresos","Ingreso",IF($D20="Ahorro","Ahorro","Gasto"))))</f>
        <v>18</v>
      </c>
      <c r="G20" s="18">
        <f t="shared" si="0"/>
        <v>0</v>
      </c>
      <c r="H20" s="20">
        <f t="shared" si="1"/>
        <v>1</v>
      </c>
      <c r="I20" s="15" t="str">
        <f t="shared" si="2"/>
        <v>Bien</v>
      </c>
    </row>
    <row r="21" spans="1:9" x14ac:dyDescent="0.25">
      <c r="A21" s="19">
        <v>45658</v>
      </c>
      <c r="B21" s="15" t="s">
        <v>107</v>
      </c>
      <c r="C21" s="15" t="s">
        <v>33</v>
      </c>
      <c r="D21" s="15" t="s">
        <v>10</v>
      </c>
      <c r="E21" s="17">
        <v>65</v>
      </c>
      <c r="F21" s="18">
        <f>IF(A21="","",SUMIFS(Movimientos!$L$9:$L$400,Movimientos!$A$9:$A$400,"&gt;="&amp;$A21,Movimientos!$A$9:$A$400,"&lt;"&amp;EDATE($A21,1),Movimientos!$F$9:$F$400,$B21,Movimientos!$G$9:$G$400,$C21,Movimientos!$D$9:$D$400,IF($D21="Ingresos","Ingreso",IF($D21="Ahorro","Ahorro","Gasto"))))</f>
        <v>71.680000000000007</v>
      </c>
      <c r="G21" s="18">
        <f t="shared" si="0"/>
        <v>6.6800000000000068</v>
      </c>
      <c r="H21" s="20">
        <f t="shared" si="1"/>
        <v>1.1027692307692309</v>
      </c>
      <c r="I21" s="15" t="str">
        <f t="shared" si="2"/>
        <v>Exceso</v>
      </c>
    </row>
    <row r="22" spans="1:9" x14ac:dyDescent="0.25">
      <c r="A22" s="19">
        <v>45658</v>
      </c>
      <c r="B22" s="15" t="s">
        <v>109</v>
      </c>
      <c r="C22" s="15" t="s">
        <v>33</v>
      </c>
      <c r="D22" s="15" t="s">
        <v>10</v>
      </c>
      <c r="E22" s="17">
        <v>25</v>
      </c>
      <c r="F22" s="18">
        <f>IF(A22="","",SUMIFS(Movimientos!$L$9:$L$400,Movimientos!$A$9:$A$400,"&gt;="&amp;$A22,Movimientos!$A$9:$A$400,"&lt;"&amp;EDATE($A22,1),Movimientos!$F$9:$F$400,$B22,Movimientos!$G$9:$G$400,$C22,Movimientos!$D$9:$D$400,IF($D22="Ingresos","Ingreso",IF($D22="Ahorro","Ahorro","Gasto"))))</f>
        <v>30.82</v>
      </c>
      <c r="G22" s="18">
        <f t="shared" si="0"/>
        <v>5.82</v>
      </c>
      <c r="H22" s="20">
        <f t="shared" si="1"/>
        <v>1.2328000000000001</v>
      </c>
      <c r="I22" s="15" t="str">
        <f t="shared" si="2"/>
        <v>Exceso</v>
      </c>
    </row>
    <row r="23" spans="1:9" x14ac:dyDescent="0.25">
      <c r="A23" s="19">
        <v>45658</v>
      </c>
      <c r="B23" s="15" t="s">
        <v>111</v>
      </c>
      <c r="C23" s="15" t="s">
        <v>35</v>
      </c>
      <c r="D23" s="15" t="s">
        <v>10</v>
      </c>
      <c r="E23" s="17">
        <v>40</v>
      </c>
      <c r="F23" s="18">
        <f>IF(A23="","",SUMIFS(Movimientos!$L$9:$L$400,Movimientos!$A$9:$A$400,"&gt;="&amp;$A23,Movimientos!$A$9:$A$400,"&lt;"&amp;EDATE($A23,1),Movimientos!$F$9:$F$400,$B23,Movimientos!$G$9:$G$400,$C23,Movimientos!$D$9:$D$400,IF($D23="Ingresos","Ingreso",IF($D23="Ahorro","Ahorro","Gasto"))))</f>
        <v>47.93</v>
      </c>
      <c r="G23" s="18">
        <f t="shared" si="0"/>
        <v>7.93</v>
      </c>
      <c r="H23" s="20">
        <f t="shared" si="1"/>
        <v>1.19825</v>
      </c>
      <c r="I23" s="15" t="str">
        <f t="shared" si="2"/>
        <v>Exceso</v>
      </c>
    </row>
    <row r="24" spans="1:9" x14ac:dyDescent="0.25">
      <c r="A24" s="19">
        <v>45658</v>
      </c>
      <c r="B24" s="15" t="s">
        <v>114</v>
      </c>
      <c r="C24" s="15" t="s">
        <v>41</v>
      </c>
      <c r="D24" s="15" t="s">
        <v>30</v>
      </c>
      <c r="E24" s="17">
        <v>250</v>
      </c>
      <c r="F24" s="18">
        <f>IF(A24="","",SUMIFS(Movimientos!$L$9:$L$400,Movimientos!$A$9:$A$400,"&gt;="&amp;$A24,Movimientos!$A$9:$A$400,"&lt;"&amp;EDATE($A24,1),Movimientos!$F$9:$F$400,$B24,Movimientos!$G$9:$G$400,$C24,Movimientos!$D$9:$D$400,IF($D24="Ingresos","Ingreso",IF($D24="Ahorro","Ahorro","Gasto"))))</f>
        <v>242.23</v>
      </c>
      <c r="G24" s="18">
        <f t="shared" si="0"/>
        <v>-7.7700000000000102</v>
      </c>
      <c r="H24" s="20">
        <f t="shared" si="1"/>
        <v>0.96892</v>
      </c>
      <c r="I24" s="15" t="str">
        <f t="shared" si="2"/>
        <v>Casi</v>
      </c>
    </row>
    <row r="25" spans="1:9" x14ac:dyDescent="0.25">
      <c r="A25" s="19">
        <v>45658</v>
      </c>
      <c r="B25" s="15" t="s">
        <v>116</v>
      </c>
      <c r="C25" s="15" t="s">
        <v>41</v>
      </c>
      <c r="D25" s="15" t="s">
        <v>30</v>
      </c>
      <c r="E25" s="17">
        <v>60</v>
      </c>
      <c r="F25" s="18">
        <f>IF(A25="","",SUMIFS(Movimientos!$L$9:$L$400,Movimientos!$A$9:$A$400,"&gt;="&amp;$A25,Movimientos!$A$9:$A$400,"&lt;"&amp;EDATE($A25,1),Movimientos!$F$9:$F$400,$B25,Movimientos!$G$9:$G$400,$C25,Movimientos!$D$9:$D$400,IF($D25="Ingresos","Ingreso",IF($D25="Ahorro","Ahorro","Gasto"))))</f>
        <v>53.17</v>
      </c>
      <c r="G25" s="18">
        <f t="shared" si="0"/>
        <v>-6.8299999999999983</v>
      </c>
      <c r="H25" s="20">
        <f t="shared" si="1"/>
        <v>0.88616666666666666</v>
      </c>
      <c r="I25" s="15" t="str">
        <f t="shared" si="2"/>
        <v>Bajo</v>
      </c>
    </row>
    <row r="26" spans="1:9" x14ac:dyDescent="0.25">
      <c r="A26" s="19">
        <v>45689</v>
      </c>
      <c r="B26" s="15" t="s">
        <v>73</v>
      </c>
      <c r="C26" s="15" t="s">
        <v>74</v>
      </c>
      <c r="D26" s="15" t="s">
        <v>37</v>
      </c>
      <c r="E26" s="17">
        <v>2450</v>
      </c>
      <c r="F26" s="18">
        <f>IF(A26="","",SUMIFS(Movimientos!$L$9:$L$400,Movimientos!$A$9:$A$400,"&gt;="&amp;$A26,Movimientos!$A$9:$A$400,"&lt;"&amp;EDATE($A26,1),Movimientos!$F$9:$F$400,$B26,Movimientos!$G$9:$G$400,$C26,Movimientos!$D$9:$D$400,IF($D26="Ingresos","Ingreso",IF($D26="Ahorro","Ahorro","Gasto"))))</f>
        <v>2453.9</v>
      </c>
      <c r="G26" s="18">
        <f t="shared" si="0"/>
        <v>3.9000000000000909</v>
      </c>
      <c r="H26" s="20">
        <f t="shared" si="1"/>
        <v>1.0015918367346939</v>
      </c>
      <c r="I26" s="15" t="str">
        <f t="shared" si="2"/>
        <v>Bien</v>
      </c>
    </row>
    <row r="27" spans="1:9" x14ac:dyDescent="0.25">
      <c r="A27" s="19">
        <v>45689</v>
      </c>
      <c r="B27" s="15" t="s">
        <v>118</v>
      </c>
      <c r="C27" s="15" t="s">
        <v>119</v>
      </c>
      <c r="D27" s="15" t="s">
        <v>37</v>
      </c>
      <c r="E27" s="17">
        <v>150</v>
      </c>
      <c r="F27" s="18">
        <f>IF(A27="","",SUMIFS(Movimientos!$L$9:$L$400,Movimientos!$A$9:$A$400,"&gt;="&amp;$A27,Movimientos!$A$9:$A$400,"&lt;"&amp;EDATE($A27,1),Movimientos!$F$9:$F$400,$B27,Movimientos!$G$9:$G$400,$C27,Movimientos!$D$9:$D$400,IF($D27="Ingresos","Ingreso",IF($D27="Ahorro","Ahorro","Gasto"))))</f>
        <v>111.86</v>
      </c>
      <c r="G27" s="18">
        <f t="shared" si="0"/>
        <v>-38.14</v>
      </c>
      <c r="H27" s="20">
        <f t="shared" si="1"/>
        <v>0.74573333333333336</v>
      </c>
      <c r="I27" s="15" t="str">
        <f t="shared" si="2"/>
        <v>Bajo</v>
      </c>
    </row>
    <row r="28" spans="1:9" x14ac:dyDescent="0.25">
      <c r="A28" s="19">
        <v>45689</v>
      </c>
      <c r="B28" s="15" t="s">
        <v>81</v>
      </c>
      <c r="C28" s="15" t="s">
        <v>28</v>
      </c>
      <c r="D28" s="15" t="s">
        <v>9</v>
      </c>
      <c r="E28" s="17">
        <v>980</v>
      </c>
      <c r="F28" s="18">
        <f>IF(A28="","",SUMIFS(Movimientos!$L$9:$L$400,Movimientos!$A$9:$A$400,"&gt;="&amp;$A28,Movimientos!$A$9:$A$400,"&lt;"&amp;EDATE($A28,1),Movimientos!$F$9:$F$400,$B28,Movimientos!$G$9:$G$400,$C28,Movimientos!$D$9:$D$400,IF($D28="Ingresos","Ingreso",IF($D28="Ahorro","Ahorro","Gasto"))))</f>
        <v>980</v>
      </c>
      <c r="G28" s="18">
        <f t="shared" si="0"/>
        <v>0</v>
      </c>
      <c r="H28" s="20">
        <f t="shared" si="1"/>
        <v>1</v>
      </c>
      <c r="I28" s="15" t="str">
        <f t="shared" si="2"/>
        <v>Bien</v>
      </c>
    </row>
    <row r="29" spans="1:9" x14ac:dyDescent="0.25">
      <c r="A29" s="19">
        <v>45689</v>
      </c>
      <c r="B29" s="15" t="s">
        <v>91</v>
      </c>
      <c r="C29" s="15" t="s">
        <v>28</v>
      </c>
      <c r="D29" s="15" t="s">
        <v>9</v>
      </c>
      <c r="E29" s="17">
        <v>36</v>
      </c>
      <c r="F29" s="18">
        <f>IF(A29="","",SUMIFS(Movimientos!$L$9:$L$400,Movimientos!$A$9:$A$400,"&gt;="&amp;$A29,Movimientos!$A$9:$A$400,"&lt;"&amp;EDATE($A29,1),Movimientos!$F$9:$F$400,$B29,Movimientos!$G$9:$G$400,$C29,Movimientos!$D$9:$D$400,IF($D29="Ingresos","Ingreso",IF($D29="Ahorro","Ahorro","Gasto"))))</f>
        <v>34.17</v>
      </c>
      <c r="G29" s="18">
        <f t="shared" si="0"/>
        <v>-1.8299999999999983</v>
      </c>
      <c r="H29" s="20">
        <f t="shared" si="1"/>
        <v>0.94916666666666671</v>
      </c>
      <c r="I29" s="15" t="str">
        <f t="shared" si="2"/>
        <v>Bien</v>
      </c>
    </row>
    <row r="30" spans="1:9" x14ac:dyDescent="0.25">
      <c r="A30" s="19">
        <v>45689</v>
      </c>
      <c r="B30" s="15" t="s">
        <v>94</v>
      </c>
      <c r="C30" s="15" t="s">
        <v>28</v>
      </c>
      <c r="D30" s="15" t="s">
        <v>9</v>
      </c>
      <c r="E30" s="17">
        <v>22</v>
      </c>
      <c r="F30" s="18">
        <f>IF(A30="","",SUMIFS(Movimientos!$L$9:$L$400,Movimientos!$A$9:$A$400,"&gt;="&amp;$A30,Movimientos!$A$9:$A$400,"&lt;"&amp;EDATE($A30,1),Movimientos!$F$9:$F$400,$B30,Movimientos!$G$9:$G$400,$C30,Movimientos!$D$9:$D$400,IF($D30="Ingresos","Ingreso",IF($D30="Ahorro","Ahorro","Gasto"))))</f>
        <v>21.04</v>
      </c>
      <c r="G30" s="18">
        <f t="shared" si="0"/>
        <v>-0.96000000000000085</v>
      </c>
      <c r="H30" s="20">
        <f t="shared" si="1"/>
        <v>0.9563636363636363</v>
      </c>
      <c r="I30" s="15" t="str">
        <f t="shared" si="2"/>
        <v>Bien</v>
      </c>
    </row>
    <row r="31" spans="1:9" x14ac:dyDescent="0.25">
      <c r="A31" s="19">
        <v>45689</v>
      </c>
      <c r="B31" s="15" t="s">
        <v>96</v>
      </c>
      <c r="C31" s="15" t="s">
        <v>28</v>
      </c>
      <c r="D31" s="15" t="s">
        <v>9</v>
      </c>
      <c r="E31" s="17">
        <v>35</v>
      </c>
      <c r="F31" s="18">
        <f>IF(A31="","",SUMIFS(Movimientos!$L$9:$L$400,Movimientos!$A$9:$A$400,"&gt;="&amp;$A31,Movimientos!$A$9:$A$400,"&lt;"&amp;EDATE($A31,1),Movimientos!$F$9:$F$400,$B31,Movimientos!$G$9:$G$400,$C31,Movimientos!$D$9:$D$400,IF($D31="Ingresos","Ingreso",IF($D31="Ahorro","Ahorro","Gasto"))))</f>
        <v>35</v>
      </c>
      <c r="G31" s="18">
        <f t="shared" si="0"/>
        <v>0</v>
      </c>
      <c r="H31" s="20">
        <f t="shared" si="1"/>
        <v>1</v>
      </c>
      <c r="I31" s="15" t="str">
        <f t="shared" si="2"/>
        <v>Bien</v>
      </c>
    </row>
    <row r="32" spans="1:9" x14ac:dyDescent="0.25">
      <c r="A32" s="19">
        <v>45689</v>
      </c>
      <c r="B32" s="15" t="s">
        <v>100</v>
      </c>
      <c r="C32" s="15" t="s">
        <v>39</v>
      </c>
      <c r="D32" s="15" t="s">
        <v>9</v>
      </c>
      <c r="E32" s="17">
        <v>24</v>
      </c>
      <c r="F32" s="18">
        <f>IF(A32="","",SUMIFS(Movimientos!$L$9:$L$400,Movimientos!$A$9:$A$400,"&gt;="&amp;$A32,Movimientos!$A$9:$A$400,"&lt;"&amp;EDATE($A32,1),Movimientos!$F$9:$F$400,$B32,Movimientos!$G$9:$G$400,$C32,Movimientos!$D$9:$D$400,IF($D32="Ingresos","Ingreso",IF($D32="Ahorro","Ahorro","Gasto"))))</f>
        <v>24</v>
      </c>
      <c r="G32" s="18">
        <f t="shared" si="0"/>
        <v>0</v>
      </c>
      <c r="H32" s="20">
        <f t="shared" si="1"/>
        <v>1</v>
      </c>
      <c r="I32" s="15" t="str">
        <f t="shared" si="2"/>
        <v>Bien</v>
      </c>
    </row>
    <row r="33" spans="1:9" x14ac:dyDescent="0.25">
      <c r="A33" s="19">
        <v>45689</v>
      </c>
      <c r="B33" s="15" t="s">
        <v>84</v>
      </c>
      <c r="C33" s="15" t="s">
        <v>29</v>
      </c>
      <c r="D33" s="15" t="s">
        <v>9</v>
      </c>
      <c r="E33" s="17">
        <v>330</v>
      </c>
      <c r="F33" s="18">
        <f>IF(A33="","",SUMIFS(Movimientos!$L$9:$L$400,Movimientos!$A$9:$A$400,"&gt;="&amp;$A33,Movimientos!$A$9:$A$400,"&lt;"&amp;EDATE($A33,1),Movimientos!$F$9:$F$400,$B33,Movimientos!$G$9:$G$400,$C33,Movimientos!$D$9:$D$400,IF($D33="Ingresos","Ingreso",IF($D33="Ahorro","Ahorro","Gasto"))))</f>
        <v>284.31</v>
      </c>
      <c r="G33" s="18">
        <f t="shared" si="0"/>
        <v>-45.69</v>
      </c>
      <c r="H33" s="20">
        <f t="shared" si="1"/>
        <v>0.8615454545454545</v>
      </c>
      <c r="I33" s="15" t="str">
        <f t="shared" si="2"/>
        <v>Bien</v>
      </c>
    </row>
    <row r="34" spans="1:9" x14ac:dyDescent="0.25">
      <c r="A34" s="19">
        <v>45689</v>
      </c>
      <c r="B34" s="15" t="s">
        <v>102</v>
      </c>
      <c r="C34" s="15" t="s">
        <v>29</v>
      </c>
      <c r="D34" s="15" t="s">
        <v>9</v>
      </c>
      <c r="E34" s="17">
        <v>85</v>
      </c>
      <c r="F34" s="18">
        <f>IF(A34="","",SUMIFS(Movimientos!$L$9:$L$400,Movimientos!$A$9:$A$400,"&gt;="&amp;$A34,Movimientos!$A$9:$A$400,"&lt;"&amp;EDATE($A34,1),Movimientos!$F$9:$F$400,$B34,Movimientos!$G$9:$G$400,$C34,Movimientos!$D$9:$D$400,IF($D34="Ingresos","Ingreso",IF($D34="Ahorro","Ahorro","Gasto"))))</f>
        <v>97.1</v>
      </c>
      <c r="G34" s="18">
        <f t="shared" si="0"/>
        <v>12.099999999999994</v>
      </c>
      <c r="H34" s="20">
        <f t="shared" si="1"/>
        <v>1.1423529411764706</v>
      </c>
      <c r="I34" s="15" t="str">
        <f t="shared" si="2"/>
        <v>Exceso</v>
      </c>
    </row>
    <row r="35" spans="1:9" x14ac:dyDescent="0.25">
      <c r="A35" s="19">
        <v>45689</v>
      </c>
      <c r="B35" s="15" t="s">
        <v>89</v>
      </c>
      <c r="C35" s="15" t="s">
        <v>31</v>
      </c>
      <c r="D35" s="15" t="s">
        <v>9</v>
      </c>
      <c r="E35" s="17">
        <v>42</v>
      </c>
      <c r="F35" s="18">
        <f>IF(A35="","",SUMIFS(Movimientos!$L$9:$L$400,Movimientos!$A$9:$A$400,"&gt;="&amp;$A35,Movimientos!$A$9:$A$400,"&lt;"&amp;EDATE($A35,1),Movimientos!$F$9:$F$400,$B35,Movimientos!$G$9:$G$400,$C35,Movimientos!$D$9:$D$400,IF($D35="Ingresos","Ingreso",IF($D35="Ahorro","Ahorro","Gasto"))))</f>
        <v>38.730000000000004</v>
      </c>
      <c r="G35" s="18">
        <f t="shared" si="0"/>
        <v>-3.269999999999996</v>
      </c>
      <c r="H35" s="20">
        <f t="shared" si="1"/>
        <v>0.92214285714285726</v>
      </c>
      <c r="I35" s="15" t="str">
        <f t="shared" si="2"/>
        <v>Bien</v>
      </c>
    </row>
    <row r="36" spans="1:9" x14ac:dyDescent="0.25">
      <c r="A36" s="19">
        <v>45689</v>
      </c>
      <c r="B36" s="15" t="s">
        <v>122</v>
      </c>
      <c r="C36" s="15" t="s">
        <v>31</v>
      </c>
      <c r="D36" s="15" t="s">
        <v>9</v>
      </c>
      <c r="E36" s="17">
        <v>12</v>
      </c>
      <c r="F36" s="18">
        <f>IF(A36="","",SUMIFS(Movimientos!$L$9:$L$400,Movimientos!$A$9:$A$400,"&gt;="&amp;$A36,Movimientos!$A$9:$A$400,"&lt;"&amp;EDATE($A36,1),Movimientos!$F$9:$F$400,$B36,Movimientos!$G$9:$G$400,$C36,Movimientos!$D$9:$D$400,IF($D36="Ingresos","Ingreso",IF($D36="Ahorro","Ahorro","Gasto"))))</f>
        <v>9.4700000000000006</v>
      </c>
      <c r="G36" s="18">
        <f t="shared" si="0"/>
        <v>-2.5299999999999994</v>
      </c>
      <c r="H36" s="20">
        <f t="shared" si="1"/>
        <v>0.78916666666666668</v>
      </c>
      <c r="I36" s="15" t="str">
        <f t="shared" si="2"/>
        <v>Bien</v>
      </c>
    </row>
    <row r="37" spans="1:9" x14ac:dyDescent="0.25">
      <c r="A37" s="19">
        <v>45689</v>
      </c>
      <c r="B37" s="15" t="s">
        <v>105</v>
      </c>
      <c r="C37" s="15" t="s">
        <v>32</v>
      </c>
      <c r="D37" s="15" t="s">
        <v>9</v>
      </c>
      <c r="E37" s="17">
        <v>18</v>
      </c>
      <c r="F37" s="18">
        <f>IF(A37="","",SUMIFS(Movimientos!$L$9:$L$400,Movimientos!$A$9:$A$400,"&gt;="&amp;$A37,Movimientos!$A$9:$A$400,"&lt;"&amp;EDATE($A37,1),Movimientos!$F$9:$F$400,$B37,Movimientos!$G$9:$G$400,$C37,Movimientos!$D$9:$D$400,IF($D37="Ingresos","Ingreso",IF($D37="Ahorro","Ahorro","Gasto"))))</f>
        <v>0</v>
      </c>
      <c r="G37" s="18">
        <f t="shared" si="0"/>
        <v>-18</v>
      </c>
      <c r="H37" s="20">
        <f t="shared" si="1"/>
        <v>0</v>
      </c>
      <c r="I37" s="15" t="str">
        <f t="shared" si="2"/>
        <v>Bien</v>
      </c>
    </row>
    <row r="38" spans="1:9" x14ac:dyDescent="0.25">
      <c r="A38" s="19">
        <v>45689</v>
      </c>
      <c r="B38" s="15" t="s">
        <v>98</v>
      </c>
      <c r="C38" s="15" t="s">
        <v>32</v>
      </c>
      <c r="D38" s="15" t="s">
        <v>9</v>
      </c>
      <c r="E38" s="17">
        <v>18</v>
      </c>
      <c r="F38" s="18">
        <f>IF(A38="","",SUMIFS(Movimientos!$L$9:$L$400,Movimientos!$A$9:$A$400,"&gt;="&amp;$A38,Movimientos!$A$9:$A$400,"&lt;"&amp;EDATE($A38,1),Movimientos!$F$9:$F$400,$B38,Movimientos!$G$9:$G$400,$C38,Movimientos!$D$9:$D$400,IF($D38="Ingresos","Ingreso",IF($D38="Ahorro","Ahorro","Gasto"))))</f>
        <v>18</v>
      </c>
      <c r="G38" s="18">
        <f t="shared" si="0"/>
        <v>0</v>
      </c>
      <c r="H38" s="20">
        <f t="shared" si="1"/>
        <v>1</v>
      </c>
      <c r="I38" s="15" t="str">
        <f t="shared" si="2"/>
        <v>Bien</v>
      </c>
    </row>
    <row r="39" spans="1:9" x14ac:dyDescent="0.25">
      <c r="A39" s="19">
        <v>45689</v>
      </c>
      <c r="B39" s="15" t="s">
        <v>107</v>
      </c>
      <c r="C39" s="15" t="s">
        <v>33</v>
      </c>
      <c r="D39" s="15" t="s">
        <v>10</v>
      </c>
      <c r="E39" s="17">
        <v>65</v>
      </c>
      <c r="F39" s="18">
        <f>IF(A39="","",SUMIFS(Movimientos!$L$9:$L$400,Movimientos!$A$9:$A$400,"&gt;="&amp;$A39,Movimientos!$A$9:$A$400,"&lt;"&amp;EDATE($A39,1),Movimientos!$F$9:$F$400,$B39,Movimientos!$G$9:$G$400,$C39,Movimientos!$D$9:$D$400,IF($D39="Ingresos","Ingreso",IF($D39="Ahorro","Ahorro","Gasto"))))</f>
        <v>57.980000000000004</v>
      </c>
      <c r="G39" s="18">
        <f t="shared" si="0"/>
        <v>-7.019999999999996</v>
      </c>
      <c r="H39" s="20">
        <f t="shared" si="1"/>
        <v>0.89200000000000002</v>
      </c>
      <c r="I39" s="15" t="str">
        <f t="shared" si="2"/>
        <v>Bien</v>
      </c>
    </row>
    <row r="40" spans="1:9" x14ac:dyDescent="0.25">
      <c r="A40" s="19">
        <v>45689</v>
      </c>
      <c r="B40" s="15" t="s">
        <v>109</v>
      </c>
      <c r="C40" s="15" t="s">
        <v>33</v>
      </c>
      <c r="D40" s="15" t="s">
        <v>10</v>
      </c>
      <c r="E40" s="17">
        <v>25</v>
      </c>
      <c r="F40" s="18">
        <f>IF(A40="","",SUMIFS(Movimientos!$L$9:$L$400,Movimientos!$A$9:$A$400,"&gt;="&amp;$A40,Movimientos!$A$9:$A$400,"&lt;"&amp;EDATE($A40,1),Movimientos!$F$9:$F$400,$B40,Movimientos!$G$9:$G$400,$C40,Movimientos!$D$9:$D$400,IF($D40="Ingresos","Ingreso",IF($D40="Ahorro","Ahorro","Gasto"))))</f>
        <v>0</v>
      </c>
      <c r="G40" s="18">
        <f t="shared" si="0"/>
        <v>-25</v>
      </c>
      <c r="H40" s="20">
        <f t="shared" si="1"/>
        <v>0</v>
      </c>
      <c r="I40" s="15" t="str">
        <f t="shared" si="2"/>
        <v>Bien</v>
      </c>
    </row>
    <row r="41" spans="1:9" x14ac:dyDescent="0.25">
      <c r="A41" s="19">
        <v>45689</v>
      </c>
      <c r="B41" s="15" t="s">
        <v>111</v>
      </c>
      <c r="C41" s="15" t="s">
        <v>35</v>
      </c>
      <c r="D41" s="15" t="s">
        <v>10</v>
      </c>
      <c r="E41" s="17">
        <v>40</v>
      </c>
      <c r="F41" s="18">
        <f>IF(A41="","",SUMIFS(Movimientos!$L$9:$L$400,Movimientos!$A$9:$A$400,"&gt;="&amp;$A41,Movimientos!$A$9:$A$400,"&lt;"&amp;EDATE($A41,1),Movimientos!$F$9:$F$400,$B41,Movimientos!$G$9:$G$400,$C41,Movimientos!$D$9:$D$400,IF($D41="Ingresos","Ingreso",IF($D41="Ahorro","Ahorro","Gasto"))))</f>
        <v>53.36</v>
      </c>
      <c r="G41" s="18">
        <f t="shared" si="0"/>
        <v>13.36</v>
      </c>
      <c r="H41" s="20">
        <f t="shared" si="1"/>
        <v>1.3340000000000001</v>
      </c>
      <c r="I41" s="15" t="str">
        <f t="shared" si="2"/>
        <v>Exceso</v>
      </c>
    </row>
    <row r="42" spans="1:9" x14ac:dyDescent="0.25">
      <c r="A42" s="19">
        <v>45689</v>
      </c>
      <c r="B42" s="15" t="s">
        <v>114</v>
      </c>
      <c r="C42" s="15" t="s">
        <v>41</v>
      </c>
      <c r="D42" s="15" t="s">
        <v>30</v>
      </c>
      <c r="E42" s="17">
        <v>250</v>
      </c>
      <c r="F42" s="18">
        <f>IF(A42="","",SUMIFS(Movimientos!$L$9:$L$400,Movimientos!$A$9:$A$400,"&gt;="&amp;$A42,Movimientos!$A$9:$A$400,"&lt;"&amp;EDATE($A42,1),Movimientos!$F$9:$F$400,$B42,Movimientos!$G$9:$G$400,$C42,Movimientos!$D$9:$D$400,IF($D42="Ingresos","Ingreso",IF($D42="Ahorro","Ahorro","Gasto"))))</f>
        <v>245.46</v>
      </c>
      <c r="G42" s="18">
        <f t="shared" si="0"/>
        <v>-4.539999999999992</v>
      </c>
      <c r="H42" s="20">
        <f t="shared" si="1"/>
        <v>0.98184000000000005</v>
      </c>
      <c r="I42" s="15" t="str">
        <f t="shared" si="2"/>
        <v>Casi</v>
      </c>
    </row>
    <row r="43" spans="1:9" x14ac:dyDescent="0.25">
      <c r="A43" s="19">
        <v>45689</v>
      </c>
      <c r="B43" s="15" t="s">
        <v>116</v>
      </c>
      <c r="C43" s="15" t="s">
        <v>41</v>
      </c>
      <c r="D43" s="15" t="s">
        <v>30</v>
      </c>
      <c r="E43" s="17">
        <v>60</v>
      </c>
      <c r="F43" s="18">
        <f>IF(A43="","",SUMIFS(Movimientos!$L$9:$L$400,Movimientos!$A$9:$A$400,"&gt;="&amp;$A43,Movimientos!$A$9:$A$400,"&lt;"&amp;EDATE($A43,1),Movimientos!$F$9:$F$400,$B43,Movimientos!$G$9:$G$400,$C43,Movimientos!$D$9:$D$400,IF($D43="Ingresos","Ingreso",IF($D43="Ahorro","Ahorro","Gasto"))))</f>
        <v>53.03</v>
      </c>
      <c r="G43" s="18">
        <f t="shared" si="0"/>
        <v>-6.9699999999999989</v>
      </c>
      <c r="H43" s="20">
        <f t="shared" si="1"/>
        <v>0.88383333333333336</v>
      </c>
      <c r="I43" s="15" t="str">
        <f t="shared" si="2"/>
        <v>Bajo</v>
      </c>
    </row>
    <row r="44" spans="1:9" x14ac:dyDescent="0.25">
      <c r="A44" s="19">
        <v>45717</v>
      </c>
      <c r="B44" s="15" t="s">
        <v>73</v>
      </c>
      <c r="C44" s="15" t="s">
        <v>74</v>
      </c>
      <c r="D44" s="15" t="s">
        <v>37</v>
      </c>
      <c r="E44" s="17">
        <v>2450</v>
      </c>
      <c r="F44" s="18">
        <f>IF(A44="","",SUMIFS(Movimientos!$L$9:$L$400,Movimientos!$A$9:$A$400,"&gt;="&amp;$A44,Movimientos!$A$9:$A$400,"&lt;"&amp;EDATE($A44,1),Movimientos!$F$9:$F$400,$B44,Movimientos!$G$9:$G$400,$C44,Movimientos!$D$9:$D$400,IF($D44="Ingresos","Ingreso",IF($D44="Ahorro","Ahorro","Gasto"))))</f>
        <v>2418.69</v>
      </c>
      <c r="G44" s="18">
        <f t="shared" si="0"/>
        <v>-31.309999999999945</v>
      </c>
      <c r="H44" s="20">
        <f t="shared" si="1"/>
        <v>0.98722040816326528</v>
      </c>
      <c r="I44" s="15" t="str">
        <f t="shared" si="2"/>
        <v>Casi</v>
      </c>
    </row>
    <row r="45" spans="1:9" x14ac:dyDescent="0.25">
      <c r="A45" s="19">
        <v>45717</v>
      </c>
      <c r="B45" s="15" t="s">
        <v>118</v>
      </c>
      <c r="C45" s="15" t="s">
        <v>119</v>
      </c>
      <c r="D45" s="15" t="s">
        <v>37</v>
      </c>
      <c r="E45" s="17">
        <v>0</v>
      </c>
      <c r="F45" s="18">
        <f>IF(A45="","",SUMIFS(Movimientos!$L$9:$L$400,Movimientos!$A$9:$A$400,"&gt;="&amp;$A45,Movimientos!$A$9:$A$400,"&lt;"&amp;EDATE($A45,1),Movimientos!$F$9:$F$400,$B45,Movimientos!$G$9:$G$400,$C45,Movimientos!$D$9:$D$400,IF($D45="Ingresos","Ingreso",IF($D45="Ahorro","Ahorro","Gasto"))))</f>
        <v>0</v>
      </c>
      <c r="G45" s="18">
        <f t="shared" si="0"/>
        <v>0</v>
      </c>
      <c r="H45" s="20" t="str">
        <f t="shared" si="1"/>
        <v/>
      </c>
      <c r="I45" s="15" t="str">
        <f t="shared" si="2"/>
        <v>Bien</v>
      </c>
    </row>
    <row r="46" spans="1:9" x14ac:dyDescent="0.25">
      <c r="A46" s="19">
        <v>45717</v>
      </c>
      <c r="B46" s="15" t="s">
        <v>81</v>
      </c>
      <c r="C46" s="15" t="s">
        <v>28</v>
      </c>
      <c r="D46" s="15" t="s">
        <v>9</v>
      </c>
      <c r="E46" s="17">
        <v>980</v>
      </c>
      <c r="F46" s="18">
        <f>IF(A46="","",SUMIFS(Movimientos!$L$9:$L$400,Movimientos!$A$9:$A$400,"&gt;="&amp;$A46,Movimientos!$A$9:$A$400,"&lt;"&amp;EDATE($A46,1),Movimientos!$F$9:$F$400,$B46,Movimientos!$G$9:$G$400,$C46,Movimientos!$D$9:$D$400,IF($D46="Ingresos","Ingreso",IF($D46="Ahorro","Ahorro","Gasto"))))</f>
        <v>980</v>
      </c>
      <c r="G46" s="18">
        <f t="shared" si="0"/>
        <v>0</v>
      </c>
      <c r="H46" s="20">
        <f t="shared" si="1"/>
        <v>1</v>
      </c>
      <c r="I46" s="15" t="str">
        <f t="shared" si="2"/>
        <v>Bien</v>
      </c>
    </row>
    <row r="47" spans="1:9" x14ac:dyDescent="0.25">
      <c r="A47" s="19">
        <v>45717</v>
      </c>
      <c r="B47" s="15" t="s">
        <v>91</v>
      </c>
      <c r="C47" s="15" t="s">
        <v>28</v>
      </c>
      <c r="D47" s="15" t="s">
        <v>9</v>
      </c>
      <c r="E47" s="17">
        <v>34</v>
      </c>
      <c r="F47" s="18">
        <f>IF(A47="","",SUMIFS(Movimientos!$L$9:$L$400,Movimientos!$A$9:$A$400,"&gt;="&amp;$A47,Movimientos!$A$9:$A$400,"&lt;"&amp;EDATE($A47,1),Movimientos!$F$9:$F$400,$B47,Movimientos!$G$9:$G$400,$C47,Movimientos!$D$9:$D$400,IF($D47="Ingresos","Ingreso",IF($D47="Ahorro","Ahorro","Gasto"))))</f>
        <v>39.340000000000003</v>
      </c>
      <c r="G47" s="18">
        <f t="shared" si="0"/>
        <v>5.3400000000000034</v>
      </c>
      <c r="H47" s="20">
        <f t="shared" si="1"/>
        <v>1.1570588235294119</v>
      </c>
      <c r="I47" s="15" t="str">
        <f t="shared" si="2"/>
        <v>Exceso</v>
      </c>
    </row>
    <row r="48" spans="1:9" x14ac:dyDescent="0.25">
      <c r="A48" s="19">
        <v>45717</v>
      </c>
      <c r="B48" s="15" t="s">
        <v>94</v>
      </c>
      <c r="C48" s="15" t="s">
        <v>28</v>
      </c>
      <c r="D48" s="15" t="s">
        <v>9</v>
      </c>
      <c r="E48" s="17">
        <v>22</v>
      </c>
      <c r="F48" s="18">
        <f>IF(A48="","",SUMIFS(Movimientos!$L$9:$L$400,Movimientos!$A$9:$A$400,"&gt;="&amp;$A48,Movimientos!$A$9:$A$400,"&lt;"&amp;EDATE($A48,1),Movimientos!$F$9:$F$400,$B48,Movimientos!$G$9:$G$400,$C48,Movimientos!$D$9:$D$400,IF($D48="Ingresos","Ingreso",IF($D48="Ahorro","Ahorro","Gasto"))))</f>
        <v>22.91</v>
      </c>
      <c r="G48" s="18">
        <f t="shared" si="0"/>
        <v>0.91000000000000014</v>
      </c>
      <c r="H48" s="20">
        <f t="shared" si="1"/>
        <v>1.0413636363636363</v>
      </c>
      <c r="I48" s="15" t="str">
        <f t="shared" si="2"/>
        <v>Vigilar</v>
      </c>
    </row>
    <row r="49" spans="1:9" x14ac:dyDescent="0.25">
      <c r="A49" s="19">
        <v>45717</v>
      </c>
      <c r="B49" s="15" t="s">
        <v>96</v>
      </c>
      <c r="C49" s="15" t="s">
        <v>28</v>
      </c>
      <c r="D49" s="15" t="s">
        <v>9</v>
      </c>
      <c r="E49" s="17">
        <v>35</v>
      </c>
      <c r="F49" s="18">
        <f>IF(A49="","",SUMIFS(Movimientos!$L$9:$L$400,Movimientos!$A$9:$A$400,"&gt;="&amp;$A49,Movimientos!$A$9:$A$400,"&lt;"&amp;EDATE($A49,1),Movimientos!$F$9:$F$400,$B49,Movimientos!$G$9:$G$400,$C49,Movimientos!$D$9:$D$400,IF($D49="Ingresos","Ingreso",IF($D49="Ahorro","Ahorro","Gasto"))))</f>
        <v>35</v>
      </c>
      <c r="G49" s="18">
        <f t="shared" si="0"/>
        <v>0</v>
      </c>
      <c r="H49" s="20">
        <f t="shared" si="1"/>
        <v>1</v>
      </c>
      <c r="I49" s="15" t="str">
        <f t="shared" si="2"/>
        <v>Bien</v>
      </c>
    </row>
    <row r="50" spans="1:9" x14ac:dyDescent="0.25">
      <c r="A50" s="19">
        <v>45717</v>
      </c>
      <c r="B50" s="15" t="s">
        <v>100</v>
      </c>
      <c r="C50" s="15" t="s">
        <v>39</v>
      </c>
      <c r="D50" s="15" t="s">
        <v>9</v>
      </c>
      <c r="E50" s="17">
        <v>24</v>
      </c>
      <c r="F50" s="18">
        <f>IF(A50="","",SUMIFS(Movimientos!$L$9:$L$400,Movimientos!$A$9:$A$400,"&gt;="&amp;$A50,Movimientos!$A$9:$A$400,"&lt;"&amp;EDATE($A50,1),Movimientos!$F$9:$F$400,$B50,Movimientos!$G$9:$G$400,$C50,Movimientos!$D$9:$D$400,IF($D50="Ingresos","Ingreso",IF($D50="Ahorro","Ahorro","Gasto"))))</f>
        <v>24</v>
      </c>
      <c r="G50" s="18">
        <f t="shared" si="0"/>
        <v>0</v>
      </c>
      <c r="H50" s="20">
        <f t="shared" si="1"/>
        <v>1</v>
      </c>
      <c r="I50" s="15" t="str">
        <f t="shared" si="2"/>
        <v>Bien</v>
      </c>
    </row>
    <row r="51" spans="1:9" x14ac:dyDescent="0.25">
      <c r="A51" s="19">
        <v>45717</v>
      </c>
      <c r="B51" s="15" t="s">
        <v>84</v>
      </c>
      <c r="C51" s="15" t="s">
        <v>29</v>
      </c>
      <c r="D51" s="15" t="s">
        <v>9</v>
      </c>
      <c r="E51" s="17">
        <v>330</v>
      </c>
      <c r="F51" s="18">
        <f>IF(A51="","",SUMIFS(Movimientos!$L$9:$L$400,Movimientos!$A$9:$A$400,"&gt;="&amp;$A51,Movimientos!$A$9:$A$400,"&lt;"&amp;EDATE($A51,1),Movimientos!$F$9:$F$400,$B51,Movimientos!$G$9:$G$400,$C51,Movimientos!$D$9:$D$400,IF($D51="Ingresos","Ingreso",IF($D51="Ahorro","Ahorro","Gasto"))))</f>
        <v>316.5</v>
      </c>
      <c r="G51" s="18">
        <f t="shared" si="0"/>
        <v>-13.5</v>
      </c>
      <c r="H51" s="20">
        <f t="shared" si="1"/>
        <v>0.95909090909090911</v>
      </c>
      <c r="I51" s="15" t="str">
        <f t="shared" si="2"/>
        <v>Bien</v>
      </c>
    </row>
    <row r="52" spans="1:9" x14ac:dyDescent="0.25">
      <c r="A52" s="19">
        <v>45717</v>
      </c>
      <c r="B52" s="15" t="s">
        <v>102</v>
      </c>
      <c r="C52" s="15" t="s">
        <v>29</v>
      </c>
      <c r="D52" s="15" t="s">
        <v>9</v>
      </c>
      <c r="E52" s="17">
        <v>85</v>
      </c>
      <c r="F52" s="18">
        <f>IF(A52="","",SUMIFS(Movimientos!$L$9:$L$400,Movimientos!$A$9:$A$400,"&gt;="&amp;$A52,Movimientos!$A$9:$A$400,"&lt;"&amp;EDATE($A52,1),Movimientos!$F$9:$F$400,$B52,Movimientos!$G$9:$G$400,$C52,Movimientos!$D$9:$D$400,IF($D52="Ingresos","Ingreso",IF($D52="Ahorro","Ahorro","Gasto"))))</f>
        <v>86.64</v>
      </c>
      <c r="G52" s="18">
        <f t="shared" si="0"/>
        <v>1.6400000000000006</v>
      </c>
      <c r="H52" s="20">
        <f t="shared" si="1"/>
        <v>1.0192941176470589</v>
      </c>
      <c r="I52" s="15" t="str">
        <f t="shared" si="2"/>
        <v>Vigilar</v>
      </c>
    </row>
    <row r="53" spans="1:9" x14ac:dyDescent="0.25">
      <c r="A53" s="19">
        <v>45717</v>
      </c>
      <c r="B53" s="15" t="s">
        <v>89</v>
      </c>
      <c r="C53" s="15" t="s">
        <v>31</v>
      </c>
      <c r="D53" s="15" t="s">
        <v>9</v>
      </c>
      <c r="E53" s="17">
        <v>42</v>
      </c>
      <c r="F53" s="18">
        <f>IF(A53="","",SUMIFS(Movimientos!$L$9:$L$400,Movimientos!$A$9:$A$400,"&gt;="&amp;$A53,Movimientos!$A$9:$A$400,"&lt;"&amp;EDATE($A53,1),Movimientos!$F$9:$F$400,$B53,Movimientos!$G$9:$G$400,$C53,Movimientos!$D$9:$D$400,IF($D53="Ingresos","Ingreso",IF($D53="Ahorro","Ahorro","Gasto"))))</f>
        <v>33.5</v>
      </c>
      <c r="G53" s="18">
        <f t="shared" si="0"/>
        <v>-8.5</v>
      </c>
      <c r="H53" s="20">
        <f t="shared" si="1"/>
        <v>0.79761904761904767</v>
      </c>
      <c r="I53" s="15" t="str">
        <f t="shared" si="2"/>
        <v>Bien</v>
      </c>
    </row>
    <row r="54" spans="1:9" x14ac:dyDescent="0.25">
      <c r="A54" s="19">
        <v>45717</v>
      </c>
      <c r="B54" s="15" t="s">
        <v>122</v>
      </c>
      <c r="C54" s="15" t="s">
        <v>31</v>
      </c>
      <c r="D54" s="15" t="s">
        <v>9</v>
      </c>
      <c r="E54" s="17">
        <v>12</v>
      </c>
      <c r="F54" s="18">
        <f>IF(A54="","",SUMIFS(Movimientos!$L$9:$L$400,Movimientos!$A$9:$A$400,"&gt;="&amp;$A54,Movimientos!$A$9:$A$400,"&lt;"&amp;EDATE($A54,1),Movimientos!$F$9:$F$400,$B54,Movimientos!$G$9:$G$400,$C54,Movimientos!$D$9:$D$400,IF($D54="Ingresos","Ingreso",IF($D54="Ahorro","Ahorro","Gasto"))))</f>
        <v>0</v>
      </c>
      <c r="G54" s="18">
        <f t="shared" si="0"/>
        <v>-12</v>
      </c>
      <c r="H54" s="20">
        <f t="shared" si="1"/>
        <v>0</v>
      </c>
      <c r="I54" s="15" t="str">
        <f t="shared" si="2"/>
        <v>Bien</v>
      </c>
    </row>
    <row r="55" spans="1:9" x14ac:dyDescent="0.25">
      <c r="A55" s="19">
        <v>45717</v>
      </c>
      <c r="B55" s="15" t="s">
        <v>105</v>
      </c>
      <c r="C55" s="15" t="s">
        <v>32</v>
      </c>
      <c r="D55" s="15" t="s">
        <v>9</v>
      </c>
      <c r="E55" s="17">
        <v>18</v>
      </c>
      <c r="F55" s="18">
        <f>IF(A55="","",SUMIFS(Movimientos!$L$9:$L$400,Movimientos!$A$9:$A$400,"&gt;="&amp;$A55,Movimientos!$A$9:$A$400,"&lt;"&amp;EDATE($A55,1),Movimientos!$F$9:$F$400,$B55,Movimientos!$G$9:$G$400,$C55,Movimientos!$D$9:$D$400,IF($D55="Ingresos","Ingreso",IF($D55="Ahorro","Ahorro","Gasto"))))</f>
        <v>12.28</v>
      </c>
      <c r="G55" s="18">
        <f t="shared" si="0"/>
        <v>-5.7200000000000006</v>
      </c>
      <c r="H55" s="20">
        <f t="shared" si="1"/>
        <v>0.68222222222222217</v>
      </c>
      <c r="I55" s="15" t="str">
        <f t="shared" si="2"/>
        <v>Bien</v>
      </c>
    </row>
    <row r="56" spans="1:9" x14ac:dyDescent="0.25">
      <c r="A56" s="19">
        <v>45717</v>
      </c>
      <c r="B56" s="15" t="s">
        <v>98</v>
      </c>
      <c r="C56" s="15" t="s">
        <v>32</v>
      </c>
      <c r="D56" s="15" t="s">
        <v>9</v>
      </c>
      <c r="E56" s="17">
        <v>18</v>
      </c>
      <c r="F56" s="18">
        <f>IF(A56="","",SUMIFS(Movimientos!$L$9:$L$400,Movimientos!$A$9:$A$400,"&gt;="&amp;$A56,Movimientos!$A$9:$A$400,"&lt;"&amp;EDATE($A56,1),Movimientos!$F$9:$F$400,$B56,Movimientos!$G$9:$G$400,$C56,Movimientos!$D$9:$D$400,IF($D56="Ingresos","Ingreso",IF($D56="Ahorro","Ahorro","Gasto"))))</f>
        <v>18</v>
      </c>
      <c r="G56" s="18">
        <f t="shared" si="0"/>
        <v>0</v>
      </c>
      <c r="H56" s="20">
        <f t="shared" si="1"/>
        <v>1</v>
      </c>
      <c r="I56" s="15" t="str">
        <f t="shared" si="2"/>
        <v>Bien</v>
      </c>
    </row>
    <row r="57" spans="1:9" x14ac:dyDescent="0.25">
      <c r="A57" s="19">
        <v>45717</v>
      </c>
      <c r="B57" s="15" t="s">
        <v>107</v>
      </c>
      <c r="C57" s="15" t="s">
        <v>33</v>
      </c>
      <c r="D57" s="15" t="s">
        <v>10</v>
      </c>
      <c r="E57" s="17">
        <v>65</v>
      </c>
      <c r="F57" s="18">
        <f>IF(A57="","",SUMIFS(Movimientos!$L$9:$L$400,Movimientos!$A$9:$A$400,"&gt;="&amp;$A57,Movimientos!$A$9:$A$400,"&lt;"&amp;EDATE($A57,1),Movimientos!$F$9:$F$400,$B57,Movimientos!$G$9:$G$400,$C57,Movimientos!$D$9:$D$400,IF($D57="Ingresos","Ingreso",IF($D57="Ahorro","Ahorro","Gasto"))))</f>
        <v>70.570000000000007</v>
      </c>
      <c r="G57" s="18">
        <f t="shared" si="0"/>
        <v>5.5700000000000074</v>
      </c>
      <c r="H57" s="20">
        <f t="shared" si="1"/>
        <v>1.0856923076923077</v>
      </c>
      <c r="I57" s="15" t="str">
        <f t="shared" si="2"/>
        <v>Vigilar</v>
      </c>
    </row>
    <row r="58" spans="1:9" x14ac:dyDescent="0.25">
      <c r="A58" s="19">
        <v>45717</v>
      </c>
      <c r="B58" s="15" t="s">
        <v>109</v>
      </c>
      <c r="C58" s="15" t="s">
        <v>33</v>
      </c>
      <c r="D58" s="15" t="s">
        <v>10</v>
      </c>
      <c r="E58" s="17">
        <v>25</v>
      </c>
      <c r="F58" s="18">
        <f>IF(A58="","",SUMIFS(Movimientos!$L$9:$L$400,Movimientos!$A$9:$A$400,"&gt;="&amp;$A58,Movimientos!$A$9:$A$400,"&lt;"&amp;EDATE($A58,1),Movimientos!$F$9:$F$400,$B58,Movimientos!$G$9:$G$400,$C58,Movimientos!$D$9:$D$400,IF($D58="Ingresos","Ingreso",IF($D58="Ahorro","Ahorro","Gasto"))))</f>
        <v>24.07</v>
      </c>
      <c r="G58" s="18">
        <f t="shared" si="0"/>
        <v>-0.92999999999999972</v>
      </c>
      <c r="H58" s="20">
        <f t="shared" si="1"/>
        <v>0.96279999999999999</v>
      </c>
      <c r="I58" s="15" t="str">
        <f t="shared" si="2"/>
        <v>Bien</v>
      </c>
    </row>
    <row r="59" spans="1:9" x14ac:dyDescent="0.25">
      <c r="A59" s="19">
        <v>45717</v>
      </c>
      <c r="B59" s="15" t="s">
        <v>111</v>
      </c>
      <c r="C59" s="15" t="s">
        <v>35</v>
      </c>
      <c r="D59" s="15" t="s">
        <v>10</v>
      </c>
      <c r="E59" s="17">
        <v>40</v>
      </c>
      <c r="F59" s="18">
        <f>IF(A59="","",SUMIFS(Movimientos!$L$9:$L$400,Movimientos!$A$9:$A$400,"&gt;="&amp;$A59,Movimientos!$A$9:$A$400,"&lt;"&amp;EDATE($A59,1),Movimientos!$F$9:$F$400,$B59,Movimientos!$G$9:$G$400,$C59,Movimientos!$D$9:$D$400,IF($D59="Ingresos","Ingreso",IF($D59="Ahorro","Ahorro","Gasto"))))</f>
        <v>0</v>
      </c>
      <c r="G59" s="18">
        <f t="shared" si="0"/>
        <v>-40</v>
      </c>
      <c r="H59" s="20">
        <f t="shared" si="1"/>
        <v>0</v>
      </c>
      <c r="I59" s="15" t="str">
        <f t="shared" si="2"/>
        <v>Bien</v>
      </c>
    </row>
    <row r="60" spans="1:9" x14ac:dyDescent="0.25">
      <c r="A60" s="19">
        <v>45717</v>
      </c>
      <c r="B60" s="15" t="s">
        <v>114</v>
      </c>
      <c r="C60" s="15" t="s">
        <v>41</v>
      </c>
      <c r="D60" s="15" t="s">
        <v>30</v>
      </c>
      <c r="E60" s="17">
        <v>250</v>
      </c>
      <c r="F60" s="18">
        <f>IF(A60="","",SUMIFS(Movimientos!$L$9:$L$400,Movimientos!$A$9:$A$400,"&gt;="&amp;$A60,Movimientos!$A$9:$A$400,"&lt;"&amp;EDATE($A60,1),Movimientos!$F$9:$F$400,$B60,Movimientos!$G$9:$G$400,$C60,Movimientos!$D$9:$D$400,IF($D60="Ingresos","Ingreso",IF($D60="Ahorro","Ahorro","Gasto"))))</f>
        <v>237.39</v>
      </c>
      <c r="G60" s="18">
        <f t="shared" si="0"/>
        <v>-12.610000000000014</v>
      </c>
      <c r="H60" s="20">
        <f t="shared" si="1"/>
        <v>0.94955999999999996</v>
      </c>
      <c r="I60" s="15" t="str">
        <f t="shared" si="2"/>
        <v>Casi</v>
      </c>
    </row>
    <row r="61" spans="1:9" x14ac:dyDescent="0.25">
      <c r="A61" s="19">
        <v>45717</v>
      </c>
      <c r="B61" s="15" t="s">
        <v>116</v>
      </c>
      <c r="C61" s="15" t="s">
        <v>41</v>
      </c>
      <c r="D61" s="15" t="s">
        <v>30</v>
      </c>
      <c r="E61" s="17">
        <v>60</v>
      </c>
      <c r="F61" s="18">
        <f>IF(A61="","",SUMIFS(Movimientos!$L$9:$L$400,Movimientos!$A$9:$A$400,"&gt;="&amp;$A61,Movimientos!$A$9:$A$400,"&lt;"&amp;EDATE($A61,1),Movimientos!$F$9:$F$400,$B61,Movimientos!$G$9:$G$400,$C61,Movimientos!$D$9:$D$400,IF($D61="Ingresos","Ingreso",IF($D61="Ahorro","Ahorro","Gasto"))))</f>
        <v>65.88</v>
      </c>
      <c r="G61" s="18">
        <f t="shared" si="0"/>
        <v>5.8799999999999955</v>
      </c>
      <c r="H61" s="20">
        <f t="shared" si="1"/>
        <v>1.0979999999999999</v>
      </c>
      <c r="I61" s="15" t="str">
        <f t="shared" si="2"/>
        <v>Bien</v>
      </c>
    </row>
    <row r="62" spans="1:9" x14ac:dyDescent="0.25">
      <c r="A62" s="19">
        <v>45748</v>
      </c>
      <c r="B62" s="15" t="s">
        <v>73</v>
      </c>
      <c r="C62" s="15" t="s">
        <v>74</v>
      </c>
      <c r="D62" s="15" t="s">
        <v>37</v>
      </c>
      <c r="E62" s="17">
        <v>2450</v>
      </c>
      <c r="F62" s="18">
        <f>IF(A62="","",SUMIFS(Movimientos!$L$9:$L$400,Movimientos!$A$9:$A$400,"&gt;="&amp;$A62,Movimientos!$A$9:$A$400,"&lt;"&amp;EDATE($A62,1),Movimientos!$F$9:$F$400,$B62,Movimientos!$G$9:$G$400,$C62,Movimientos!$D$9:$D$400,IF($D62="Ingresos","Ingreso",IF($D62="Ahorro","Ahorro","Gasto"))))</f>
        <v>2448.81</v>
      </c>
      <c r="G62" s="18">
        <f t="shared" si="0"/>
        <v>-1.1900000000000546</v>
      </c>
      <c r="H62" s="20">
        <f t="shared" si="1"/>
        <v>0.99951428571428569</v>
      </c>
      <c r="I62" s="15" t="str">
        <f t="shared" si="2"/>
        <v>Casi</v>
      </c>
    </row>
    <row r="63" spans="1:9" x14ac:dyDescent="0.25">
      <c r="A63" s="19">
        <v>45748</v>
      </c>
      <c r="B63" s="15" t="s">
        <v>118</v>
      </c>
      <c r="C63" s="15" t="s">
        <v>119</v>
      </c>
      <c r="D63" s="15" t="s">
        <v>37</v>
      </c>
      <c r="E63" s="17">
        <v>150</v>
      </c>
      <c r="F63" s="18">
        <f>IF(A63="","",SUMIFS(Movimientos!$L$9:$L$400,Movimientos!$A$9:$A$400,"&gt;="&amp;$A63,Movimientos!$A$9:$A$400,"&lt;"&amp;EDATE($A63,1),Movimientos!$F$9:$F$400,$B63,Movimientos!$G$9:$G$400,$C63,Movimientos!$D$9:$D$400,IF($D63="Ingresos","Ingreso",IF($D63="Ahorro","Ahorro","Gasto"))))</f>
        <v>218.26</v>
      </c>
      <c r="G63" s="18">
        <f t="shared" si="0"/>
        <v>68.259999999999991</v>
      </c>
      <c r="H63" s="20">
        <f t="shared" si="1"/>
        <v>1.4550666666666665</v>
      </c>
      <c r="I63" s="15" t="str">
        <f t="shared" si="2"/>
        <v>Bien</v>
      </c>
    </row>
    <row r="64" spans="1:9" x14ac:dyDescent="0.25">
      <c r="A64" s="19">
        <v>45748</v>
      </c>
      <c r="B64" s="15" t="s">
        <v>81</v>
      </c>
      <c r="C64" s="15" t="s">
        <v>28</v>
      </c>
      <c r="D64" s="15" t="s">
        <v>9</v>
      </c>
      <c r="E64" s="17">
        <v>980</v>
      </c>
      <c r="F64" s="18">
        <f>IF(A64="","",SUMIFS(Movimientos!$L$9:$L$400,Movimientos!$A$9:$A$400,"&gt;="&amp;$A64,Movimientos!$A$9:$A$400,"&lt;"&amp;EDATE($A64,1),Movimientos!$F$9:$F$400,$B64,Movimientos!$G$9:$G$400,$C64,Movimientos!$D$9:$D$400,IF($D64="Ingresos","Ingreso",IF($D64="Ahorro","Ahorro","Gasto"))))</f>
        <v>980</v>
      </c>
      <c r="G64" s="18">
        <f t="shared" si="0"/>
        <v>0</v>
      </c>
      <c r="H64" s="20">
        <f t="shared" si="1"/>
        <v>1</v>
      </c>
      <c r="I64" s="15" t="str">
        <f t="shared" si="2"/>
        <v>Bien</v>
      </c>
    </row>
    <row r="65" spans="1:9" x14ac:dyDescent="0.25">
      <c r="A65" s="19">
        <v>45748</v>
      </c>
      <c r="B65" s="15" t="s">
        <v>91</v>
      </c>
      <c r="C65" s="15" t="s">
        <v>28</v>
      </c>
      <c r="D65" s="15" t="s">
        <v>9</v>
      </c>
      <c r="E65" s="17">
        <v>30</v>
      </c>
      <c r="F65" s="18">
        <f>IF(A65="","",SUMIFS(Movimientos!$L$9:$L$400,Movimientos!$A$9:$A$400,"&gt;="&amp;$A65,Movimientos!$A$9:$A$400,"&lt;"&amp;EDATE($A65,1),Movimientos!$F$9:$F$400,$B65,Movimientos!$G$9:$G$400,$C65,Movimientos!$D$9:$D$400,IF($D65="Ingresos","Ingreso",IF($D65="Ahorro","Ahorro","Gasto"))))</f>
        <v>28.51</v>
      </c>
      <c r="G65" s="18">
        <f t="shared" si="0"/>
        <v>-1.4899999999999984</v>
      </c>
      <c r="H65" s="20">
        <f t="shared" si="1"/>
        <v>0.95033333333333336</v>
      </c>
      <c r="I65" s="15" t="str">
        <f t="shared" si="2"/>
        <v>Bien</v>
      </c>
    </row>
    <row r="66" spans="1:9" x14ac:dyDescent="0.25">
      <c r="A66" s="19">
        <v>45748</v>
      </c>
      <c r="B66" s="15" t="s">
        <v>94</v>
      </c>
      <c r="C66" s="15" t="s">
        <v>28</v>
      </c>
      <c r="D66" s="15" t="s">
        <v>9</v>
      </c>
      <c r="E66" s="17">
        <v>22</v>
      </c>
      <c r="F66" s="18">
        <f>IF(A66="","",SUMIFS(Movimientos!$L$9:$L$400,Movimientos!$A$9:$A$400,"&gt;="&amp;$A66,Movimientos!$A$9:$A$400,"&lt;"&amp;EDATE($A66,1),Movimientos!$F$9:$F$400,$B66,Movimientos!$G$9:$G$400,$C66,Movimientos!$D$9:$D$400,IF($D66="Ingresos","Ingreso",IF($D66="Ahorro","Ahorro","Gasto"))))</f>
        <v>25.06</v>
      </c>
      <c r="G66" s="18">
        <f t="shared" si="0"/>
        <v>3.0599999999999987</v>
      </c>
      <c r="H66" s="20">
        <f t="shared" si="1"/>
        <v>1.1390909090909089</v>
      </c>
      <c r="I66" s="15" t="str">
        <f t="shared" si="2"/>
        <v>Exceso</v>
      </c>
    </row>
    <row r="67" spans="1:9" x14ac:dyDescent="0.25">
      <c r="A67" s="19">
        <v>45748</v>
      </c>
      <c r="B67" s="15" t="s">
        <v>96</v>
      </c>
      <c r="C67" s="15" t="s">
        <v>28</v>
      </c>
      <c r="D67" s="15" t="s">
        <v>9</v>
      </c>
      <c r="E67" s="17">
        <v>35</v>
      </c>
      <c r="F67" s="18">
        <f>IF(A67="","",SUMIFS(Movimientos!$L$9:$L$400,Movimientos!$A$9:$A$400,"&gt;="&amp;$A67,Movimientos!$A$9:$A$400,"&lt;"&amp;EDATE($A67,1),Movimientos!$F$9:$F$400,$B67,Movimientos!$G$9:$G$400,$C67,Movimientos!$D$9:$D$400,IF($D67="Ingresos","Ingreso",IF($D67="Ahorro","Ahorro","Gasto"))))</f>
        <v>35</v>
      </c>
      <c r="G67" s="18">
        <f t="shared" si="0"/>
        <v>0</v>
      </c>
      <c r="H67" s="20">
        <f t="shared" si="1"/>
        <v>1</v>
      </c>
      <c r="I67" s="15" t="str">
        <f t="shared" si="2"/>
        <v>Bien</v>
      </c>
    </row>
    <row r="68" spans="1:9" x14ac:dyDescent="0.25">
      <c r="A68" s="19">
        <v>45748</v>
      </c>
      <c r="B68" s="15" t="s">
        <v>100</v>
      </c>
      <c r="C68" s="15" t="s">
        <v>39</v>
      </c>
      <c r="D68" s="15" t="s">
        <v>9</v>
      </c>
      <c r="E68" s="17">
        <v>24</v>
      </c>
      <c r="F68" s="18">
        <f>IF(A68="","",SUMIFS(Movimientos!$L$9:$L$400,Movimientos!$A$9:$A$400,"&gt;="&amp;$A68,Movimientos!$A$9:$A$400,"&lt;"&amp;EDATE($A68,1),Movimientos!$F$9:$F$400,$B68,Movimientos!$G$9:$G$400,$C68,Movimientos!$D$9:$D$400,IF($D68="Ingresos","Ingreso",IF($D68="Ahorro","Ahorro","Gasto"))))</f>
        <v>24</v>
      </c>
      <c r="G68" s="18">
        <f t="shared" si="0"/>
        <v>0</v>
      </c>
      <c r="H68" s="20">
        <f t="shared" si="1"/>
        <v>1</v>
      </c>
      <c r="I68" s="15" t="str">
        <f t="shared" si="2"/>
        <v>Bien</v>
      </c>
    </row>
    <row r="69" spans="1:9" x14ac:dyDescent="0.25">
      <c r="A69" s="19">
        <v>45748</v>
      </c>
      <c r="B69" s="15" t="s">
        <v>84</v>
      </c>
      <c r="C69" s="15" t="s">
        <v>29</v>
      </c>
      <c r="D69" s="15" t="s">
        <v>9</v>
      </c>
      <c r="E69" s="17">
        <v>330</v>
      </c>
      <c r="F69" s="18">
        <f>IF(A69="","",SUMIFS(Movimientos!$L$9:$L$400,Movimientos!$A$9:$A$400,"&gt;="&amp;$A69,Movimientos!$A$9:$A$400,"&lt;"&amp;EDATE($A69,1),Movimientos!$F$9:$F$400,$B69,Movimientos!$G$9:$G$400,$C69,Movimientos!$D$9:$D$400,IF($D69="Ingresos","Ingreso",IF($D69="Ahorro","Ahorro","Gasto"))))</f>
        <v>340.26</v>
      </c>
      <c r="G69" s="18">
        <f t="shared" si="0"/>
        <v>10.259999999999991</v>
      </c>
      <c r="H69" s="20">
        <f t="shared" si="1"/>
        <v>1.0310909090909091</v>
      </c>
      <c r="I69" s="15" t="str">
        <f t="shared" si="2"/>
        <v>Vigilar</v>
      </c>
    </row>
    <row r="70" spans="1:9" x14ac:dyDescent="0.25">
      <c r="A70" s="19">
        <v>45748</v>
      </c>
      <c r="B70" s="15" t="s">
        <v>102</v>
      </c>
      <c r="C70" s="15" t="s">
        <v>29</v>
      </c>
      <c r="D70" s="15" t="s">
        <v>9</v>
      </c>
      <c r="E70" s="17">
        <v>85</v>
      </c>
      <c r="F70" s="18">
        <f>IF(A70="","",SUMIFS(Movimientos!$L$9:$L$400,Movimientos!$A$9:$A$400,"&gt;="&amp;$A70,Movimientos!$A$9:$A$400,"&lt;"&amp;EDATE($A70,1),Movimientos!$F$9:$F$400,$B70,Movimientos!$G$9:$G$400,$C70,Movimientos!$D$9:$D$400,IF($D70="Ingresos","Ingreso",IF($D70="Ahorro","Ahorro","Gasto"))))</f>
        <v>83.6</v>
      </c>
      <c r="G70" s="18">
        <f t="shared" si="0"/>
        <v>-1.4000000000000057</v>
      </c>
      <c r="H70" s="20">
        <f t="shared" si="1"/>
        <v>0.98352941176470576</v>
      </c>
      <c r="I70" s="15" t="str">
        <f t="shared" si="2"/>
        <v>Bien</v>
      </c>
    </row>
    <row r="71" spans="1:9" x14ac:dyDescent="0.25">
      <c r="A71" s="19">
        <v>45748</v>
      </c>
      <c r="B71" s="15" t="s">
        <v>89</v>
      </c>
      <c r="C71" s="15" t="s">
        <v>31</v>
      </c>
      <c r="D71" s="15" t="s">
        <v>9</v>
      </c>
      <c r="E71" s="17">
        <v>42</v>
      </c>
      <c r="F71" s="18">
        <f>IF(A71="","",SUMIFS(Movimientos!$L$9:$L$400,Movimientos!$A$9:$A$400,"&gt;="&amp;$A71,Movimientos!$A$9:$A$400,"&lt;"&amp;EDATE($A71,1),Movimientos!$F$9:$F$400,$B71,Movimientos!$G$9:$G$400,$C71,Movimientos!$D$9:$D$400,IF($D71="Ingresos","Ingreso",IF($D71="Ahorro","Ahorro","Gasto"))))</f>
        <v>42.33</v>
      </c>
      <c r="G71" s="18">
        <f t="shared" si="0"/>
        <v>0.32999999999999829</v>
      </c>
      <c r="H71" s="20">
        <f t="shared" si="1"/>
        <v>1.0078571428571428</v>
      </c>
      <c r="I71" s="15" t="str">
        <f t="shared" si="2"/>
        <v>Vigilar</v>
      </c>
    </row>
    <row r="72" spans="1:9" x14ac:dyDescent="0.25">
      <c r="A72" s="19">
        <v>45748</v>
      </c>
      <c r="B72" s="15" t="s">
        <v>122</v>
      </c>
      <c r="C72" s="15" t="s">
        <v>31</v>
      </c>
      <c r="D72" s="15" t="s">
        <v>9</v>
      </c>
      <c r="E72" s="17">
        <v>12</v>
      </c>
      <c r="F72" s="18">
        <f>IF(A72="","",SUMIFS(Movimientos!$L$9:$L$400,Movimientos!$A$9:$A$400,"&gt;="&amp;$A72,Movimientos!$A$9:$A$400,"&lt;"&amp;EDATE($A72,1),Movimientos!$F$9:$F$400,$B72,Movimientos!$G$9:$G$400,$C72,Movimientos!$D$9:$D$400,IF($D72="Ingresos","Ingreso",IF($D72="Ahorro","Ahorro","Gasto"))))</f>
        <v>9.02</v>
      </c>
      <c r="G72" s="18">
        <f t="shared" ref="G72:G135" si="3">IF(E72="","",F72-E72)</f>
        <v>-2.9800000000000004</v>
      </c>
      <c r="H72" s="20">
        <f t="shared" ref="H72:H135" si="4">IF(E72=0,"",F72/E72)</f>
        <v>0.75166666666666659</v>
      </c>
      <c r="I72" s="15" t="str">
        <f t="shared" ref="I72:I135" si="5">IF(E72="","",IF($D72="Ingresos",IF(H72&gt;=1,"Bien",IF(H72&gt;=0.95,"Casi","Bajo")),IF($D72="Ahorro",IF(H72&gt;=1,"Bien",IF(H72&gt;=0.9,"Casi","Bajo")),IF(H72&lt;=1,"Bien",IF(H72&lt;=1.1,"Vigilar","Exceso")))))</f>
        <v>Bien</v>
      </c>
    </row>
    <row r="73" spans="1:9" x14ac:dyDescent="0.25">
      <c r="A73" s="19">
        <v>45748</v>
      </c>
      <c r="B73" s="15" t="s">
        <v>105</v>
      </c>
      <c r="C73" s="15" t="s">
        <v>32</v>
      </c>
      <c r="D73" s="15" t="s">
        <v>9</v>
      </c>
      <c r="E73" s="17">
        <v>18</v>
      </c>
      <c r="F73" s="18">
        <f>IF(A73="","",SUMIFS(Movimientos!$L$9:$L$400,Movimientos!$A$9:$A$400,"&gt;="&amp;$A73,Movimientos!$A$9:$A$400,"&lt;"&amp;EDATE($A73,1),Movimientos!$F$9:$F$400,$B73,Movimientos!$G$9:$G$400,$C73,Movimientos!$D$9:$D$400,IF($D73="Ingresos","Ingreso",IF($D73="Ahorro","Ahorro","Gasto"))))</f>
        <v>0</v>
      </c>
      <c r="G73" s="18">
        <f t="shared" si="3"/>
        <v>-18</v>
      </c>
      <c r="H73" s="20">
        <f t="shared" si="4"/>
        <v>0</v>
      </c>
      <c r="I73" s="15" t="str">
        <f t="shared" si="5"/>
        <v>Bien</v>
      </c>
    </row>
    <row r="74" spans="1:9" x14ac:dyDescent="0.25">
      <c r="A74" s="19">
        <v>45748</v>
      </c>
      <c r="B74" s="15" t="s">
        <v>98</v>
      </c>
      <c r="C74" s="15" t="s">
        <v>32</v>
      </c>
      <c r="D74" s="15" t="s">
        <v>9</v>
      </c>
      <c r="E74" s="17">
        <v>18</v>
      </c>
      <c r="F74" s="18">
        <f>IF(A74="","",SUMIFS(Movimientos!$L$9:$L$400,Movimientos!$A$9:$A$400,"&gt;="&amp;$A74,Movimientos!$A$9:$A$400,"&lt;"&amp;EDATE($A74,1),Movimientos!$F$9:$F$400,$B74,Movimientos!$G$9:$G$400,$C74,Movimientos!$D$9:$D$400,IF($D74="Ingresos","Ingreso",IF($D74="Ahorro","Ahorro","Gasto"))))</f>
        <v>18</v>
      </c>
      <c r="G74" s="18">
        <f t="shared" si="3"/>
        <v>0</v>
      </c>
      <c r="H74" s="20">
        <f t="shared" si="4"/>
        <v>1</v>
      </c>
      <c r="I74" s="15" t="str">
        <f t="shared" si="5"/>
        <v>Bien</v>
      </c>
    </row>
    <row r="75" spans="1:9" x14ac:dyDescent="0.25">
      <c r="A75" s="19">
        <v>45748</v>
      </c>
      <c r="B75" s="15" t="s">
        <v>107</v>
      </c>
      <c r="C75" s="15" t="s">
        <v>33</v>
      </c>
      <c r="D75" s="15" t="s">
        <v>10</v>
      </c>
      <c r="E75" s="17">
        <v>65</v>
      </c>
      <c r="F75" s="18">
        <f>IF(A75="","",SUMIFS(Movimientos!$L$9:$L$400,Movimientos!$A$9:$A$400,"&gt;="&amp;$A75,Movimientos!$A$9:$A$400,"&lt;"&amp;EDATE($A75,1),Movimientos!$F$9:$F$400,$B75,Movimientos!$G$9:$G$400,$C75,Movimientos!$D$9:$D$400,IF($D75="Ingresos","Ingreso",IF($D75="Ahorro","Ahorro","Gasto"))))</f>
        <v>74.320000000000007</v>
      </c>
      <c r="G75" s="18">
        <f t="shared" si="3"/>
        <v>9.3200000000000074</v>
      </c>
      <c r="H75" s="20">
        <f t="shared" si="4"/>
        <v>1.1433846153846154</v>
      </c>
      <c r="I75" s="15" t="str">
        <f t="shared" si="5"/>
        <v>Exceso</v>
      </c>
    </row>
    <row r="76" spans="1:9" x14ac:dyDescent="0.25">
      <c r="A76" s="19">
        <v>45748</v>
      </c>
      <c r="B76" s="15" t="s">
        <v>109</v>
      </c>
      <c r="C76" s="15" t="s">
        <v>33</v>
      </c>
      <c r="D76" s="15" t="s">
        <v>10</v>
      </c>
      <c r="E76" s="17">
        <v>25</v>
      </c>
      <c r="F76" s="18">
        <f>IF(A76="","",SUMIFS(Movimientos!$L$9:$L$400,Movimientos!$A$9:$A$400,"&gt;="&amp;$A76,Movimientos!$A$9:$A$400,"&lt;"&amp;EDATE($A76,1),Movimientos!$F$9:$F$400,$B76,Movimientos!$G$9:$G$400,$C76,Movimientos!$D$9:$D$400,IF($D76="Ingresos","Ingreso",IF($D76="Ahorro","Ahorro","Gasto"))))</f>
        <v>30.64</v>
      </c>
      <c r="G76" s="18">
        <f t="shared" si="3"/>
        <v>5.6400000000000006</v>
      </c>
      <c r="H76" s="20">
        <f t="shared" si="4"/>
        <v>1.2256</v>
      </c>
      <c r="I76" s="15" t="str">
        <f t="shared" si="5"/>
        <v>Exceso</v>
      </c>
    </row>
    <row r="77" spans="1:9" x14ac:dyDescent="0.25">
      <c r="A77" s="19">
        <v>45748</v>
      </c>
      <c r="B77" s="15" t="s">
        <v>111</v>
      </c>
      <c r="C77" s="15" t="s">
        <v>35</v>
      </c>
      <c r="D77" s="15" t="s">
        <v>10</v>
      </c>
      <c r="E77" s="17">
        <v>40</v>
      </c>
      <c r="F77" s="18">
        <f>IF(A77="","",SUMIFS(Movimientos!$L$9:$L$400,Movimientos!$A$9:$A$400,"&gt;="&amp;$A77,Movimientos!$A$9:$A$400,"&lt;"&amp;EDATE($A77,1),Movimientos!$F$9:$F$400,$B77,Movimientos!$G$9:$G$400,$C77,Movimientos!$D$9:$D$400,IF($D77="Ingresos","Ingreso",IF($D77="Ahorro","Ahorro","Gasto"))))</f>
        <v>33.61</v>
      </c>
      <c r="G77" s="18">
        <f t="shared" si="3"/>
        <v>-6.3900000000000006</v>
      </c>
      <c r="H77" s="20">
        <f t="shared" si="4"/>
        <v>0.84024999999999994</v>
      </c>
      <c r="I77" s="15" t="str">
        <f t="shared" si="5"/>
        <v>Bien</v>
      </c>
    </row>
    <row r="78" spans="1:9" x14ac:dyDescent="0.25">
      <c r="A78" s="19">
        <v>45748</v>
      </c>
      <c r="B78" s="15" t="s">
        <v>114</v>
      </c>
      <c r="C78" s="15" t="s">
        <v>41</v>
      </c>
      <c r="D78" s="15" t="s">
        <v>30</v>
      </c>
      <c r="E78" s="17">
        <v>250</v>
      </c>
      <c r="F78" s="18">
        <f>IF(A78="","",SUMIFS(Movimientos!$L$9:$L$400,Movimientos!$A$9:$A$400,"&gt;="&amp;$A78,Movimientos!$A$9:$A$400,"&lt;"&amp;EDATE($A78,1),Movimientos!$F$9:$F$400,$B78,Movimientos!$G$9:$G$400,$C78,Movimientos!$D$9:$D$400,IF($D78="Ingresos","Ingreso",IF($D78="Ahorro","Ahorro","Gasto"))))</f>
        <v>247.72</v>
      </c>
      <c r="G78" s="18">
        <f t="shared" si="3"/>
        <v>-2.2800000000000011</v>
      </c>
      <c r="H78" s="20">
        <f t="shared" si="4"/>
        <v>0.99087999999999998</v>
      </c>
      <c r="I78" s="15" t="str">
        <f t="shared" si="5"/>
        <v>Casi</v>
      </c>
    </row>
    <row r="79" spans="1:9" x14ac:dyDescent="0.25">
      <c r="A79" s="19">
        <v>45748</v>
      </c>
      <c r="B79" s="15" t="s">
        <v>116</v>
      </c>
      <c r="C79" s="15" t="s">
        <v>41</v>
      </c>
      <c r="D79" s="15" t="s">
        <v>30</v>
      </c>
      <c r="E79" s="17">
        <v>60</v>
      </c>
      <c r="F79" s="18">
        <f>IF(A79="","",SUMIFS(Movimientos!$L$9:$L$400,Movimientos!$A$9:$A$400,"&gt;="&amp;$A79,Movimientos!$A$9:$A$400,"&lt;"&amp;EDATE($A79,1),Movimientos!$F$9:$F$400,$B79,Movimientos!$G$9:$G$400,$C79,Movimientos!$D$9:$D$400,IF($D79="Ingresos","Ingreso",IF($D79="Ahorro","Ahorro","Gasto"))))</f>
        <v>58.89</v>
      </c>
      <c r="G79" s="18">
        <f t="shared" si="3"/>
        <v>-1.1099999999999994</v>
      </c>
      <c r="H79" s="20">
        <f t="shared" si="4"/>
        <v>0.98150000000000004</v>
      </c>
      <c r="I79" s="15" t="str">
        <f t="shared" si="5"/>
        <v>Casi</v>
      </c>
    </row>
    <row r="80" spans="1:9" x14ac:dyDescent="0.25">
      <c r="A80" s="19">
        <v>45778</v>
      </c>
      <c r="B80" s="15" t="s">
        <v>73</v>
      </c>
      <c r="C80" s="15" t="s">
        <v>74</v>
      </c>
      <c r="D80" s="15" t="s">
        <v>37</v>
      </c>
      <c r="E80" s="17">
        <v>2450</v>
      </c>
      <c r="F80" s="18">
        <f>IF(A80="","",SUMIFS(Movimientos!$L$9:$L$400,Movimientos!$A$9:$A$400,"&gt;="&amp;$A80,Movimientos!$A$9:$A$400,"&lt;"&amp;EDATE($A80,1),Movimientos!$F$9:$F$400,$B80,Movimientos!$G$9:$G$400,$C80,Movimientos!$D$9:$D$400,IF($D80="Ingresos","Ingreso",IF($D80="Ahorro","Ahorro","Gasto"))))</f>
        <v>2491.0700000000002</v>
      </c>
      <c r="G80" s="18">
        <f t="shared" si="3"/>
        <v>41.070000000000164</v>
      </c>
      <c r="H80" s="20">
        <f t="shared" si="4"/>
        <v>1.0167632653061225</v>
      </c>
      <c r="I80" s="15" t="str">
        <f t="shared" si="5"/>
        <v>Bien</v>
      </c>
    </row>
    <row r="81" spans="1:9" x14ac:dyDescent="0.25">
      <c r="A81" s="19">
        <v>45778</v>
      </c>
      <c r="B81" s="15" t="s">
        <v>118</v>
      </c>
      <c r="C81" s="15" t="s">
        <v>119</v>
      </c>
      <c r="D81" s="15" t="s">
        <v>37</v>
      </c>
      <c r="E81" s="17">
        <v>0</v>
      </c>
      <c r="F81" s="18">
        <f>IF(A81="","",SUMIFS(Movimientos!$L$9:$L$400,Movimientos!$A$9:$A$400,"&gt;="&amp;$A81,Movimientos!$A$9:$A$400,"&lt;"&amp;EDATE($A81,1),Movimientos!$F$9:$F$400,$B81,Movimientos!$G$9:$G$400,$C81,Movimientos!$D$9:$D$400,IF($D81="Ingresos","Ingreso",IF($D81="Ahorro","Ahorro","Gasto"))))</f>
        <v>0</v>
      </c>
      <c r="G81" s="18">
        <f t="shared" si="3"/>
        <v>0</v>
      </c>
      <c r="H81" s="20" t="str">
        <f t="shared" si="4"/>
        <v/>
      </c>
      <c r="I81" s="15" t="str">
        <f t="shared" si="5"/>
        <v>Bien</v>
      </c>
    </row>
    <row r="82" spans="1:9" x14ac:dyDescent="0.25">
      <c r="A82" s="19">
        <v>45778</v>
      </c>
      <c r="B82" s="15" t="s">
        <v>81</v>
      </c>
      <c r="C82" s="15" t="s">
        <v>28</v>
      </c>
      <c r="D82" s="15" t="s">
        <v>9</v>
      </c>
      <c r="E82" s="17">
        <v>980</v>
      </c>
      <c r="F82" s="18">
        <f>IF(A82="","",SUMIFS(Movimientos!$L$9:$L$400,Movimientos!$A$9:$A$400,"&gt;="&amp;$A82,Movimientos!$A$9:$A$400,"&lt;"&amp;EDATE($A82,1),Movimientos!$F$9:$F$400,$B82,Movimientos!$G$9:$G$400,$C82,Movimientos!$D$9:$D$400,IF($D82="Ingresos","Ingreso",IF($D82="Ahorro","Ahorro","Gasto"))))</f>
        <v>980</v>
      </c>
      <c r="G82" s="18">
        <f t="shared" si="3"/>
        <v>0</v>
      </c>
      <c r="H82" s="20">
        <f t="shared" si="4"/>
        <v>1</v>
      </c>
      <c r="I82" s="15" t="str">
        <f t="shared" si="5"/>
        <v>Bien</v>
      </c>
    </row>
    <row r="83" spans="1:9" x14ac:dyDescent="0.25">
      <c r="A83" s="19">
        <v>45778</v>
      </c>
      <c r="B83" s="15" t="s">
        <v>91</v>
      </c>
      <c r="C83" s="15" t="s">
        <v>28</v>
      </c>
      <c r="D83" s="15" t="s">
        <v>9</v>
      </c>
      <c r="E83" s="17">
        <v>28</v>
      </c>
      <c r="F83" s="18">
        <f>IF(A83="","",SUMIFS(Movimientos!$L$9:$L$400,Movimientos!$A$9:$A$400,"&gt;="&amp;$A83,Movimientos!$A$9:$A$400,"&lt;"&amp;EDATE($A83,1),Movimientos!$F$9:$F$400,$B83,Movimientos!$G$9:$G$400,$C83,Movimientos!$D$9:$D$400,IF($D83="Ingresos","Ingreso",IF($D83="Ahorro","Ahorro","Gasto"))))</f>
        <v>31.79</v>
      </c>
      <c r="G83" s="18">
        <f t="shared" si="3"/>
        <v>3.7899999999999991</v>
      </c>
      <c r="H83" s="20">
        <f t="shared" si="4"/>
        <v>1.1353571428571427</v>
      </c>
      <c r="I83" s="15" t="str">
        <f t="shared" si="5"/>
        <v>Exceso</v>
      </c>
    </row>
    <row r="84" spans="1:9" x14ac:dyDescent="0.25">
      <c r="A84" s="19">
        <v>45778</v>
      </c>
      <c r="B84" s="15" t="s">
        <v>94</v>
      </c>
      <c r="C84" s="15" t="s">
        <v>28</v>
      </c>
      <c r="D84" s="15" t="s">
        <v>9</v>
      </c>
      <c r="E84" s="17">
        <v>22</v>
      </c>
      <c r="F84" s="18">
        <f>IF(A84="","",SUMIFS(Movimientos!$L$9:$L$400,Movimientos!$A$9:$A$400,"&gt;="&amp;$A84,Movimientos!$A$9:$A$400,"&lt;"&amp;EDATE($A84,1),Movimientos!$F$9:$F$400,$B84,Movimientos!$G$9:$G$400,$C84,Movimientos!$D$9:$D$400,IF($D84="Ingresos","Ingreso",IF($D84="Ahorro","Ahorro","Gasto"))))</f>
        <v>20.54</v>
      </c>
      <c r="G84" s="18">
        <f t="shared" si="3"/>
        <v>-1.4600000000000009</v>
      </c>
      <c r="H84" s="20">
        <f t="shared" si="4"/>
        <v>0.9336363636363636</v>
      </c>
      <c r="I84" s="15" t="str">
        <f t="shared" si="5"/>
        <v>Bien</v>
      </c>
    </row>
    <row r="85" spans="1:9" x14ac:dyDescent="0.25">
      <c r="A85" s="19">
        <v>45778</v>
      </c>
      <c r="B85" s="15" t="s">
        <v>96</v>
      </c>
      <c r="C85" s="15" t="s">
        <v>28</v>
      </c>
      <c r="D85" s="15" t="s">
        <v>9</v>
      </c>
      <c r="E85" s="17">
        <v>35</v>
      </c>
      <c r="F85" s="18">
        <f>IF(A85="","",SUMIFS(Movimientos!$L$9:$L$400,Movimientos!$A$9:$A$400,"&gt;="&amp;$A85,Movimientos!$A$9:$A$400,"&lt;"&amp;EDATE($A85,1),Movimientos!$F$9:$F$400,$B85,Movimientos!$G$9:$G$400,$C85,Movimientos!$D$9:$D$400,IF($D85="Ingresos","Ingreso",IF($D85="Ahorro","Ahorro","Gasto"))))</f>
        <v>35</v>
      </c>
      <c r="G85" s="18">
        <f t="shared" si="3"/>
        <v>0</v>
      </c>
      <c r="H85" s="20">
        <f t="shared" si="4"/>
        <v>1</v>
      </c>
      <c r="I85" s="15" t="str">
        <f t="shared" si="5"/>
        <v>Bien</v>
      </c>
    </row>
    <row r="86" spans="1:9" x14ac:dyDescent="0.25">
      <c r="A86" s="19">
        <v>45778</v>
      </c>
      <c r="B86" s="15" t="s">
        <v>100</v>
      </c>
      <c r="C86" s="15" t="s">
        <v>39</v>
      </c>
      <c r="D86" s="15" t="s">
        <v>9</v>
      </c>
      <c r="E86" s="17">
        <v>24</v>
      </c>
      <c r="F86" s="18">
        <f>IF(A86="","",SUMIFS(Movimientos!$L$9:$L$400,Movimientos!$A$9:$A$400,"&gt;="&amp;$A86,Movimientos!$A$9:$A$400,"&lt;"&amp;EDATE($A86,1),Movimientos!$F$9:$F$400,$B86,Movimientos!$G$9:$G$400,$C86,Movimientos!$D$9:$D$400,IF($D86="Ingresos","Ingreso",IF($D86="Ahorro","Ahorro","Gasto"))))</f>
        <v>24</v>
      </c>
      <c r="G86" s="18">
        <f t="shared" si="3"/>
        <v>0</v>
      </c>
      <c r="H86" s="20">
        <f t="shared" si="4"/>
        <v>1</v>
      </c>
      <c r="I86" s="15" t="str">
        <f t="shared" si="5"/>
        <v>Bien</v>
      </c>
    </row>
    <row r="87" spans="1:9" x14ac:dyDescent="0.25">
      <c r="A87" s="19">
        <v>45778</v>
      </c>
      <c r="B87" s="15" t="s">
        <v>84</v>
      </c>
      <c r="C87" s="15" t="s">
        <v>29</v>
      </c>
      <c r="D87" s="15" t="s">
        <v>9</v>
      </c>
      <c r="E87" s="17">
        <v>330</v>
      </c>
      <c r="F87" s="18">
        <f>IF(A87="","",SUMIFS(Movimientos!$L$9:$L$400,Movimientos!$A$9:$A$400,"&gt;="&amp;$A87,Movimientos!$A$9:$A$400,"&lt;"&amp;EDATE($A87,1),Movimientos!$F$9:$F$400,$B87,Movimientos!$G$9:$G$400,$C87,Movimientos!$D$9:$D$400,IF($D87="Ingresos","Ingreso",IF($D87="Ahorro","Ahorro","Gasto"))))</f>
        <v>349.05999999999995</v>
      </c>
      <c r="G87" s="18">
        <f t="shared" si="3"/>
        <v>19.059999999999945</v>
      </c>
      <c r="H87" s="20">
        <f t="shared" si="4"/>
        <v>1.0577575757575757</v>
      </c>
      <c r="I87" s="15" t="str">
        <f t="shared" si="5"/>
        <v>Vigilar</v>
      </c>
    </row>
    <row r="88" spans="1:9" x14ac:dyDescent="0.25">
      <c r="A88" s="19">
        <v>45778</v>
      </c>
      <c r="B88" s="15" t="s">
        <v>102</v>
      </c>
      <c r="C88" s="15" t="s">
        <v>29</v>
      </c>
      <c r="D88" s="15" t="s">
        <v>9</v>
      </c>
      <c r="E88" s="17">
        <v>85</v>
      </c>
      <c r="F88" s="18">
        <f>IF(A88="","",SUMIFS(Movimientos!$L$9:$L$400,Movimientos!$A$9:$A$400,"&gt;="&amp;$A88,Movimientos!$A$9:$A$400,"&lt;"&amp;EDATE($A88,1),Movimientos!$F$9:$F$400,$B88,Movimientos!$G$9:$G$400,$C88,Movimientos!$D$9:$D$400,IF($D88="Ingresos","Ingreso",IF($D88="Ahorro","Ahorro","Gasto"))))</f>
        <v>71.009999999999991</v>
      </c>
      <c r="G88" s="18">
        <f t="shared" si="3"/>
        <v>-13.990000000000009</v>
      </c>
      <c r="H88" s="20">
        <f t="shared" si="4"/>
        <v>0.8354117647058823</v>
      </c>
      <c r="I88" s="15" t="str">
        <f t="shared" si="5"/>
        <v>Bien</v>
      </c>
    </row>
    <row r="89" spans="1:9" x14ac:dyDescent="0.25">
      <c r="A89" s="19">
        <v>45778</v>
      </c>
      <c r="B89" s="15" t="s">
        <v>89</v>
      </c>
      <c r="C89" s="15" t="s">
        <v>31</v>
      </c>
      <c r="D89" s="15" t="s">
        <v>9</v>
      </c>
      <c r="E89" s="17">
        <v>42</v>
      </c>
      <c r="F89" s="18">
        <f>IF(A89="","",SUMIFS(Movimientos!$L$9:$L$400,Movimientos!$A$9:$A$400,"&gt;="&amp;$A89,Movimientos!$A$9:$A$400,"&lt;"&amp;EDATE($A89,1),Movimientos!$F$9:$F$400,$B89,Movimientos!$G$9:$G$400,$C89,Movimientos!$D$9:$D$400,IF($D89="Ingresos","Ingreso",IF($D89="Ahorro","Ahorro","Gasto"))))</f>
        <v>40.89</v>
      </c>
      <c r="G89" s="18">
        <f t="shared" si="3"/>
        <v>-1.1099999999999994</v>
      </c>
      <c r="H89" s="20">
        <f t="shared" si="4"/>
        <v>0.97357142857142853</v>
      </c>
      <c r="I89" s="15" t="str">
        <f t="shared" si="5"/>
        <v>Bien</v>
      </c>
    </row>
    <row r="90" spans="1:9" x14ac:dyDescent="0.25">
      <c r="A90" s="19">
        <v>45778</v>
      </c>
      <c r="B90" s="15" t="s">
        <v>122</v>
      </c>
      <c r="C90" s="15" t="s">
        <v>31</v>
      </c>
      <c r="D90" s="15" t="s">
        <v>9</v>
      </c>
      <c r="E90" s="17">
        <v>12</v>
      </c>
      <c r="F90" s="18">
        <f>IF(A90="","",SUMIFS(Movimientos!$L$9:$L$400,Movimientos!$A$9:$A$400,"&gt;="&amp;$A90,Movimientos!$A$9:$A$400,"&lt;"&amp;EDATE($A90,1),Movimientos!$F$9:$F$400,$B90,Movimientos!$G$9:$G$400,$C90,Movimientos!$D$9:$D$400,IF($D90="Ingresos","Ingreso",IF($D90="Ahorro","Ahorro","Gasto"))))</f>
        <v>0</v>
      </c>
      <c r="G90" s="18">
        <f t="shared" si="3"/>
        <v>-12</v>
      </c>
      <c r="H90" s="20">
        <f t="shared" si="4"/>
        <v>0</v>
      </c>
      <c r="I90" s="15" t="str">
        <f t="shared" si="5"/>
        <v>Bien</v>
      </c>
    </row>
    <row r="91" spans="1:9" x14ac:dyDescent="0.25">
      <c r="A91" s="19">
        <v>45778</v>
      </c>
      <c r="B91" s="15" t="s">
        <v>105</v>
      </c>
      <c r="C91" s="15" t="s">
        <v>32</v>
      </c>
      <c r="D91" s="15" t="s">
        <v>9</v>
      </c>
      <c r="E91" s="17">
        <v>18</v>
      </c>
      <c r="F91" s="18">
        <f>IF(A91="","",SUMIFS(Movimientos!$L$9:$L$400,Movimientos!$A$9:$A$400,"&gt;="&amp;$A91,Movimientos!$A$9:$A$400,"&lt;"&amp;EDATE($A91,1),Movimientos!$F$9:$F$400,$B91,Movimientos!$G$9:$G$400,$C91,Movimientos!$D$9:$D$400,IF($D91="Ingresos","Ingreso",IF($D91="Ahorro","Ahorro","Gasto"))))</f>
        <v>14.52</v>
      </c>
      <c r="G91" s="18">
        <f t="shared" si="3"/>
        <v>-3.4800000000000004</v>
      </c>
      <c r="H91" s="20">
        <f t="shared" si="4"/>
        <v>0.80666666666666664</v>
      </c>
      <c r="I91" s="15" t="str">
        <f t="shared" si="5"/>
        <v>Bien</v>
      </c>
    </row>
    <row r="92" spans="1:9" x14ac:dyDescent="0.25">
      <c r="A92" s="19">
        <v>45778</v>
      </c>
      <c r="B92" s="15" t="s">
        <v>98</v>
      </c>
      <c r="C92" s="15" t="s">
        <v>32</v>
      </c>
      <c r="D92" s="15" t="s">
        <v>9</v>
      </c>
      <c r="E92" s="17">
        <v>18</v>
      </c>
      <c r="F92" s="18">
        <f>IF(A92="","",SUMIFS(Movimientos!$L$9:$L$400,Movimientos!$A$9:$A$400,"&gt;="&amp;$A92,Movimientos!$A$9:$A$400,"&lt;"&amp;EDATE($A92,1),Movimientos!$F$9:$F$400,$B92,Movimientos!$G$9:$G$400,$C92,Movimientos!$D$9:$D$400,IF($D92="Ingresos","Ingreso",IF($D92="Ahorro","Ahorro","Gasto"))))</f>
        <v>18</v>
      </c>
      <c r="G92" s="18">
        <f t="shared" si="3"/>
        <v>0</v>
      </c>
      <c r="H92" s="20">
        <f t="shared" si="4"/>
        <v>1</v>
      </c>
      <c r="I92" s="15" t="str">
        <f t="shared" si="5"/>
        <v>Bien</v>
      </c>
    </row>
    <row r="93" spans="1:9" x14ac:dyDescent="0.25">
      <c r="A93" s="19">
        <v>45778</v>
      </c>
      <c r="B93" s="15" t="s">
        <v>107</v>
      </c>
      <c r="C93" s="15" t="s">
        <v>33</v>
      </c>
      <c r="D93" s="15" t="s">
        <v>10</v>
      </c>
      <c r="E93" s="17">
        <v>65</v>
      </c>
      <c r="F93" s="18">
        <f>IF(A93="","",SUMIFS(Movimientos!$L$9:$L$400,Movimientos!$A$9:$A$400,"&gt;="&amp;$A93,Movimientos!$A$9:$A$400,"&lt;"&amp;EDATE($A93,1),Movimientos!$F$9:$F$400,$B93,Movimientos!$G$9:$G$400,$C93,Movimientos!$D$9:$D$400,IF($D93="Ingresos","Ingreso",IF($D93="Ahorro","Ahorro","Gasto"))))</f>
        <v>55.94</v>
      </c>
      <c r="G93" s="18">
        <f t="shared" si="3"/>
        <v>-9.0600000000000023</v>
      </c>
      <c r="H93" s="20">
        <f t="shared" si="4"/>
        <v>0.86061538461538456</v>
      </c>
      <c r="I93" s="15" t="str">
        <f t="shared" si="5"/>
        <v>Bien</v>
      </c>
    </row>
    <row r="94" spans="1:9" x14ac:dyDescent="0.25">
      <c r="A94" s="19">
        <v>45778</v>
      </c>
      <c r="B94" s="15" t="s">
        <v>109</v>
      </c>
      <c r="C94" s="15" t="s">
        <v>33</v>
      </c>
      <c r="D94" s="15" t="s">
        <v>10</v>
      </c>
      <c r="E94" s="17">
        <v>25</v>
      </c>
      <c r="F94" s="18">
        <f>IF(A94="","",SUMIFS(Movimientos!$L$9:$L$400,Movimientos!$A$9:$A$400,"&gt;="&amp;$A94,Movimientos!$A$9:$A$400,"&lt;"&amp;EDATE($A94,1),Movimientos!$F$9:$F$400,$B94,Movimientos!$G$9:$G$400,$C94,Movimientos!$D$9:$D$400,IF($D94="Ingresos","Ingreso",IF($D94="Ahorro","Ahorro","Gasto"))))</f>
        <v>33.51</v>
      </c>
      <c r="G94" s="18">
        <f t="shared" si="3"/>
        <v>8.509999999999998</v>
      </c>
      <c r="H94" s="20">
        <f t="shared" si="4"/>
        <v>1.3403999999999998</v>
      </c>
      <c r="I94" s="15" t="str">
        <f t="shared" si="5"/>
        <v>Exceso</v>
      </c>
    </row>
    <row r="95" spans="1:9" x14ac:dyDescent="0.25">
      <c r="A95" s="19">
        <v>45778</v>
      </c>
      <c r="B95" s="15" t="s">
        <v>111</v>
      </c>
      <c r="C95" s="15" t="s">
        <v>35</v>
      </c>
      <c r="D95" s="15" t="s">
        <v>10</v>
      </c>
      <c r="E95" s="17">
        <v>40</v>
      </c>
      <c r="F95" s="18">
        <f>IF(A95="","",SUMIFS(Movimientos!$L$9:$L$400,Movimientos!$A$9:$A$400,"&gt;="&amp;$A95,Movimientos!$A$9:$A$400,"&lt;"&amp;EDATE($A95,1),Movimientos!$F$9:$F$400,$B95,Movimientos!$G$9:$G$400,$C95,Movimientos!$D$9:$D$400,IF($D95="Ingresos","Ingreso",IF($D95="Ahorro","Ahorro","Gasto"))))</f>
        <v>0</v>
      </c>
      <c r="G95" s="18">
        <f t="shared" si="3"/>
        <v>-40</v>
      </c>
      <c r="H95" s="20">
        <f t="shared" si="4"/>
        <v>0</v>
      </c>
      <c r="I95" s="15" t="str">
        <f t="shared" si="5"/>
        <v>Bien</v>
      </c>
    </row>
    <row r="96" spans="1:9" x14ac:dyDescent="0.25">
      <c r="A96" s="19">
        <v>45778</v>
      </c>
      <c r="B96" s="15" t="s">
        <v>114</v>
      </c>
      <c r="C96" s="15" t="s">
        <v>41</v>
      </c>
      <c r="D96" s="15" t="s">
        <v>30</v>
      </c>
      <c r="E96" s="17">
        <v>250</v>
      </c>
      <c r="F96" s="18">
        <f>IF(A96="","",SUMIFS(Movimientos!$L$9:$L$400,Movimientos!$A$9:$A$400,"&gt;="&amp;$A96,Movimientos!$A$9:$A$400,"&lt;"&amp;EDATE($A96,1),Movimientos!$F$9:$F$400,$B96,Movimientos!$G$9:$G$400,$C96,Movimientos!$D$9:$D$400,IF($D96="Ingresos","Ingreso",IF($D96="Ahorro","Ahorro","Gasto"))))</f>
        <v>235.5</v>
      </c>
      <c r="G96" s="18">
        <f t="shared" si="3"/>
        <v>-14.5</v>
      </c>
      <c r="H96" s="20">
        <f t="shared" si="4"/>
        <v>0.94199999999999995</v>
      </c>
      <c r="I96" s="15" t="str">
        <f t="shared" si="5"/>
        <v>Casi</v>
      </c>
    </row>
    <row r="97" spans="1:9" x14ac:dyDescent="0.25">
      <c r="A97" s="19">
        <v>45778</v>
      </c>
      <c r="B97" s="15" t="s">
        <v>116</v>
      </c>
      <c r="C97" s="15" t="s">
        <v>41</v>
      </c>
      <c r="D97" s="15" t="s">
        <v>30</v>
      </c>
      <c r="E97" s="17">
        <v>60</v>
      </c>
      <c r="F97" s="18">
        <f>IF(A97="","",SUMIFS(Movimientos!$L$9:$L$400,Movimientos!$A$9:$A$400,"&gt;="&amp;$A97,Movimientos!$A$9:$A$400,"&lt;"&amp;EDATE($A97,1),Movimientos!$F$9:$F$400,$B97,Movimientos!$G$9:$G$400,$C97,Movimientos!$D$9:$D$400,IF($D97="Ingresos","Ingreso",IF($D97="Ahorro","Ahorro","Gasto"))))</f>
        <v>59.66</v>
      </c>
      <c r="G97" s="18">
        <f t="shared" si="3"/>
        <v>-0.34000000000000341</v>
      </c>
      <c r="H97" s="20">
        <f t="shared" si="4"/>
        <v>0.99433333333333329</v>
      </c>
      <c r="I97" s="15" t="str">
        <f t="shared" si="5"/>
        <v>Casi</v>
      </c>
    </row>
    <row r="98" spans="1:9" x14ac:dyDescent="0.25">
      <c r="A98" s="19">
        <v>45809</v>
      </c>
      <c r="B98" s="15" t="s">
        <v>73</v>
      </c>
      <c r="C98" s="15" t="s">
        <v>74</v>
      </c>
      <c r="D98" s="15" t="s">
        <v>37</v>
      </c>
      <c r="E98" s="17">
        <v>2450</v>
      </c>
      <c r="F98" s="18">
        <f>IF(A98="","",SUMIFS(Movimientos!$L$9:$L$400,Movimientos!$A$9:$A$400,"&gt;="&amp;$A98,Movimientos!$A$9:$A$400,"&lt;"&amp;EDATE($A98,1),Movimientos!$F$9:$F$400,$B98,Movimientos!$G$9:$G$400,$C98,Movimientos!$D$9:$D$400,IF($D98="Ingresos","Ingreso",IF($D98="Ahorro","Ahorro","Gasto"))))</f>
        <v>2422.88</v>
      </c>
      <c r="G98" s="18">
        <f t="shared" si="3"/>
        <v>-27.119999999999891</v>
      </c>
      <c r="H98" s="20">
        <f t="shared" si="4"/>
        <v>0.98893061224489798</v>
      </c>
      <c r="I98" s="15" t="str">
        <f t="shared" si="5"/>
        <v>Casi</v>
      </c>
    </row>
    <row r="99" spans="1:9" x14ac:dyDescent="0.25">
      <c r="A99" s="19">
        <v>45809</v>
      </c>
      <c r="B99" s="15" t="s">
        <v>118</v>
      </c>
      <c r="C99" s="15" t="s">
        <v>119</v>
      </c>
      <c r="D99" s="15" t="s">
        <v>37</v>
      </c>
      <c r="E99" s="17">
        <v>0</v>
      </c>
      <c r="F99" s="18">
        <f>IF(A99="","",SUMIFS(Movimientos!$L$9:$L$400,Movimientos!$A$9:$A$400,"&gt;="&amp;$A99,Movimientos!$A$9:$A$400,"&lt;"&amp;EDATE($A99,1),Movimientos!$F$9:$F$400,$B99,Movimientos!$G$9:$G$400,$C99,Movimientos!$D$9:$D$400,IF($D99="Ingresos","Ingreso",IF($D99="Ahorro","Ahorro","Gasto"))))</f>
        <v>0</v>
      </c>
      <c r="G99" s="18">
        <f t="shared" si="3"/>
        <v>0</v>
      </c>
      <c r="H99" s="20" t="str">
        <f t="shared" si="4"/>
        <v/>
      </c>
      <c r="I99" s="15" t="str">
        <f t="shared" si="5"/>
        <v>Bien</v>
      </c>
    </row>
    <row r="100" spans="1:9" x14ac:dyDescent="0.25">
      <c r="A100" s="19">
        <v>45809</v>
      </c>
      <c r="B100" s="15" t="s">
        <v>81</v>
      </c>
      <c r="C100" s="15" t="s">
        <v>28</v>
      </c>
      <c r="D100" s="15" t="s">
        <v>9</v>
      </c>
      <c r="E100" s="17">
        <v>980</v>
      </c>
      <c r="F100" s="18">
        <f>IF(A100="","",SUMIFS(Movimientos!$L$9:$L$400,Movimientos!$A$9:$A$400,"&gt;="&amp;$A100,Movimientos!$A$9:$A$400,"&lt;"&amp;EDATE($A100,1),Movimientos!$F$9:$F$400,$B100,Movimientos!$G$9:$G$400,$C100,Movimientos!$D$9:$D$400,IF($D100="Ingresos","Ingreso",IF($D100="Ahorro","Ahorro","Gasto"))))</f>
        <v>980</v>
      </c>
      <c r="G100" s="18">
        <f t="shared" si="3"/>
        <v>0</v>
      </c>
      <c r="H100" s="20">
        <f t="shared" si="4"/>
        <v>1</v>
      </c>
      <c r="I100" s="15" t="str">
        <f t="shared" si="5"/>
        <v>Bien</v>
      </c>
    </row>
    <row r="101" spans="1:9" x14ac:dyDescent="0.25">
      <c r="A101" s="19">
        <v>45809</v>
      </c>
      <c r="B101" s="15" t="s">
        <v>91</v>
      </c>
      <c r="C101" s="15" t="s">
        <v>28</v>
      </c>
      <c r="D101" s="15" t="s">
        <v>9</v>
      </c>
      <c r="E101" s="17">
        <v>26</v>
      </c>
      <c r="F101" s="18">
        <f>IF(A101="","",SUMIFS(Movimientos!$L$9:$L$400,Movimientos!$A$9:$A$400,"&gt;="&amp;$A101,Movimientos!$A$9:$A$400,"&lt;"&amp;EDATE($A101,1),Movimientos!$F$9:$F$400,$B101,Movimientos!$G$9:$G$400,$C101,Movimientos!$D$9:$D$400,IF($D101="Ingresos","Ingreso",IF($D101="Ahorro","Ahorro","Gasto"))))</f>
        <v>28.44</v>
      </c>
      <c r="G101" s="18">
        <f t="shared" si="3"/>
        <v>2.4400000000000013</v>
      </c>
      <c r="H101" s="20">
        <f t="shared" si="4"/>
        <v>1.0938461538461539</v>
      </c>
      <c r="I101" s="15" t="str">
        <f t="shared" si="5"/>
        <v>Vigilar</v>
      </c>
    </row>
    <row r="102" spans="1:9" x14ac:dyDescent="0.25">
      <c r="A102" s="19">
        <v>45809</v>
      </c>
      <c r="B102" s="15" t="s">
        <v>94</v>
      </c>
      <c r="C102" s="15" t="s">
        <v>28</v>
      </c>
      <c r="D102" s="15" t="s">
        <v>9</v>
      </c>
      <c r="E102" s="17">
        <v>22</v>
      </c>
      <c r="F102" s="18">
        <f>IF(A102="","",SUMIFS(Movimientos!$L$9:$L$400,Movimientos!$A$9:$A$400,"&gt;="&amp;$A102,Movimientos!$A$9:$A$400,"&lt;"&amp;EDATE($A102,1),Movimientos!$F$9:$F$400,$B102,Movimientos!$G$9:$G$400,$C102,Movimientos!$D$9:$D$400,IF($D102="Ingresos","Ingreso",IF($D102="Ahorro","Ahorro","Gasto"))))</f>
        <v>23.64</v>
      </c>
      <c r="G102" s="18">
        <f t="shared" si="3"/>
        <v>1.6400000000000006</v>
      </c>
      <c r="H102" s="20">
        <f t="shared" si="4"/>
        <v>1.0745454545454545</v>
      </c>
      <c r="I102" s="15" t="str">
        <f t="shared" si="5"/>
        <v>Vigilar</v>
      </c>
    </row>
    <row r="103" spans="1:9" x14ac:dyDescent="0.25">
      <c r="A103" s="19">
        <v>45809</v>
      </c>
      <c r="B103" s="15" t="s">
        <v>96</v>
      </c>
      <c r="C103" s="15" t="s">
        <v>28</v>
      </c>
      <c r="D103" s="15" t="s">
        <v>9</v>
      </c>
      <c r="E103" s="17">
        <v>35</v>
      </c>
      <c r="F103" s="18">
        <f>IF(A103="","",SUMIFS(Movimientos!$L$9:$L$400,Movimientos!$A$9:$A$400,"&gt;="&amp;$A103,Movimientos!$A$9:$A$400,"&lt;"&amp;EDATE($A103,1),Movimientos!$F$9:$F$400,$B103,Movimientos!$G$9:$G$400,$C103,Movimientos!$D$9:$D$400,IF($D103="Ingresos","Ingreso",IF($D103="Ahorro","Ahorro","Gasto"))))</f>
        <v>35</v>
      </c>
      <c r="G103" s="18">
        <f t="shared" si="3"/>
        <v>0</v>
      </c>
      <c r="H103" s="20">
        <f t="shared" si="4"/>
        <v>1</v>
      </c>
      <c r="I103" s="15" t="str">
        <f t="shared" si="5"/>
        <v>Bien</v>
      </c>
    </row>
    <row r="104" spans="1:9" x14ac:dyDescent="0.25">
      <c r="A104" s="19">
        <v>45809</v>
      </c>
      <c r="B104" s="15" t="s">
        <v>100</v>
      </c>
      <c r="C104" s="15" t="s">
        <v>39</v>
      </c>
      <c r="D104" s="15" t="s">
        <v>9</v>
      </c>
      <c r="E104" s="17">
        <v>24</v>
      </c>
      <c r="F104" s="18">
        <f>IF(A104="","",SUMIFS(Movimientos!$L$9:$L$400,Movimientos!$A$9:$A$400,"&gt;="&amp;$A104,Movimientos!$A$9:$A$400,"&lt;"&amp;EDATE($A104,1),Movimientos!$F$9:$F$400,$B104,Movimientos!$G$9:$G$400,$C104,Movimientos!$D$9:$D$400,IF($D104="Ingresos","Ingreso",IF($D104="Ahorro","Ahorro","Gasto"))))</f>
        <v>24</v>
      </c>
      <c r="G104" s="18">
        <f t="shared" si="3"/>
        <v>0</v>
      </c>
      <c r="H104" s="20">
        <f t="shared" si="4"/>
        <v>1</v>
      </c>
      <c r="I104" s="15" t="str">
        <f t="shared" si="5"/>
        <v>Bien</v>
      </c>
    </row>
    <row r="105" spans="1:9" x14ac:dyDescent="0.25">
      <c r="A105" s="19">
        <v>45809</v>
      </c>
      <c r="B105" s="15" t="s">
        <v>84</v>
      </c>
      <c r="C105" s="15" t="s">
        <v>29</v>
      </c>
      <c r="D105" s="15" t="s">
        <v>9</v>
      </c>
      <c r="E105" s="17">
        <v>330</v>
      </c>
      <c r="F105" s="18">
        <f>IF(A105="","",SUMIFS(Movimientos!$L$9:$L$400,Movimientos!$A$9:$A$400,"&gt;="&amp;$A105,Movimientos!$A$9:$A$400,"&lt;"&amp;EDATE($A105,1),Movimientos!$F$9:$F$400,$B105,Movimientos!$G$9:$G$400,$C105,Movimientos!$D$9:$D$400,IF($D105="Ingresos","Ingreso",IF($D105="Ahorro","Ahorro","Gasto"))))</f>
        <v>306.01</v>
      </c>
      <c r="G105" s="18">
        <f t="shared" si="3"/>
        <v>-23.990000000000009</v>
      </c>
      <c r="H105" s="20">
        <f t="shared" si="4"/>
        <v>0.9273030303030303</v>
      </c>
      <c r="I105" s="15" t="str">
        <f t="shared" si="5"/>
        <v>Bien</v>
      </c>
    </row>
    <row r="106" spans="1:9" x14ac:dyDescent="0.25">
      <c r="A106" s="19">
        <v>45809</v>
      </c>
      <c r="B106" s="15" t="s">
        <v>102</v>
      </c>
      <c r="C106" s="15" t="s">
        <v>29</v>
      </c>
      <c r="D106" s="15" t="s">
        <v>9</v>
      </c>
      <c r="E106" s="17">
        <v>85</v>
      </c>
      <c r="F106" s="18">
        <f>IF(A106="","",SUMIFS(Movimientos!$L$9:$L$400,Movimientos!$A$9:$A$400,"&gt;="&amp;$A106,Movimientos!$A$9:$A$400,"&lt;"&amp;EDATE($A106,1),Movimientos!$F$9:$F$400,$B106,Movimientos!$G$9:$G$400,$C106,Movimientos!$D$9:$D$400,IF($D106="Ingresos","Ingreso",IF($D106="Ahorro","Ahorro","Gasto"))))</f>
        <v>106.34</v>
      </c>
      <c r="G106" s="18">
        <f t="shared" si="3"/>
        <v>21.340000000000003</v>
      </c>
      <c r="H106" s="20">
        <f t="shared" si="4"/>
        <v>1.2510588235294118</v>
      </c>
      <c r="I106" s="15" t="str">
        <f t="shared" si="5"/>
        <v>Exceso</v>
      </c>
    </row>
    <row r="107" spans="1:9" x14ac:dyDescent="0.25">
      <c r="A107" s="19">
        <v>45809</v>
      </c>
      <c r="B107" s="15" t="s">
        <v>89</v>
      </c>
      <c r="C107" s="15" t="s">
        <v>31</v>
      </c>
      <c r="D107" s="15" t="s">
        <v>9</v>
      </c>
      <c r="E107" s="17">
        <v>42</v>
      </c>
      <c r="F107" s="18">
        <f>IF(A107="","",SUMIFS(Movimientos!$L$9:$L$400,Movimientos!$A$9:$A$400,"&gt;="&amp;$A107,Movimientos!$A$9:$A$400,"&lt;"&amp;EDATE($A107,1),Movimientos!$F$9:$F$400,$B107,Movimientos!$G$9:$G$400,$C107,Movimientos!$D$9:$D$400,IF($D107="Ingresos","Ingreso",IF($D107="Ahorro","Ahorro","Gasto"))))</f>
        <v>43.16</v>
      </c>
      <c r="G107" s="18">
        <f t="shared" si="3"/>
        <v>1.1599999999999966</v>
      </c>
      <c r="H107" s="20">
        <f t="shared" si="4"/>
        <v>1.0276190476190474</v>
      </c>
      <c r="I107" s="15" t="str">
        <f t="shared" si="5"/>
        <v>Vigilar</v>
      </c>
    </row>
    <row r="108" spans="1:9" x14ac:dyDescent="0.25">
      <c r="A108" s="19">
        <v>45809</v>
      </c>
      <c r="B108" s="15" t="s">
        <v>122</v>
      </c>
      <c r="C108" s="15" t="s">
        <v>31</v>
      </c>
      <c r="D108" s="15" t="s">
        <v>9</v>
      </c>
      <c r="E108" s="17">
        <v>12</v>
      </c>
      <c r="F108" s="18">
        <f>IF(A108="","",SUMIFS(Movimientos!$L$9:$L$400,Movimientos!$A$9:$A$400,"&gt;="&amp;$A108,Movimientos!$A$9:$A$400,"&lt;"&amp;EDATE($A108,1),Movimientos!$F$9:$F$400,$B108,Movimientos!$G$9:$G$400,$C108,Movimientos!$D$9:$D$400,IF($D108="Ingresos","Ingreso",IF($D108="Ahorro","Ahorro","Gasto"))))</f>
        <v>16.8</v>
      </c>
      <c r="G108" s="18">
        <f t="shared" si="3"/>
        <v>4.8000000000000007</v>
      </c>
      <c r="H108" s="20">
        <f t="shared" si="4"/>
        <v>1.4000000000000001</v>
      </c>
      <c r="I108" s="15" t="str">
        <f t="shared" si="5"/>
        <v>Exceso</v>
      </c>
    </row>
    <row r="109" spans="1:9" x14ac:dyDescent="0.25">
      <c r="A109" s="19">
        <v>45809</v>
      </c>
      <c r="B109" s="15" t="s">
        <v>105</v>
      </c>
      <c r="C109" s="15" t="s">
        <v>32</v>
      </c>
      <c r="D109" s="15" t="s">
        <v>9</v>
      </c>
      <c r="E109" s="17">
        <v>18</v>
      </c>
      <c r="F109" s="18">
        <f>IF(A109="","",SUMIFS(Movimientos!$L$9:$L$400,Movimientos!$A$9:$A$400,"&gt;="&amp;$A109,Movimientos!$A$9:$A$400,"&lt;"&amp;EDATE($A109,1),Movimientos!$F$9:$F$400,$B109,Movimientos!$G$9:$G$400,$C109,Movimientos!$D$9:$D$400,IF($D109="Ingresos","Ingreso",IF($D109="Ahorro","Ahorro","Gasto"))))</f>
        <v>0</v>
      </c>
      <c r="G109" s="18">
        <f t="shared" si="3"/>
        <v>-18</v>
      </c>
      <c r="H109" s="20">
        <f t="shared" si="4"/>
        <v>0</v>
      </c>
      <c r="I109" s="15" t="str">
        <f t="shared" si="5"/>
        <v>Bien</v>
      </c>
    </row>
    <row r="110" spans="1:9" x14ac:dyDescent="0.25">
      <c r="A110" s="19">
        <v>45809</v>
      </c>
      <c r="B110" s="15" t="s">
        <v>98</v>
      </c>
      <c r="C110" s="15" t="s">
        <v>32</v>
      </c>
      <c r="D110" s="15" t="s">
        <v>9</v>
      </c>
      <c r="E110" s="17">
        <v>18</v>
      </c>
      <c r="F110" s="18">
        <f>IF(A110="","",SUMIFS(Movimientos!$L$9:$L$400,Movimientos!$A$9:$A$400,"&gt;="&amp;$A110,Movimientos!$A$9:$A$400,"&lt;"&amp;EDATE($A110,1),Movimientos!$F$9:$F$400,$B110,Movimientos!$G$9:$G$400,$C110,Movimientos!$D$9:$D$400,IF($D110="Ingresos","Ingreso",IF($D110="Ahorro","Ahorro","Gasto"))))</f>
        <v>18</v>
      </c>
      <c r="G110" s="18">
        <f t="shared" si="3"/>
        <v>0</v>
      </c>
      <c r="H110" s="20">
        <f t="shared" si="4"/>
        <v>1</v>
      </c>
      <c r="I110" s="15" t="str">
        <f t="shared" si="5"/>
        <v>Bien</v>
      </c>
    </row>
    <row r="111" spans="1:9" x14ac:dyDescent="0.25">
      <c r="A111" s="19">
        <v>45809</v>
      </c>
      <c r="B111" s="15" t="s">
        <v>107</v>
      </c>
      <c r="C111" s="15" t="s">
        <v>33</v>
      </c>
      <c r="D111" s="15" t="s">
        <v>10</v>
      </c>
      <c r="E111" s="17">
        <v>65</v>
      </c>
      <c r="F111" s="18">
        <f>IF(A111="","",SUMIFS(Movimientos!$L$9:$L$400,Movimientos!$A$9:$A$400,"&gt;="&amp;$A111,Movimientos!$A$9:$A$400,"&lt;"&amp;EDATE($A111,1),Movimientos!$F$9:$F$400,$B111,Movimientos!$G$9:$G$400,$C111,Movimientos!$D$9:$D$400,IF($D111="Ingresos","Ingreso",IF($D111="Ahorro","Ahorro","Gasto"))))</f>
        <v>45.510000000000005</v>
      </c>
      <c r="G111" s="18">
        <f t="shared" si="3"/>
        <v>-19.489999999999995</v>
      </c>
      <c r="H111" s="20">
        <f t="shared" si="4"/>
        <v>0.70015384615384624</v>
      </c>
      <c r="I111" s="15" t="str">
        <f t="shared" si="5"/>
        <v>Bien</v>
      </c>
    </row>
    <row r="112" spans="1:9" x14ac:dyDescent="0.25">
      <c r="A112" s="19">
        <v>45809</v>
      </c>
      <c r="B112" s="15" t="s">
        <v>109</v>
      </c>
      <c r="C112" s="15" t="s">
        <v>33</v>
      </c>
      <c r="D112" s="15" t="s">
        <v>10</v>
      </c>
      <c r="E112" s="17">
        <v>25</v>
      </c>
      <c r="F112" s="18">
        <f>IF(A112="","",SUMIFS(Movimientos!$L$9:$L$400,Movimientos!$A$9:$A$400,"&gt;="&amp;$A112,Movimientos!$A$9:$A$400,"&lt;"&amp;EDATE($A112,1),Movimientos!$F$9:$F$400,$B112,Movimientos!$G$9:$G$400,$C112,Movimientos!$D$9:$D$400,IF($D112="Ingresos","Ingreso",IF($D112="Ahorro","Ahorro","Gasto"))))</f>
        <v>0</v>
      </c>
      <c r="G112" s="18">
        <f t="shared" si="3"/>
        <v>-25</v>
      </c>
      <c r="H112" s="20">
        <f t="shared" si="4"/>
        <v>0</v>
      </c>
      <c r="I112" s="15" t="str">
        <f t="shared" si="5"/>
        <v>Bien</v>
      </c>
    </row>
    <row r="113" spans="1:9" x14ac:dyDescent="0.25">
      <c r="A113" s="19">
        <v>45809</v>
      </c>
      <c r="B113" s="15" t="s">
        <v>111</v>
      </c>
      <c r="C113" s="15" t="s">
        <v>35</v>
      </c>
      <c r="D113" s="15" t="s">
        <v>10</v>
      </c>
      <c r="E113" s="17">
        <v>40</v>
      </c>
      <c r="F113" s="18">
        <f>IF(A113="","",SUMIFS(Movimientos!$L$9:$L$400,Movimientos!$A$9:$A$400,"&gt;="&amp;$A113,Movimientos!$A$9:$A$400,"&lt;"&amp;EDATE($A113,1),Movimientos!$F$9:$F$400,$B113,Movimientos!$G$9:$G$400,$C113,Movimientos!$D$9:$D$400,IF($D113="Ingresos","Ingreso",IF($D113="Ahorro","Ahorro","Gasto"))))</f>
        <v>29.2</v>
      </c>
      <c r="G113" s="18">
        <f t="shared" si="3"/>
        <v>-10.8</v>
      </c>
      <c r="H113" s="20">
        <f t="shared" si="4"/>
        <v>0.73</v>
      </c>
      <c r="I113" s="15" t="str">
        <f t="shared" si="5"/>
        <v>Bien</v>
      </c>
    </row>
    <row r="114" spans="1:9" x14ac:dyDescent="0.25">
      <c r="A114" s="19">
        <v>45809</v>
      </c>
      <c r="B114" s="15" t="s">
        <v>114</v>
      </c>
      <c r="C114" s="15" t="s">
        <v>41</v>
      </c>
      <c r="D114" s="15" t="s">
        <v>30</v>
      </c>
      <c r="E114" s="17">
        <v>250</v>
      </c>
      <c r="F114" s="18">
        <f>IF(A114="","",SUMIFS(Movimientos!$L$9:$L$400,Movimientos!$A$9:$A$400,"&gt;="&amp;$A114,Movimientos!$A$9:$A$400,"&lt;"&amp;EDATE($A114,1),Movimientos!$F$9:$F$400,$B114,Movimientos!$G$9:$G$400,$C114,Movimientos!$D$9:$D$400,IF($D114="Ingresos","Ingreso",IF($D114="Ahorro","Ahorro","Gasto"))))</f>
        <v>232.75</v>
      </c>
      <c r="G114" s="18">
        <f t="shared" si="3"/>
        <v>-17.25</v>
      </c>
      <c r="H114" s="20">
        <f t="shared" si="4"/>
        <v>0.93100000000000005</v>
      </c>
      <c r="I114" s="15" t="str">
        <f t="shared" si="5"/>
        <v>Casi</v>
      </c>
    </row>
    <row r="115" spans="1:9" x14ac:dyDescent="0.25">
      <c r="A115" s="19">
        <v>45809</v>
      </c>
      <c r="B115" s="15" t="s">
        <v>116</v>
      </c>
      <c r="C115" s="15" t="s">
        <v>41</v>
      </c>
      <c r="D115" s="15" t="s">
        <v>30</v>
      </c>
      <c r="E115" s="17">
        <v>60</v>
      </c>
      <c r="F115" s="18">
        <f>IF(A115="","",SUMIFS(Movimientos!$L$9:$L$400,Movimientos!$A$9:$A$400,"&gt;="&amp;$A115,Movimientos!$A$9:$A$400,"&lt;"&amp;EDATE($A115,1),Movimientos!$F$9:$F$400,$B115,Movimientos!$G$9:$G$400,$C115,Movimientos!$D$9:$D$400,IF($D115="Ingresos","Ingreso",IF($D115="Ahorro","Ahorro","Gasto"))))</f>
        <v>64.989999999999995</v>
      </c>
      <c r="G115" s="18">
        <f t="shared" si="3"/>
        <v>4.9899999999999949</v>
      </c>
      <c r="H115" s="20">
        <f t="shared" si="4"/>
        <v>1.0831666666666666</v>
      </c>
      <c r="I115" s="15" t="str">
        <f t="shared" si="5"/>
        <v>Bien</v>
      </c>
    </row>
    <row r="116" spans="1:9" x14ac:dyDescent="0.25">
      <c r="A116" s="19">
        <v>45839</v>
      </c>
      <c r="B116" s="15" t="s">
        <v>73</v>
      </c>
      <c r="C116" s="15" t="s">
        <v>74</v>
      </c>
      <c r="D116" s="15" t="s">
        <v>37</v>
      </c>
      <c r="E116" s="17">
        <v>2450</v>
      </c>
      <c r="F116" s="18">
        <f>IF(A116="","",SUMIFS(Movimientos!$L$9:$L$400,Movimientos!$A$9:$A$400,"&gt;="&amp;$A116,Movimientos!$A$9:$A$400,"&lt;"&amp;EDATE($A116,1),Movimientos!$F$9:$F$400,$B116,Movimientos!$G$9:$G$400,$C116,Movimientos!$D$9:$D$400,IF($D116="Ingresos","Ingreso",IF($D116="Ahorro","Ahorro","Gasto"))))</f>
        <v>2429</v>
      </c>
      <c r="G116" s="18">
        <f t="shared" si="3"/>
        <v>-21</v>
      </c>
      <c r="H116" s="20">
        <f t="shared" si="4"/>
        <v>0.99142857142857144</v>
      </c>
      <c r="I116" s="15" t="str">
        <f t="shared" si="5"/>
        <v>Casi</v>
      </c>
    </row>
    <row r="117" spans="1:9" x14ac:dyDescent="0.25">
      <c r="A117" s="19">
        <v>45839</v>
      </c>
      <c r="B117" s="15" t="s">
        <v>118</v>
      </c>
      <c r="C117" s="15" t="s">
        <v>119</v>
      </c>
      <c r="D117" s="15" t="s">
        <v>37</v>
      </c>
      <c r="E117" s="17">
        <v>150</v>
      </c>
      <c r="F117" s="18">
        <f>IF(A117="","",SUMIFS(Movimientos!$L$9:$L$400,Movimientos!$A$9:$A$400,"&gt;="&amp;$A117,Movimientos!$A$9:$A$400,"&lt;"&amp;EDATE($A117,1),Movimientos!$F$9:$F$400,$B117,Movimientos!$G$9:$G$400,$C117,Movimientos!$D$9:$D$400,IF($D117="Ingresos","Ingreso",IF($D117="Ahorro","Ahorro","Gasto"))))</f>
        <v>106.12</v>
      </c>
      <c r="G117" s="18">
        <f t="shared" si="3"/>
        <v>-43.879999999999995</v>
      </c>
      <c r="H117" s="20">
        <f t="shared" si="4"/>
        <v>0.70746666666666669</v>
      </c>
      <c r="I117" s="15" t="str">
        <f t="shared" si="5"/>
        <v>Bajo</v>
      </c>
    </row>
    <row r="118" spans="1:9" x14ac:dyDescent="0.25">
      <c r="A118" s="19">
        <v>45839</v>
      </c>
      <c r="B118" s="15" t="s">
        <v>81</v>
      </c>
      <c r="C118" s="15" t="s">
        <v>28</v>
      </c>
      <c r="D118" s="15" t="s">
        <v>9</v>
      </c>
      <c r="E118" s="17">
        <v>980</v>
      </c>
      <c r="F118" s="18">
        <f>IF(A118="","",SUMIFS(Movimientos!$L$9:$L$400,Movimientos!$A$9:$A$400,"&gt;="&amp;$A118,Movimientos!$A$9:$A$400,"&lt;"&amp;EDATE($A118,1),Movimientos!$F$9:$F$400,$B118,Movimientos!$G$9:$G$400,$C118,Movimientos!$D$9:$D$400,IF($D118="Ingresos","Ingreso",IF($D118="Ahorro","Ahorro","Gasto"))))</f>
        <v>980</v>
      </c>
      <c r="G118" s="18">
        <f t="shared" si="3"/>
        <v>0</v>
      </c>
      <c r="H118" s="20">
        <f t="shared" si="4"/>
        <v>1</v>
      </c>
      <c r="I118" s="15" t="str">
        <f t="shared" si="5"/>
        <v>Bien</v>
      </c>
    </row>
    <row r="119" spans="1:9" x14ac:dyDescent="0.25">
      <c r="A119" s="19">
        <v>45839</v>
      </c>
      <c r="B119" s="15" t="s">
        <v>91</v>
      </c>
      <c r="C119" s="15" t="s">
        <v>28</v>
      </c>
      <c r="D119" s="15" t="s">
        <v>9</v>
      </c>
      <c r="E119" s="17">
        <v>27</v>
      </c>
      <c r="F119" s="18">
        <f>IF(A119="","",SUMIFS(Movimientos!$L$9:$L$400,Movimientos!$A$9:$A$400,"&gt;="&amp;$A119,Movimientos!$A$9:$A$400,"&lt;"&amp;EDATE($A119,1),Movimientos!$F$9:$F$400,$B119,Movimientos!$G$9:$G$400,$C119,Movimientos!$D$9:$D$400,IF($D119="Ingresos","Ingreso",IF($D119="Ahorro","Ahorro","Gasto"))))</f>
        <v>22.83</v>
      </c>
      <c r="G119" s="18">
        <f t="shared" si="3"/>
        <v>-4.1700000000000017</v>
      </c>
      <c r="H119" s="20">
        <f t="shared" si="4"/>
        <v>0.8455555555555555</v>
      </c>
      <c r="I119" s="15" t="str">
        <f t="shared" si="5"/>
        <v>Bien</v>
      </c>
    </row>
    <row r="120" spans="1:9" x14ac:dyDescent="0.25">
      <c r="A120" s="19">
        <v>45839</v>
      </c>
      <c r="B120" s="15" t="s">
        <v>94</v>
      </c>
      <c r="C120" s="15" t="s">
        <v>28</v>
      </c>
      <c r="D120" s="15" t="s">
        <v>9</v>
      </c>
      <c r="E120" s="17">
        <v>22</v>
      </c>
      <c r="F120" s="18">
        <f>IF(A120="","",SUMIFS(Movimientos!$L$9:$L$400,Movimientos!$A$9:$A$400,"&gt;="&amp;$A120,Movimientos!$A$9:$A$400,"&lt;"&amp;EDATE($A120,1),Movimientos!$F$9:$F$400,$B120,Movimientos!$G$9:$G$400,$C120,Movimientos!$D$9:$D$400,IF($D120="Ingresos","Ingreso",IF($D120="Ahorro","Ahorro","Gasto"))))</f>
        <v>20.39</v>
      </c>
      <c r="G120" s="18">
        <f t="shared" si="3"/>
        <v>-1.6099999999999994</v>
      </c>
      <c r="H120" s="20">
        <f t="shared" si="4"/>
        <v>0.92681818181818187</v>
      </c>
      <c r="I120" s="15" t="str">
        <f t="shared" si="5"/>
        <v>Bien</v>
      </c>
    </row>
    <row r="121" spans="1:9" x14ac:dyDescent="0.25">
      <c r="A121" s="19">
        <v>45839</v>
      </c>
      <c r="B121" s="15" t="s">
        <v>96</v>
      </c>
      <c r="C121" s="15" t="s">
        <v>28</v>
      </c>
      <c r="D121" s="15" t="s">
        <v>9</v>
      </c>
      <c r="E121" s="17">
        <v>35</v>
      </c>
      <c r="F121" s="18">
        <f>IF(A121="","",SUMIFS(Movimientos!$L$9:$L$400,Movimientos!$A$9:$A$400,"&gt;="&amp;$A121,Movimientos!$A$9:$A$400,"&lt;"&amp;EDATE($A121,1),Movimientos!$F$9:$F$400,$B121,Movimientos!$G$9:$G$400,$C121,Movimientos!$D$9:$D$400,IF($D121="Ingresos","Ingreso",IF($D121="Ahorro","Ahorro","Gasto"))))</f>
        <v>35</v>
      </c>
      <c r="G121" s="18">
        <f t="shared" si="3"/>
        <v>0</v>
      </c>
      <c r="H121" s="20">
        <f t="shared" si="4"/>
        <v>1</v>
      </c>
      <c r="I121" s="15" t="str">
        <f t="shared" si="5"/>
        <v>Bien</v>
      </c>
    </row>
    <row r="122" spans="1:9" x14ac:dyDescent="0.25">
      <c r="A122" s="19">
        <v>45839</v>
      </c>
      <c r="B122" s="15" t="s">
        <v>100</v>
      </c>
      <c r="C122" s="15" t="s">
        <v>39</v>
      </c>
      <c r="D122" s="15" t="s">
        <v>9</v>
      </c>
      <c r="E122" s="17">
        <v>24</v>
      </c>
      <c r="F122" s="18">
        <f>IF(A122="","",SUMIFS(Movimientos!$L$9:$L$400,Movimientos!$A$9:$A$400,"&gt;="&amp;$A122,Movimientos!$A$9:$A$400,"&lt;"&amp;EDATE($A122,1),Movimientos!$F$9:$F$400,$B122,Movimientos!$G$9:$G$400,$C122,Movimientos!$D$9:$D$400,IF($D122="Ingresos","Ingreso",IF($D122="Ahorro","Ahorro","Gasto"))))</f>
        <v>24</v>
      </c>
      <c r="G122" s="18">
        <f t="shared" si="3"/>
        <v>0</v>
      </c>
      <c r="H122" s="20">
        <f t="shared" si="4"/>
        <v>1</v>
      </c>
      <c r="I122" s="15" t="str">
        <f t="shared" si="5"/>
        <v>Bien</v>
      </c>
    </row>
    <row r="123" spans="1:9" x14ac:dyDescent="0.25">
      <c r="A123" s="19">
        <v>45839</v>
      </c>
      <c r="B123" s="15" t="s">
        <v>84</v>
      </c>
      <c r="C123" s="15" t="s">
        <v>29</v>
      </c>
      <c r="D123" s="15" t="s">
        <v>9</v>
      </c>
      <c r="E123" s="17">
        <v>330</v>
      </c>
      <c r="F123" s="18">
        <f>IF(A123="","",SUMIFS(Movimientos!$L$9:$L$400,Movimientos!$A$9:$A$400,"&gt;="&amp;$A123,Movimientos!$A$9:$A$400,"&lt;"&amp;EDATE($A123,1),Movimientos!$F$9:$F$400,$B123,Movimientos!$G$9:$G$400,$C123,Movimientos!$D$9:$D$400,IF($D123="Ingresos","Ingreso",IF($D123="Ahorro","Ahorro","Gasto"))))</f>
        <v>327.96999999999997</v>
      </c>
      <c r="G123" s="18">
        <f t="shared" si="3"/>
        <v>-2.0300000000000296</v>
      </c>
      <c r="H123" s="20">
        <f t="shared" si="4"/>
        <v>0.99384848484848476</v>
      </c>
      <c r="I123" s="15" t="str">
        <f t="shared" si="5"/>
        <v>Bien</v>
      </c>
    </row>
    <row r="124" spans="1:9" x14ac:dyDescent="0.25">
      <c r="A124" s="19">
        <v>45839</v>
      </c>
      <c r="B124" s="15" t="s">
        <v>102</v>
      </c>
      <c r="C124" s="15" t="s">
        <v>29</v>
      </c>
      <c r="D124" s="15" t="s">
        <v>9</v>
      </c>
      <c r="E124" s="17">
        <v>85</v>
      </c>
      <c r="F124" s="18">
        <f>IF(A124="","",SUMIFS(Movimientos!$L$9:$L$400,Movimientos!$A$9:$A$400,"&gt;="&amp;$A124,Movimientos!$A$9:$A$400,"&lt;"&amp;EDATE($A124,1),Movimientos!$F$9:$F$400,$B124,Movimientos!$G$9:$G$400,$C124,Movimientos!$D$9:$D$400,IF($D124="Ingresos","Ingreso",IF($D124="Ahorro","Ahorro","Gasto"))))</f>
        <v>80.260000000000005</v>
      </c>
      <c r="G124" s="18">
        <f t="shared" si="3"/>
        <v>-4.7399999999999949</v>
      </c>
      <c r="H124" s="20">
        <f t="shared" si="4"/>
        <v>0.94423529411764717</v>
      </c>
      <c r="I124" s="15" t="str">
        <f t="shared" si="5"/>
        <v>Bien</v>
      </c>
    </row>
    <row r="125" spans="1:9" x14ac:dyDescent="0.25">
      <c r="A125" s="19">
        <v>45839</v>
      </c>
      <c r="B125" s="15" t="s">
        <v>89</v>
      </c>
      <c r="C125" s="15" t="s">
        <v>31</v>
      </c>
      <c r="D125" s="15" t="s">
        <v>9</v>
      </c>
      <c r="E125" s="17">
        <v>42</v>
      </c>
      <c r="F125" s="18">
        <f>IF(A125="","",SUMIFS(Movimientos!$L$9:$L$400,Movimientos!$A$9:$A$400,"&gt;="&amp;$A125,Movimientos!$A$9:$A$400,"&lt;"&amp;EDATE($A125,1),Movimientos!$F$9:$F$400,$B125,Movimientos!$G$9:$G$400,$C125,Movimientos!$D$9:$D$400,IF($D125="Ingresos","Ingreso",IF($D125="Ahorro","Ahorro","Gasto"))))</f>
        <v>38.51</v>
      </c>
      <c r="G125" s="18">
        <f t="shared" si="3"/>
        <v>-3.490000000000002</v>
      </c>
      <c r="H125" s="20">
        <f t="shared" si="4"/>
        <v>0.91690476190476189</v>
      </c>
      <c r="I125" s="15" t="str">
        <f t="shared" si="5"/>
        <v>Bien</v>
      </c>
    </row>
    <row r="126" spans="1:9" x14ac:dyDescent="0.25">
      <c r="A126" s="19">
        <v>45839</v>
      </c>
      <c r="B126" s="15" t="s">
        <v>122</v>
      </c>
      <c r="C126" s="15" t="s">
        <v>31</v>
      </c>
      <c r="D126" s="15" t="s">
        <v>9</v>
      </c>
      <c r="E126" s="17">
        <v>12</v>
      </c>
      <c r="F126" s="18">
        <f>IF(A126="","",SUMIFS(Movimientos!$L$9:$L$400,Movimientos!$A$9:$A$400,"&gt;="&amp;$A126,Movimientos!$A$9:$A$400,"&lt;"&amp;EDATE($A126,1),Movimientos!$F$9:$F$400,$B126,Movimientos!$G$9:$G$400,$C126,Movimientos!$D$9:$D$400,IF($D126="Ingresos","Ingreso",IF($D126="Ahorro","Ahorro","Gasto"))))</f>
        <v>0</v>
      </c>
      <c r="G126" s="18">
        <f t="shared" si="3"/>
        <v>-12</v>
      </c>
      <c r="H126" s="20">
        <f t="shared" si="4"/>
        <v>0</v>
      </c>
      <c r="I126" s="15" t="str">
        <f t="shared" si="5"/>
        <v>Bien</v>
      </c>
    </row>
    <row r="127" spans="1:9" x14ac:dyDescent="0.25">
      <c r="A127" s="19">
        <v>45839</v>
      </c>
      <c r="B127" s="15" t="s">
        <v>105</v>
      </c>
      <c r="C127" s="15" t="s">
        <v>32</v>
      </c>
      <c r="D127" s="15" t="s">
        <v>9</v>
      </c>
      <c r="E127" s="17">
        <v>18</v>
      </c>
      <c r="F127" s="18">
        <f>IF(A127="","",SUMIFS(Movimientos!$L$9:$L$400,Movimientos!$A$9:$A$400,"&gt;="&amp;$A127,Movimientos!$A$9:$A$400,"&lt;"&amp;EDATE($A127,1),Movimientos!$F$9:$F$400,$B127,Movimientos!$G$9:$G$400,$C127,Movimientos!$D$9:$D$400,IF($D127="Ingresos","Ingreso",IF($D127="Ahorro","Ahorro","Gasto"))))</f>
        <v>0</v>
      </c>
      <c r="G127" s="18">
        <f t="shared" si="3"/>
        <v>-18</v>
      </c>
      <c r="H127" s="20">
        <f t="shared" si="4"/>
        <v>0</v>
      </c>
      <c r="I127" s="15" t="str">
        <f t="shared" si="5"/>
        <v>Bien</v>
      </c>
    </row>
    <row r="128" spans="1:9" x14ac:dyDescent="0.25">
      <c r="A128" s="19">
        <v>45839</v>
      </c>
      <c r="B128" s="15" t="s">
        <v>98</v>
      </c>
      <c r="C128" s="15" t="s">
        <v>32</v>
      </c>
      <c r="D128" s="15" t="s">
        <v>9</v>
      </c>
      <c r="E128" s="17">
        <v>18</v>
      </c>
      <c r="F128" s="18">
        <f>IF(A128="","",SUMIFS(Movimientos!$L$9:$L$400,Movimientos!$A$9:$A$400,"&gt;="&amp;$A128,Movimientos!$A$9:$A$400,"&lt;"&amp;EDATE($A128,1),Movimientos!$F$9:$F$400,$B128,Movimientos!$G$9:$G$400,$C128,Movimientos!$D$9:$D$400,IF($D128="Ingresos","Ingreso",IF($D128="Ahorro","Ahorro","Gasto"))))</f>
        <v>18</v>
      </c>
      <c r="G128" s="18">
        <f t="shared" si="3"/>
        <v>0</v>
      </c>
      <c r="H128" s="20">
        <f t="shared" si="4"/>
        <v>1</v>
      </c>
      <c r="I128" s="15" t="str">
        <f t="shared" si="5"/>
        <v>Bien</v>
      </c>
    </row>
    <row r="129" spans="1:9" x14ac:dyDescent="0.25">
      <c r="A129" s="19">
        <v>45839</v>
      </c>
      <c r="B129" s="15" t="s">
        <v>107</v>
      </c>
      <c r="C129" s="15" t="s">
        <v>33</v>
      </c>
      <c r="D129" s="15" t="s">
        <v>10</v>
      </c>
      <c r="E129" s="17">
        <v>65</v>
      </c>
      <c r="F129" s="18">
        <f>IF(A129="","",SUMIFS(Movimientos!$L$9:$L$400,Movimientos!$A$9:$A$400,"&gt;="&amp;$A129,Movimientos!$A$9:$A$400,"&lt;"&amp;EDATE($A129,1),Movimientos!$F$9:$F$400,$B129,Movimientos!$G$9:$G$400,$C129,Movimientos!$D$9:$D$400,IF($D129="Ingresos","Ingreso",IF($D129="Ahorro","Ahorro","Gasto"))))</f>
        <v>75.390000000000015</v>
      </c>
      <c r="G129" s="18">
        <f t="shared" si="3"/>
        <v>10.390000000000015</v>
      </c>
      <c r="H129" s="20">
        <f t="shared" si="4"/>
        <v>1.159846153846154</v>
      </c>
      <c r="I129" s="15" t="str">
        <f t="shared" si="5"/>
        <v>Exceso</v>
      </c>
    </row>
    <row r="130" spans="1:9" x14ac:dyDescent="0.25">
      <c r="A130" s="19">
        <v>45839</v>
      </c>
      <c r="B130" s="15" t="s">
        <v>109</v>
      </c>
      <c r="C130" s="15" t="s">
        <v>33</v>
      </c>
      <c r="D130" s="15" t="s">
        <v>10</v>
      </c>
      <c r="E130" s="17">
        <v>25</v>
      </c>
      <c r="F130" s="18">
        <f>IF(A130="","",SUMIFS(Movimientos!$L$9:$L$400,Movimientos!$A$9:$A$400,"&gt;="&amp;$A130,Movimientos!$A$9:$A$400,"&lt;"&amp;EDATE($A130,1),Movimientos!$F$9:$F$400,$B130,Movimientos!$G$9:$G$400,$C130,Movimientos!$D$9:$D$400,IF($D130="Ingresos","Ingreso",IF($D130="Ahorro","Ahorro","Gasto"))))</f>
        <v>15.96</v>
      </c>
      <c r="G130" s="18">
        <f t="shared" si="3"/>
        <v>-9.0399999999999991</v>
      </c>
      <c r="H130" s="20">
        <f t="shared" si="4"/>
        <v>0.63840000000000008</v>
      </c>
      <c r="I130" s="15" t="str">
        <f t="shared" si="5"/>
        <v>Bien</v>
      </c>
    </row>
    <row r="131" spans="1:9" x14ac:dyDescent="0.25">
      <c r="A131" s="19">
        <v>45839</v>
      </c>
      <c r="B131" s="15" t="s">
        <v>111</v>
      </c>
      <c r="C131" s="15" t="s">
        <v>35</v>
      </c>
      <c r="D131" s="15" t="s">
        <v>10</v>
      </c>
      <c r="E131" s="17">
        <v>40</v>
      </c>
      <c r="F131" s="18">
        <f>IF(A131="","",SUMIFS(Movimientos!$L$9:$L$400,Movimientos!$A$9:$A$400,"&gt;="&amp;$A131,Movimientos!$A$9:$A$400,"&lt;"&amp;EDATE($A131,1),Movimientos!$F$9:$F$400,$B131,Movimientos!$G$9:$G$400,$C131,Movimientos!$D$9:$D$400,IF($D131="Ingresos","Ingreso",IF($D131="Ahorro","Ahorro","Gasto"))))</f>
        <v>49.13</v>
      </c>
      <c r="G131" s="18">
        <f t="shared" si="3"/>
        <v>9.1300000000000026</v>
      </c>
      <c r="H131" s="20">
        <f t="shared" si="4"/>
        <v>1.2282500000000001</v>
      </c>
      <c r="I131" s="15" t="str">
        <f t="shared" si="5"/>
        <v>Exceso</v>
      </c>
    </row>
    <row r="132" spans="1:9" x14ac:dyDescent="0.25">
      <c r="A132" s="19">
        <v>45839</v>
      </c>
      <c r="B132" s="15" t="s">
        <v>114</v>
      </c>
      <c r="C132" s="15" t="s">
        <v>41</v>
      </c>
      <c r="D132" s="15" t="s">
        <v>30</v>
      </c>
      <c r="E132" s="17">
        <v>250</v>
      </c>
      <c r="F132" s="18">
        <f>IF(A132="","",SUMIFS(Movimientos!$L$9:$L$400,Movimientos!$A$9:$A$400,"&gt;="&amp;$A132,Movimientos!$A$9:$A$400,"&lt;"&amp;EDATE($A132,1),Movimientos!$F$9:$F$400,$B132,Movimientos!$G$9:$G$400,$C132,Movimientos!$D$9:$D$400,IF($D132="Ingresos","Ingreso",IF($D132="Ahorro","Ahorro","Gasto"))))</f>
        <v>241.2</v>
      </c>
      <c r="G132" s="18">
        <f t="shared" si="3"/>
        <v>-8.8000000000000114</v>
      </c>
      <c r="H132" s="20">
        <f t="shared" si="4"/>
        <v>0.96479999999999999</v>
      </c>
      <c r="I132" s="15" t="str">
        <f t="shared" si="5"/>
        <v>Casi</v>
      </c>
    </row>
    <row r="133" spans="1:9" x14ac:dyDescent="0.25">
      <c r="A133" s="19">
        <v>45839</v>
      </c>
      <c r="B133" s="15" t="s">
        <v>116</v>
      </c>
      <c r="C133" s="15" t="s">
        <v>41</v>
      </c>
      <c r="D133" s="15" t="s">
        <v>30</v>
      </c>
      <c r="E133" s="17">
        <v>60</v>
      </c>
      <c r="F133" s="18">
        <f>IF(A133="","",SUMIFS(Movimientos!$L$9:$L$400,Movimientos!$A$9:$A$400,"&gt;="&amp;$A133,Movimientos!$A$9:$A$400,"&lt;"&amp;EDATE($A133,1),Movimientos!$F$9:$F$400,$B133,Movimientos!$G$9:$G$400,$C133,Movimientos!$D$9:$D$400,IF($D133="Ingresos","Ingreso",IF($D133="Ahorro","Ahorro","Gasto"))))</f>
        <v>52.57</v>
      </c>
      <c r="G133" s="18">
        <f t="shared" si="3"/>
        <v>-7.43</v>
      </c>
      <c r="H133" s="20">
        <f t="shared" si="4"/>
        <v>0.87616666666666665</v>
      </c>
      <c r="I133" s="15" t="str">
        <f t="shared" si="5"/>
        <v>Bajo</v>
      </c>
    </row>
    <row r="134" spans="1:9" x14ac:dyDescent="0.25">
      <c r="A134" s="19">
        <v>45870</v>
      </c>
      <c r="B134" s="15" t="s">
        <v>73</v>
      </c>
      <c r="C134" s="15" t="s">
        <v>74</v>
      </c>
      <c r="D134" s="15" t="s">
        <v>37</v>
      </c>
      <c r="E134" s="17">
        <v>2450</v>
      </c>
      <c r="F134" s="18">
        <f>IF(A134="","",SUMIFS(Movimientos!$L$9:$L$400,Movimientos!$A$9:$A$400,"&gt;="&amp;$A134,Movimientos!$A$9:$A$400,"&lt;"&amp;EDATE($A134,1),Movimientos!$F$9:$F$400,$B134,Movimientos!$G$9:$G$400,$C134,Movimientos!$D$9:$D$400,IF($D134="Ingresos","Ingreso",IF($D134="Ahorro","Ahorro","Gasto"))))</f>
        <v>2469.13</v>
      </c>
      <c r="G134" s="18">
        <f t="shared" si="3"/>
        <v>19.130000000000109</v>
      </c>
      <c r="H134" s="20">
        <f t="shared" si="4"/>
        <v>1.0078081632653062</v>
      </c>
      <c r="I134" s="15" t="str">
        <f t="shared" si="5"/>
        <v>Bien</v>
      </c>
    </row>
    <row r="135" spans="1:9" x14ac:dyDescent="0.25">
      <c r="A135" s="19">
        <v>45870</v>
      </c>
      <c r="B135" s="15" t="s">
        <v>118</v>
      </c>
      <c r="C135" s="15" t="s">
        <v>119</v>
      </c>
      <c r="D135" s="15" t="s">
        <v>37</v>
      </c>
      <c r="E135" s="17">
        <v>0</v>
      </c>
      <c r="F135" s="18">
        <f>IF(A135="","",SUMIFS(Movimientos!$L$9:$L$400,Movimientos!$A$9:$A$400,"&gt;="&amp;$A135,Movimientos!$A$9:$A$400,"&lt;"&amp;EDATE($A135,1),Movimientos!$F$9:$F$400,$B135,Movimientos!$G$9:$G$400,$C135,Movimientos!$D$9:$D$400,IF($D135="Ingresos","Ingreso",IF($D135="Ahorro","Ahorro","Gasto"))))</f>
        <v>0</v>
      </c>
      <c r="G135" s="18">
        <f t="shared" si="3"/>
        <v>0</v>
      </c>
      <c r="H135" s="20" t="str">
        <f t="shared" si="4"/>
        <v/>
      </c>
      <c r="I135" s="15" t="str">
        <f t="shared" si="5"/>
        <v>Bien</v>
      </c>
    </row>
    <row r="136" spans="1:9" x14ac:dyDescent="0.25">
      <c r="A136" s="19">
        <v>45870</v>
      </c>
      <c r="B136" s="15" t="s">
        <v>81</v>
      </c>
      <c r="C136" s="15" t="s">
        <v>28</v>
      </c>
      <c r="D136" s="15" t="s">
        <v>9</v>
      </c>
      <c r="E136" s="17">
        <v>980</v>
      </c>
      <c r="F136" s="18">
        <f>IF(A136="","",SUMIFS(Movimientos!$L$9:$L$400,Movimientos!$A$9:$A$400,"&gt;="&amp;$A136,Movimientos!$A$9:$A$400,"&lt;"&amp;EDATE($A136,1),Movimientos!$F$9:$F$400,$B136,Movimientos!$G$9:$G$400,$C136,Movimientos!$D$9:$D$400,IF($D136="Ingresos","Ingreso",IF($D136="Ahorro","Ahorro","Gasto"))))</f>
        <v>980</v>
      </c>
      <c r="G136" s="18">
        <f t="shared" ref="G136:G199" si="6">IF(E136="","",F136-E136)</f>
        <v>0</v>
      </c>
      <c r="H136" s="20">
        <f t="shared" ref="H136:H199" si="7">IF(E136=0,"",F136/E136)</f>
        <v>1</v>
      </c>
      <c r="I136" s="15" t="str">
        <f t="shared" ref="I136:I199" si="8">IF(E136="","",IF($D136="Ingresos",IF(H136&gt;=1,"Bien",IF(H136&gt;=0.95,"Casi","Bajo")),IF($D136="Ahorro",IF(H136&gt;=1,"Bien",IF(H136&gt;=0.9,"Casi","Bajo")),IF(H136&lt;=1,"Bien",IF(H136&lt;=1.1,"Vigilar","Exceso")))))</f>
        <v>Bien</v>
      </c>
    </row>
    <row r="137" spans="1:9" x14ac:dyDescent="0.25">
      <c r="A137" s="19">
        <v>45870</v>
      </c>
      <c r="B137" s="15" t="s">
        <v>91</v>
      </c>
      <c r="C137" s="15" t="s">
        <v>28</v>
      </c>
      <c r="D137" s="15" t="s">
        <v>9</v>
      </c>
      <c r="E137" s="17">
        <v>29</v>
      </c>
      <c r="F137" s="18">
        <f>IF(A137="","",SUMIFS(Movimientos!$L$9:$L$400,Movimientos!$A$9:$A$400,"&gt;="&amp;$A137,Movimientos!$A$9:$A$400,"&lt;"&amp;EDATE($A137,1),Movimientos!$F$9:$F$400,$B137,Movimientos!$G$9:$G$400,$C137,Movimientos!$D$9:$D$400,IF($D137="Ingresos","Ingreso",IF($D137="Ahorro","Ahorro","Gasto"))))</f>
        <v>28.18</v>
      </c>
      <c r="G137" s="18">
        <f t="shared" si="6"/>
        <v>-0.82000000000000028</v>
      </c>
      <c r="H137" s="20">
        <f t="shared" si="7"/>
        <v>0.97172413793103452</v>
      </c>
      <c r="I137" s="15" t="str">
        <f t="shared" si="8"/>
        <v>Bien</v>
      </c>
    </row>
    <row r="138" spans="1:9" x14ac:dyDescent="0.25">
      <c r="A138" s="19">
        <v>45870</v>
      </c>
      <c r="B138" s="15" t="s">
        <v>94</v>
      </c>
      <c r="C138" s="15" t="s">
        <v>28</v>
      </c>
      <c r="D138" s="15" t="s">
        <v>9</v>
      </c>
      <c r="E138" s="17">
        <v>22</v>
      </c>
      <c r="F138" s="18">
        <f>IF(A138="","",SUMIFS(Movimientos!$L$9:$L$400,Movimientos!$A$9:$A$400,"&gt;="&amp;$A138,Movimientos!$A$9:$A$400,"&lt;"&amp;EDATE($A138,1),Movimientos!$F$9:$F$400,$B138,Movimientos!$G$9:$G$400,$C138,Movimientos!$D$9:$D$400,IF($D138="Ingresos","Ingreso",IF($D138="Ahorro","Ahorro","Gasto"))))</f>
        <v>20.64</v>
      </c>
      <c r="G138" s="18">
        <f t="shared" si="6"/>
        <v>-1.3599999999999994</v>
      </c>
      <c r="H138" s="20">
        <f t="shared" si="7"/>
        <v>0.93818181818181823</v>
      </c>
      <c r="I138" s="15" t="str">
        <f t="shared" si="8"/>
        <v>Bien</v>
      </c>
    </row>
    <row r="139" spans="1:9" x14ac:dyDescent="0.25">
      <c r="A139" s="19">
        <v>45870</v>
      </c>
      <c r="B139" s="15" t="s">
        <v>96</v>
      </c>
      <c r="C139" s="15" t="s">
        <v>28</v>
      </c>
      <c r="D139" s="15" t="s">
        <v>9</v>
      </c>
      <c r="E139" s="17">
        <v>35</v>
      </c>
      <c r="F139" s="18">
        <f>IF(A139="","",SUMIFS(Movimientos!$L$9:$L$400,Movimientos!$A$9:$A$400,"&gt;="&amp;$A139,Movimientos!$A$9:$A$400,"&lt;"&amp;EDATE($A139,1),Movimientos!$F$9:$F$400,$B139,Movimientos!$G$9:$G$400,$C139,Movimientos!$D$9:$D$400,IF($D139="Ingresos","Ingreso",IF($D139="Ahorro","Ahorro","Gasto"))))</f>
        <v>35</v>
      </c>
      <c r="G139" s="18">
        <f t="shared" si="6"/>
        <v>0</v>
      </c>
      <c r="H139" s="20">
        <f t="shared" si="7"/>
        <v>1</v>
      </c>
      <c r="I139" s="15" t="str">
        <f t="shared" si="8"/>
        <v>Bien</v>
      </c>
    </row>
    <row r="140" spans="1:9" x14ac:dyDescent="0.25">
      <c r="A140" s="19">
        <v>45870</v>
      </c>
      <c r="B140" s="15" t="s">
        <v>100</v>
      </c>
      <c r="C140" s="15" t="s">
        <v>39</v>
      </c>
      <c r="D140" s="15" t="s">
        <v>9</v>
      </c>
      <c r="E140" s="17">
        <v>24</v>
      </c>
      <c r="F140" s="18">
        <f>IF(A140="","",SUMIFS(Movimientos!$L$9:$L$400,Movimientos!$A$9:$A$400,"&gt;="&amp;$A140,Movimientos!$A$9:$A$400,"&lt;"&amp;EDATE($A140,1),Movimientos!$F$9:$F$400,$B140,Movimientos!$G$9:$G$400,$C140,Movimientos!$D$9:$D$400,IF($D140="Ingresos","Ingreso",IF($D140="Ahorro","Ahorro","Gasto"))))</f>
        <v>24</v>
      </c>
      <c r="G140" s="18">
        <f t="shared" si="6"/>
        <v>0</v>
      </c>
      <c r="H140" s="20">
        <f t="shared" si="7"/>
        <v>1</v>
      </c>
      <c r="I140" s="15" t="str">
        <f t="shared" si="8"/>
        <v>Bien</v>
      </c>
    </row>
    <row r="141" spans="1:9" x14ac:dyDescent="0.25">
      <c r="A141" s="19">
        <v>45870</v>
      </c>
      <c r="B141" s="15" t="s">
        <v>84</v>
      </c>
      <c r="C141" s="15" t="s">
        <v>29</v>
      </c>
      <c r="D141" s="15" t="s">
        <v>9</v>
      </c>
      <c r="E141" s="17">
        <v>330</v>
      </c>
      <c r="F141" s="18">
        <f>IF(A141="","",SUMIFS(Movimientos!$L$9:$L$400,Movimientos!$A$9:$A$400,"&gt;="&amp;$A141,Movimientos!$A$9:$A$400,"&lt;"&amp;EDATE($A141,1),Movimientos!$F$9:$F$400,$B141,Movimientos!$G$9:$G$400,$C141,Movimientos!$D$9:$D$400,IF($D141="Ingresos","Ingreso",IF($D141="Ahorro","Ahorro","Gasto"))))</f>
        <v>349.7</v>
      </c>
      <c r="G141" s="18">
        <f t="shared" si="6"/>
        <v>19.699999999999989</v>
      </c>
      <c r="H141" s="20">
        <f t="shared" si="7"/>
        <v>1.0596969696969696</v>
      </c>
      <c r="I141" s="15" t="str">
        <f t="shared" si="8"/>
        <v>Vigilar</v>
      </c>
    </row>
    <row r="142" spans="1:9" x14ac:dyDescent="0.25">
      <c r="A142" s="19">
        <v>45870</v>
      </c>
      <c r="B142" s="15" t="s">
        <v>102</v>
      </c>
      <c r="C142" s="15" t="s">
        <v>29</v>
      </c>
      <c r="D142" s="15" t="s">
        <v>9</v>
      </c>
      <c r="E142" s="17">
        <v>85</v>
      </c>
      <c r="F142" s="18">
        <f>IF(A142="","",SUMIFS(Movimientos!$L$9:$L$400,Movimientos!$A$9:$A$400,"&gt;="&amp;$A142,Movimientos!$A$9:$A$400,"&lt;"&amp;EDATE($A142,1),Movimientos!$F$9:$F$400,$B142,Movimientos!$G$9:$G$400,$C142,Movimientos!$D$9:$D$400,IF($D142="Ingresos","Ingreso",IF($D142="Ahorro","Ahorro","Gasto"))))</f>
        <v>90.16</v>
      </c>
      <c r="G142" s="18">
        <f t="shared" si="6"/>
        <v>5.1599999999999966</v>
      </c>
      <c r="H142" s="20">
        <f t="shared" si="7"/>
        <v>1.0607058823529412</v>
      </c>
      <c r="I142" s="15" t="str">
        <f t="shared" si="8"/>
        <v>Vigilar</v>
      </c>
    </row>
    <row r="143" spans="1:9" x14ac:dyDescent="0.25">
      <c r="A143" s="19">
        <v>45870</v>
      </c>
      <c r="B143" s="15" t="s">
        <v>89</v>
      </c>
      <c r="C143" s="15" t="s">
        <v>31</v>
      </c>
      <c r="D143" s="15" t="s">
        <v>9</v>
      </c>
      <c r="E143" s="17">
        <v>42</v>
      </c>
      <c r="F143" s="18">
        <f>IF(A143="","",SUMIFS(Movimientos!$L$9:$L$400,Movimientos!$A$9:$A$400,"&gt;="&amp;$A143,Movimientos!$A$9:$A$400,"&lt;"&amp;EDATE($A143,1),Movimientos!$F$9:$F$400,$B143,Movimientos!$G$9:$G$400,$C143,Movimientos!$D$9:$D$400,IF($D143="Ingresos","Ingreso",IF($D143="Ahorro","Ahorro","Gasto"))))</f>
        <v>48.69</v>
      </c>
      <c r="G143" s="18">
        <f t="shared" si="6"/>
        <v>6.6899999999999977</v>
      </c>
      <c r="H143" s="20">
        <f t="shared" si="7"/>
        <v>1.1592857142857143</v>
      </c>
      <c r="I143" s="15" t="str">
        <f t="shared" si="8"/>
        <v>Exceso</v>
      </c>
    </row>
    <row r="144" spans="1:9" x14ac:dyDescent="0.25">
      <c r="A144" s="19">
        <v>45870</v>
      </c>
      <c r="B144" s="15" t="s">
        <v>122</v>
      </c>
      <c r="C144" s="15" t="s">
        <v>31</v>
      </c>
      <c r="D144" s="15" t="s">
        <v>9</v>
      </c>
      <c r="E144" s="17">
        <v>12</v>
      </c>
      <c r="F144" s="18">
        <f>IF(A144="","",SUMIFS(Movimientos!$L$9:$L$400,Movimientos!$A$9:$A$400,"&gt;="&amp;$A144,Movimientos!$A$9:$A$400,"&lt;"&amp;EDATE($A144,1),Movimientos!$F$9:$F$400,$B144,Movimientos!$G$9:$G$400,$C144,Movimientos!$D$9:$D$400,IF($D144="Ingresos","Ingreso",IF($D144="Ahorro","Ahorro","Gasto"))))</f>
        <v>11.83</v>
      </c>
      <c r="G144" s="18">
        <f t="shared" si="6"/>
        <v>-0.16999999999999993</v>
      </c>
      <c r="H144" s="20">
        <f t="shared" si="7"/>
        <v>0.98583333333333334</v>
      </c>
      <c r="I144" s="15" t="str">
        <f t="shared" si="8"/>
        <v>Bien</v>
      </c>
    </row>
    <row r="145" spans="1:9" x14ac:dyDescent="0.25">
      <c r="A145" s="19">
        <v>45870</v>
      </c>
      <c r="B145" s="15" t="s">
        <v>105</v>
      </c>
      <c r="C145" s="15" t="s">
        <v>32</v>
      </c>
      <c r="D145" s="15" t="s">
        <v>9</v>
      </c>
      <c r="E145" s="17">
        <v>18</v>
      </c>
      <c r="F145" s="18">
        <f>IF(A145="","",SUMIFS(Movimientos!$L$9:$L$400,Movimientos!$A$9:$A$400,"&gt;="&amp;$A145,Movimientos!$A$9:$A$400,"&lt;"&amp;EDATE($A145,1),Movimientos!$F$9:$F$400,$B145,Movimientos!$G$9:$G$400,$C145,Movimientos!$D$9:$D$400,IF($D145="Ingresos","Ingreso",IF($D145="Ahorro","Ahorro","Gasto"))))</f>
        <v>12.33</v>
      </c>
      <c r="G145" s="18">
        <f t="shared" si="6"/>
        <v>-5.67</v>
      </c>
      <c r="H145" s="20">
        <f t="shared" si="7"/>
        <v>0.68500000000000005</v>
      </c>
      <c r="I145" s="15" t="str">
        <f t="shared" si="8"/>
        <v>Bien</v>
      </c>
    </row>
    <row r="146" spans="1:9" x14ac:dyDescent="0.25">
      <c r="A146" s="19">
        <v>45870</v>
      </c>
      <c r="B146" s="15" t="s">
        <v>98</v>
      </c>
      <c r="C146" s="15" t="s">
        <v>32</v>
      </c>
      <c r="D146" s="15" t="s">
        <v>9</v>
      </c>
      <c r="E146" s="17">
        <v>18</v>
      </c>
      <c r="F146" s="18">
        <f>IF(A146="","",SUMIFS(Movimientos!$L$9:$L$400,Movimientos!$A$9:$A$400,"&gt;="&amp;$A146,Movimientos!$A$9:$A$400,"&lt;"&amp;EDATE($A146,1),Movimientos!$F$9:$F$400,$B146,Movimientos!$G$9:$G$400,$C146,Movimientos!$D$9:$D$400,IF($D146="Ingresos","Ingreso",IF($D146="Ahorro","Ahorro","Gasto"))))</f>
        <v>18</v>
      </c>
      <c r="G146" s="18">
        <f t="shared" si="6"/>
        <v>0</v>
      </c>
      <c r="H146" s="20">
        <f t="shared" si="7"/>
        <v>1</v>
      </c>
      <c r="I146" s="15" t="str">
        <f t="shared" si="8"/>
        <v>Bien</v>
      </c>
    </row>
    <row r="147" spans="1:9" x14ac:dyDescent="0.25">
      <c r="A147" s="19">
        <v>45870</v>
      </c>
      <c r="B147" s="15" t="s">
        <v>107</v>
      </c>
      <c r="C147" s="15" t="s">
        <v>33</v>
      </c>
      <c r="D147" s="15" t="s">
        <v>10</v>
      </c>
      <c r="E147" s="17">
        <v>65</v>
      </c>
      <c r="F147" s="18">
        <f>IF(A147="","",SUMIFS(Movimientos!$L$9:$L$400,Movimientos!$A$9:$A$400,"&gt;="&amp;$A147,Movimientos!$A$9:$A$400,"&lt;"&amp;EDATE($A147,1),Movimientos!$F$9:$F$400,$B147,Movimientos!$G$9:$G$400,$C147,Movimientos!$D$9:$D$400,IF($D147="Ingresos","Ingreso",IF($D147="Ahorro","Ahorro","Gasto"))))</f>
        <v>65.710000000000008</v>
      </c>
      <c r="G147" s="18">
        <f t="shared" si="6"/>
        <v>0.71000000000000796</v>
      </c>
      <c r="H147" s="20">
        <f t="shared" si="7"/>
        <v>1.010923076923077</v>
      </c>
      <c r="I147" s="15" t="str">
        <f t="shared" si="8"/>
        <v>Vigilar</v>
      </c>
    </row>
    <row r="148" spans="1:9" x14ac:dyDescent="0.25">
      <c r="A148" s="19">
        <v>45870</v>
      </c>
      <c r="B148" s="15" t="s">
        <v>109</v>
      </c>
      <c r="C148" s="15" t="s">
        <v>33</v>
      </c>
      <c r="D148" s="15" t="s">
        <v>10</v>
      </c>
      <c r="E148" s="17">
        <v>25</v>
      </c>
      <c r="F148" s="18">
        <f>IF(A148="","",SUMIFS(Movimientos!$L$9:$L$400,Movimientos!$A$9:$A$400,"&gt;="&amp;$A148,Movimientos!$A$9:$A$400,"&lt;"&amp;EDATE($A148,1),Movimientos!$F$9:$F$400,$B148,Movimientos!$G$9:$G$400,$C148,Movimientos!$D$9:$D$400,IF($D148="Ingresos","Ingreso",IF($D148="Ahorro","Ahorro","Gasto"))))</f>
        <v>34.6</v>
      </c>
      <c r="G148" s="18">
        <f t="shared" si="6"/>
        <v>9.6000000000000014</v>
      </c>
      <c r="H148" s="20">
        <f t="shared" si="7"/>
        <v>1.3840000000000001</v>
      </c>
      <c r="I148" s="15" t="str">
        <f t="shared" si="8"/>
        <v>Exceso</v>
      </c>
    </row>
    <row r="149" spans="1:9" x14ac:dyDescent="0.25">
      <c r="A149" s="19">
        <v>45870</v>
      </c>
      <c r="B149" s="15" t="s">
        <v>111</v>
      </c>
      <c r="C149" s="15" t="s">
        <v>35</v>
      </c>
      <c r="D149" s="15" t="s">
        <v>10</v>
      </c>
      <c r="E149" s="17">
        <v>40</v>
      </c>
      <c r="F149" s="18">
        <f>IF(A149="","",SUMIFS(Movimientos!$L$9:$L$400,Movimientos!$A$9:$A$400,"&gt;="&amp;$A149,Movimientos!$A$9:$A$400,"&lt;"&amp;EDATE($A149,1),Movimientos!$F$9:$F$400,$B149,Movimientos!$G$9:$G$400,$C149,Movimientos!$D$9:$D$400,IF($D149="Ingresos","Ingreso",IF($D149="Ahorro","Ahorro","Gasto"))))</f>
        <v>0</v>
      </c>
      <c r="G149" s="18">
        <f t="shared" si="6"/>
        <v>-40</v>
      </c>
      <c r="H149" s="20">
        <f t="shared" si="7"/>
        <v>0</v>
      </c>
      <c r="I149" s="15" t="str">
        <f t="shared" si="8"/>
        <v>Bien</v>
      </c>
    </row>
    <row r="150" spans="1:9" x14ac:dyDescent="0.25">
      <c r="A150" s="19">
        <v>45870</v>
      </c>
      <c r="B150" s="15" t="s">
        <v>114</v>
      </c>
      <c r="C150" s="15" t="s">
        <v>41</v>
      </c>
      <c r="D150" s="15" t="s">
        <v>30</v>
      </c>
      <c r="E150" s="17">
        <v>250</v>
      </c>
      <c r="F150" s="18">
        <f>IF(A150="","",SUMIFS(Movimientos!$L$9:$L$400,Movimientos!$A$9:$A$400,"&gt;="&amp;$A150,Movimientos!$A$9:$A$400,"&lt;"&amp;EDATE($A150,1),Movimientos!$F$9:$F$400,$B150,Movimientos!$G$9:$G$400,$C150,Movimientos!$D$9:$D$400,IF($D150="Ingresos","Ingreso",IF($D150="Ahorro","Ahorro","Gasto"))))</f>
        <v>242.48</v>
      </c>
      <c r="G150" s="18">
        <f t="shared" si="6"/>
        <v>-7.5200000000000102</v>
      </c>
      <c r="H150" s="20">
        <f t="shared" si="7"/>
        <v>0.96992</v>
      </c>
      <c r="I150" s="15" t="str">
        <f t="shared" si="8"/>
        <v>Casi</v>
      </c>
    </row>
    <row r="151" spans="1:9" x14ac:dyDescent="0.25">
      <c r="A151" s="19">
        <v>45870</v>
      </c>
      <c r="B151" s="15" t="s">
        <v>116</v>
      </c>
      <c r="C151" s="15" t="s">
        <v>41</v>
      </c>
      <c r="D151" s="15" t="s">
        <v>30</v>
      </c>
      <c r="E151" s="17">
        <v>60</v>
      </c>
      <c r="F151" s="18">
        <f>IF(A151="","",SUMIFS(Movimientos!$L$9:$L$400,Movimientos!$A$9:$A$400,"&gt;="&amp;$A151,Movimientos!$A$9:$A$400,"&lt;"&amp;EDATE($A151,1),Movimientos!$F$9:$F$400,$B151,Movimientos!$G$9:$G$400,$C151,Movimientos!$D$9:$D$400,IF($D151="Ingresos","Ingreso",IF($D151="Ahorro","Ahorro","Gasto"))))</f>
        <v>64.72</v>
      </c>
      <c r="G151" s="18">
        <f t="shared" si="6"/>
        <v>4.7199999999999989</v>
      </c>
      <c r="H151" s="20">
        <f t="shared" si="7"/>
        <v>1.0786666666666667</v>
      </c>
      <c r="I151" s="15" t="str">
        <f t="shared" si="8"/>
        <v>Bien</v>
      </c>
    </row>
    <row r="152" spans="1:9" x14ac:dyDescent="0.25">
      <c r="A152" s="19">
        <v>45901</v>
      </c>
      <c r="B152" s="15" t="s">
        <v>73</v>
      </c>
      <c r="C152" s="15" t="s">
        <v>74</v>
      </c>
      <c r="D152" s="15" t="s">
        <v>37</v>
      </c>
      <c r="E152" s="17">
        <v>2450</v>
      </c>
      <c r="F152" s="18">
        <f>IF(A152="","",SUMIFS(Movimientos!$L$9:$L$400,Movimientos!$A$9:$A$400,"&gt;="&amp;$A152,Movimientos!$A$9:$A$400,"&lt;"&amp;EDATE($A152,1),Movimientos!$F$9:$F$400,$B152,Movimientos!$G$9:$G$400,$C152,Movimientos!$D$9:$D$400,IF($D152="Ingresos","Ingreso",IF($D152="Ahorro","Ahorro","Gasto"))))</f>
        <v>2500.09</v>
      </c>
      <c r="G152" s="18">
        <f t="shared" si="6"/>
        <v>50.090000000000146</v>
      </c>
      <c r="H152" s="20">
        <f t="shared" si="7"/>
        <v>1.0204448979591838</v>
      </c>
      <c r="I152" s="15" t="str">
        <f t="shared" si="8"/>
        <v>Bien</v>
      </c>
    </row>
    <row r="153" spans="1:9" x14ac:dyDescent="0.25">
      <c r="A153" s="19">
        <v>45901</v>
      </c>
      <c r="B153" s="15" t="s">
        <v>118</v>
      </c>
      <c r="C153" s="15" t="s">
        <v>119</v>
      </c>
      <c r="D153" s="15" t="s">
        <v>37</v>
      </c>
      <c r="E153" s="17">
        <v>150</v>
      </c>
      <c r="F153" s="18">
        <f>IF(A153="","",SUMIFS(Movimientos!$L$9:$L$400,Movimientos!$A$9:$A$400,"&gt;="&amp;$A153,Movimientos!$A$9:$A$400,"&lt;"&amp;EDATE($A153,1),Movimientos!$F$9:$F$400,$B153,Movimientos!$G$9:$G$400,$C153,Movimientos!$D$9:$D$400,IF($D153="Ingresos","Ingreso",IF($D153="Ahorro","Ahorro","Gasto"))))</f>
        <v>224.25</v>
      </c>
      <c r="G153" s="18">
        <f t="shared" si="6"/>
        <v>74.25</v>
      </c>
      <c r="H153" s="20">
        <f t="shared" si="7"/>
        <v>1.4950000000000001</v>
      </c>
      <c r="I153" s="15" t="str">
        <f t="shared" si="8"/>
        <v>Bien</v>
      </c>
    </row>
    <row r="154" spans="1:9" x14ac:dyDescent="0.25">
      <c r="A154" s="19">
        <v>45901</v>
      </c>
      <c r="B154" s="15" t="s">
        <v>81</v>
      </c>
      <c r="C154" s="15" t="s">
        <v>28</v>
      </c>
      <c r="D154" s="15" t="s">
        <v>9</v>
      </c>
      <c r="E154" s="17">
        <v>980</v>
      </c>
      <c r="F154" s="18">
        <f>IF(A154="","",SUMIFS(Movimientos!$L$9:$L$400,Movimientos!$A$9:$A$400,"&gt;="&amp;$A154,Movimientos!$A$9:$A$400,"&lt;"&amp;EDATE($A154,1),Movimientos!$F$9:$F$400,$B154,Movimientos!$G$9:$G$400,$C154,Movimientos!$D$9:$D$400,IF($D154="Ingresos","Ingreso",IF($D154="Ahorro","Ahorro","Gasto"))))</f>
        <v>980</v>
      </c>
      <c r="G154" s="18">
        <f t="shared" si="6"/>
        <v>0</v>
      </c>
      <c r="H154" s="20">
        <f t="shared" si="7"/>
        <v>1</v>
      </c>
      <c r="I154" s="15" t="str">
        <f t="shared" si="8"/>
        <v>Bien</v>
      </c>
    </row>
    <row r="155" spans="1:9" x14ac:dyDescent="0.25">
      <c r="A155" s="19">
        <v>45901</v>
      </c>
      <c r="B155" s="15" t="s">
        <v>91</v>
      </c>
      <c r="C155" s="15" t="s">
        <v>28</v>
      </c>
      <c r="D155" s="15" t="s">
        <v>9</v>
      </c>
      <c r="E155" s="17">
        <v>31</v>
      </c>
      <c r="F155" s="18">
        <f>IF(A155="","",SUMIFS(Movimientos!$L$9:$L$400,Movimientos!$A$9:$A$400,"&gt;="&amp;$A155,Movimientos!$A$9:$A$400,"&lt;"&amp;EDATE($A155,1),Movimientos!$F$9:$F$400,$B155,Movimientos!$G$9:$G$400,$C155,Movimientos!$D$9:$D$400,IF($D155="Ingresos","Ingreso",IF($D155="Ahorro","Ahorro","Gasto"))))</f>
        <v>27.15</v>
      </c>
      <c r="G155" s="18">
        <f t="shared" si="6"/>
        <v>-3.8500000000000014</v>
      </c>
      <c r="H155" s="20">
        <f t="shared" si="7"/>
        <v>0.87580645161290316</v>
      </c>
      <c r="I155" s="15" t="str">
        <f t="shared" si="8"/>
        <v>Bien</v>
      </c>
    </row>
    <row r="156" spans="1:9" x14ac:dyDescent="0.25">
      <c r="A156" s="19">
        <v>45901</v>
      </c>
      <c r="B156" s="15" t="s">
        <v>94</v>
      </c>
      <c r="C156" s="15" t="s">
        <v>28</v>
      </c>
      <c r="D156" s="15" t="s">
        <v>9</v>
      </c>
      <c r="E156" s="17">
        <v>22</v>
      </c>
      <c r="F156" s="18">
        <f>IF(A156="","",SUMIFS(Movimientos!$L$9:$L$400,Movimientos!$A$9:$A$400,"&gt;="&amp;$A156,Movimientos!$A$9:$A$400,"&lt;"&amp;EDATE($A156,1),Movimientos!$F$9:$F$400,$B156,Movimientos!$G$9:$G$400,$C156,Movimientos!$D$9:$D$400,IF($D156="Ingresos","Ingreso",IF($D156="Ahorro","Ahorro","Gasto"))))</f>
        <v>20.75</v>
      </c>
      <c r="G156" s="18">
        <f t="shared" si="6"/>
        <v>-1.25</v>
      </c>
      <c r="H156" s="20">
        <f t="shared" si="7"/>
        <v>0.94318181818181823</v>
      </c>
      <c r="I156" s="15" t="str">
        <f t="shared" si="8"/>
        <v>Bien</v>
      </c>
    </row>
    <row r="157" spans="1:9" x14ac:dyDescent="0.25">
      <c r="A157" s="19">
        <v>45901</v>
      </c>
      <c r="B157" s="15" t="s">
        <v>96</v>
      </c>
      <c r="C157" s="15" t="s">
        <v>28</v>
      </c>
      <c r="D157" s="15" t="s">
        <v>9</v>
      </c>
      <c r="E157" s="17">
        <v>35</v>
      </c>
      <c r="F157" s="18">
        <f>IF(A157="","",SUMIFS(Movimientos!$L$9:$L$400,Movimientos!$A$9:$A$400,"&gt;="&amp;$A157,Movimientos!$A$9:$A$400,"&lt;"&amp;EDATE($A157,1),Movimientos!$F$9:$F$400,$B157,Movimientos!$G$9:$G$400,$C157,Movimientos!$D$9:$D$400,IF($D157="Ingresos","Ingreso",IF($D157="Ahorro","Ahorro","Gasto"))))</f>
        <v>35</v>
      </c>
      <c r="G157" s="18">
        <f t="shared" si="6"/>
        <v>0</v>
      </c>
      <c r="H157" s="20">
        <f t="shared" si="7"/>
        <v>1</v>
      </c>
      <c r="I157" s="15" t="str">
        <f t="shared" si="8"/>
        <v>Bien</v>
      </c>
    </row>
    <row r="158" spans="1:9" x14ac:dyDescent="0.25">
      <c r="A158" s="19">
        <v>45901</v>
      </c>
      <c r="B158" s="15" t="s">
        <v>100</v>
      </c>
      <c r="C158" s="15" t="s">
        <v>39</v>
      </c>
      <c r="D158" s="15" t="s">
        <v>9</v>
      </c>
      <c r="E158" s="17">
        <v>24</v>
      </c>
      <c r="F158" s="18">
        <f>IF(A158="","",SUMIFS(Movimientos!$L$9:$L$400,Movimientos!$A$9:$A$400,"&gt;="&amp;$A158,Movimientos!$A$9:$A$400,"&lt;"&amp;EDATE($A158,1),Movimientos!$F$9:$F$400,$B158,Movimientos!$G$9:$G$400,$C158,Movimientos!$D$9:$D$400,IF($D158="Ingresos","Ingreso",IF($D158="Ahorro","Ahorro","Gasto"))))</f>
        <v>24</v>
      </c>
      <c r="G158" s="18">
        <f t="shared" si="6"/>
        <v>0</v>
      </c>
      <c r="H158" s="20">
        <f t="shared" si="7"/>
        <v>1</v>
      </c>
      <c r="I158" s="15" t="str">
        <f t="shared" si="8"/>
        <v>Bien</v>
      </c>
    </row>
    <row r="159" spans="1:9" x14ac:dyDescent="0.25">
      <c r="A159" s="19">
        <v>45901</v>
      </c>
      <c r="B159" s="15" t="s">
        <v>84</v>
      </c>
      <c r="C159" s="15" t="s">
        <v>29</v>
      </c>
      <c r="D159" s="15" t="s">
        <v>9</v>
      </c>
      <c r="E159" s="17">
        <v>330</v>
      </c>
      <c r="F159" s="18">
        <f>IF(A159="","",SUMIFS(Movimientos!$L$9:$L$400,Movimientos!$A$9:$A$400,"&gt;="&amp;$A159,Movimientos!$A$9:$A$400,"&lt;"&amp;EDATE($A159,1),Movimientos!$F$9:$F$400,$B159,Movimientos!$G$9:$G$400,$C159,Movimientos!$D$9:$D$400,IF($D159="Ingresos","Ingreso",IF($D159="Ahorro","Ahorro","Gasto"))))</f>
        <v>364.57</v>
      </c>
      <c r="G159" s="18">
        <f t="shared" si="6"/>
        <v>34.569999999999993</v>
      </c>
      <c r="H159" s="20">
        <f t="shared" si="7"/>
        <v>1.1047575757575758</v>
      </c>
      <c r="I159" s="15" t="str">
        <f t="shared" si="8"/>
        <v>Exceso</v>
      </c>
    </row>
    <row r="160" spans="1:9" x14ac:dyDescent="0.25">
      <c r="A160" s="19">
        <v>45901</v>
      </c>
      <c r="B160" s="15" t="s">
        <v>102</v>
      </c>
      <c r="C160" s="15" t="s">
        <v>29</v>
      </c>
      <c r="D160" s="15" t="s">
        <v>9</v>
      </c>
      <c r="E160" s="17">
        <v>85</v>
      </c>
      <c r="F160" s="18">
        <f>IF(A160="","",SUMIFS(Movimientos!$L$9:$L$400,Movimientos!$A$9:$A$400,"&gt;="&amp;$A160,Movimientos!$A$9:$A$400,"&lt;"&amp;EDATE($A160,1),Movimientos!$F$9:$F$400,$B160,Movimientos!$G$9:$G$400,$C160,Movimientos!$D$9:$D$400,IF($D160="Ingresos","Ingreso",IF($D160="Ahorro","Ahorro","Gasto"))))</f>
        <v>73.78</v>
      </c>
      <c r="G160" s="18">
        <f t="shared" si="6"/>
        <v>-11.219999999999999</v>
      </c>
      <c r="H160" s="20">
        <f t="shared" si="7"/>
        <v>0.86799999999999999</v>
      </c>
      <c r="I160" s="15" t="str">
        <f t="shared" si="8"/>
        <v>Bien</v>
      </c>
    </row>
    <row r="161" spans="1:9" x14ac:dyDescent="0.25">
      <c r="A161" s="19">
        <v>45901</v>
      </c>
      <c r="B161" s="15" t="s">
        <v>89</v>
      </c>
      <c r="C161" s="15" t="s">
        <v>31</v>
      </c>
      <c r="D161" s="15" t="s">
        <v>9</v>
      </c>
      <c r="E161" s="17">
        <v>42</v>
      </c>
      <c r="F161" s="18">
        <f>IF(A161="","",SUMIFS(Movimientos!$L$9:$L$400,Movimientos!$A$9:$A$400,"&gt;="&amp;$A161,Movimientos!$A$9:$A$400,"&lt;"&amp;EDATE($A161,1),Movimientos!$F$9:$F$400,$B161,Movimientos!$G$9:$G$400,$C161,Movimientos!$D$9:$D$400,IF($D161="Ingresos","Ingreso",IF($D161="Ahorro","Ahorro","Gasto"))))</f>
        <v>38.21</v>
      </c>
      <c r="G161" s="18">
        <f t="shared" si="6"/>
        <v>-3.7899999999999991</v>
      </c>
      <c r="H161" s="20">
        <f t="shared" si="7"/>
        <v>0.90976190476190477</v>
      </c>
      <c r="I161" s="15" t="str">
        <f t="shared" si="8"/>
        <v>Bien</v>
      </c>
    </row>
    <row r="162" spans="1:9" x14ac:dyDescent="0.25">
      <c r="A162" s="19">
        <v>45901</v>
      </c>
      <c r="B162" s="15" t="s">
        <v>122</v>
      </c>
      <c r="C162" s="15" t="s">
        <v>31</v>
      </c>
      <c r="D162" s="15" t="s">
        <v>9</v>
      </c>
      <c r="E162" s="17">
        <v>12</v>
      </c>
      <c r="F162" s="18">
        <f>IF(A162="","",SUMIFS(Movimientos!$L$9:$L$400,Movimientos!$A$9:$A$400,"&gt;="&amp;$A162,Movimientos!$A$9:$A$400,"&lt;"&amp;EDATE($A162,1),Movimientos!$F$9:$F$400,$B162,Movimientos!$G$9:$G$400,$C162,Movimientos!$D$9:$D$400,IF($D162="Ingresos","Ingreso",IF($D162="Ahorro","Ahorro","Gasto"))))</f>
        <v>0</v>
      </c>
      <c r="G162" s="18">
        <f t="shared" si="6"/>
        <v>-12</v>
      </c>
      <c r="H162" s="20">
        <f t="shared" si="7"/>
        <v>0</v>
      </c>
      <c r="I162" s="15" t="str">
        <f t="shared" si="8"/>
        <v>Bien</v>
      </c>
    </row>
    <row r="163" spans="1:9" x14ac:dyDescent="0.25">
      <c r="A163" s="19">
        <v>45901</v>
      </c>
      <c r="B163" s="15" t="s">
        <v>105</v>
      </c>
      <c r="C163" s="15" t="s">
        <v>32</v>
      </c>
      <c r="D163" s="15" t="s">
        <v>9</v>
      </c>
      <c r="E163" s="17">
        <v>18</v>
      </c>
      <c r="F163" s="18">
        <f>IF(A163="","",SUMIFS(Movimientos!$L$9:$L$400,Movimientos!$A$9:$A$400,"&gt;="&amp;$A163,Movimientos!$A$9:$A$400,"&lt;"&amp;EDATE($A163,1),Movimientos!$F$9:$F$400,$B163,Movimientos!$G$9:$G$400,$C163,Movimientos!$D$9:$D$400,IF($D163="Ingresos","Ingreso",IF($D163="Ahorro","Ahorro","Gasto"))))</f>
        <v>0</v>
      </c>
      <c r="G163" s="18">
        <f t="shared" si="6"/>
        <v>-18</v>
      </c>
      <c r="H163" s="20">
        <f t="shared" si="7"/>
        <v>0</v>
      </c>
      <c r="I163" s="15" t="str">
        <f t="shared" si="8"/>
        <v>Bien</v>
      </c>
    </row>
    <row r="164" spans="1:9" x14ac:dyDescent="0.25">
      <c r="A164" s="19">
        <v>45901</v>
      </c>
      <c r="B164" s="15" t="s">
        <v>98</v>
      </c>
      <c r="C164" s="15" t="s">
        <v>32</v>
      </c>
      <c r="D164" s="15" t="s">
        <v>9</v>
      </c>
      <c r="E164" s="17">
        <v>18</v>
      </c>
      <c r="F164" s="18">
        <f>IF(A164="","",SUMIFS(Movimientos!$L$9:$L$400,Movimientos!$A$9:$A$400,"&gt;="&amp;$A164,Movimientos!$A$9:$A$400,"&lt;"&amp;EDATE($A164,1),Movimientos!$F$9:$F$400,$B164,Movimientos!$G$9:$G$400,$C164,Movimientos!$D$9:$D$400,IF($D164="Ingresos","Ingreso",IF($D164="Ahorro","Ahorro","Gasto"))))</f>
        <v>18</v>
      </c>
      <c r="G164" s="18">
        <f t="shared" si="6"/>
        <v>0</v>
      </c>
      <c r="H164" s="20">
        <f t="shared" si="7"/>
        <v>1</v>
      </c>
      <c r="I164" s="15" t="str">
        <f t="shared" si="8"/>
        <v>Bien</v>
      </c>
    </row>
    <row r="165" spans="1:9" x14ac:dyDescent="0.25">
      <c r="A165" s="19">
        <v>45901</v>
      </c>
      <c r="B165" s="15" t="s">
        <v>107</v>
      </c>
      <c r="C165" s="15" t="s">
        <v>33</v>
      </c>
      <c r="D165" s="15" t="s">
        <v>10</v>
      </c>
      <c r="E165" s="17">
        <v>65</v>
      </c>
      <c r="F165" s="18">
        <f>IF(A165="","",SUMIFS(Movimientos!$L$9:$L$400,Movimientos!$A$9:$A$400,"&gt;="&amp;$A165,Movimientos!$A$9:$A$400,"&lt;"&amp;EDATE($A165,1),Movimientos!$F$9:$F$400,$B165,Movimientos!$G$9:$G$400,$C165,Movimientos!$D$9:$D$400,IF($D165="Ingresos","Ingreso",IF($D165="Ahorro","Ahorro","Gasto"))))</f>
        <v>46</v>
      </c>
      <c r="G165" s="18">
        <f t="shared" si="6"/>
        <v>-19</v>
      </c>
      <c r="H165" s="20">
        <f t="shared" si="7"/>
        <v>0.70769230769230773</v>
      </c>
      <c r="I165" s="15" t="str">
        <f t="shared" si="8"/>
        <v>Bien</v>
      </c>
    </row>
    <row r="166" spans="1:9" x14ac:dyDescent="0.25">
      <c r="A166" s="19">
        <v>45901</v>
      </c>
      <c r="B166" s="15" t="s">
        <v>109</v>
      </c>
      <c r="C166" s="15" t="s">
        <v>33</v>
      </c>
      <c r="D166" s="15" t="s">
        <v>10</v>
      </c>
      <c r="E166" s="17">
        <v>25</v>
      </c>
      <c r="F166" s="18">
        <f>IF(A166="","",SUMIFS(Movimientos!$L$9:$L$400,Movimientos!$A$9:$A$400,"&gt;="&amp;$A166,Movimientos!$A$9:$A$400,"&lt;"&amp;EDATE($A166,1),Movimientos!$F$9:$F$400,$B166,Movimientos!$G$9:$G$400,$C166,Movimientos!$D$9:$D$400,IF($D166="Ingresos","Ingreso",IF($D166="Ahorro","Ahorro","Gasto"))))</f>
        <v>0</v>
      </c>
      <c r="G166" s="18">
        <f t="shared" si="6"/>
        <v>-25</v>
      </c>
      <c r="H166" s="20">
        <f t="shared" si="7"/>
        <v>0</v>
      </c>
      <c r="I166" s="15" t="str">
        <f t="shared" si="8"/>
        <v>Bien</v>
      </c>
    </row>
    <row r="167" spans="1:9" x14ac:dyDescent="0.25">
      <c r="A167" s="19">
        <v>45901</v>
      </c>
      <c r="B167" s="15" t="s">
        <v>111</v>
      </c>
      <c r="C167" s="15" t="s">
        <v>35</v>
      </c>
      <c r="D167" s="15" t="s">
        <v>10</v>
      </c>
      <c r="E167" s="17">
        <v>40</v>
      </c>
      <c r="F167" s="18">
        <f>IF(A167="","",SUMIFS(Movimientos!$L$9:$L$400,Movimientos!$A$9:$A$400,"&gt;="&amp;$A167,Movimientos!$A$9:$A$400,"&lt;"&amp;EDATE($A167,1),Movimientos!$F$9:$F$400,$B167,Movimientos!$G$9:$G$400,$C167,Movimientos!$D$9:$D$400,IF($D167="Ingresos","Ingreso",IF($D167="Ahorro","Ahorro","Gasto"))))</f>
        <v>21.59</v>
      </c>
      <c r="G167" s="18">
        <f t="shared" si="6"/>
        <v>-18.41</v>
      </c>
      <c r="H167" s="20">
        <f t="shared" si="7"/>
        <v>0.53974999999999995</v>
      </c>
      <c r="I167" s="15" t="str">
        <f t="shared" si="8"/>
        <v>Bien</v>
      </c>
    </row>
    <row r="168" spans="1:9" x14ac:dyDescent="0.25">
      <c r="A168" s="19">
        <v>45901</v>
      </c>
      <c r="B168" s="15" t="s">
        <v>114</v>
      </c>
      <c r="C168" s="15" t="s">
        <v>41</v>
      </c>
      <c r="D168" s="15" t="s">
        <v>30</v>
      </c>
      <c r="E168" s="17">
        <v>250</v>
      </c>
      <c r="F168" s="18">
        <f>IF(A168="","",SUMIFS(Movimientos!$L$9:$L$400,Movimientos!$A$9:$A$400,"&gt;="&amp;$A168,Movimientos!$A$9:$A$400,"&lt;"&amp;EDATE($A168,1),Movimientos!$F$9:$F$400,$B168,Movimientos!$G$9:$G$400,$C168,Movimientos!$D$9:$D$400,IF($D168="Ingresos","Ingreso",IF($D168="Ahorro","Ahorro","Gasto"))))</f>
        <v>247.17</v>
      </c>
      <c r="G168" s="18">
        <f t="shared" si="6"/>
        <v>-2.8300000000000125</v>
      </c>
      <c r="H168" s="20">
        <f t="shared" si="7"/>
        <v>0.98868</v>
      </c>
      <c r="I168" s="15" t="str">
        <f t="shared" si="8"/>
        <v>Casi</v>
      </c>
    </row>
    <row r="169" spans="1:9" x14ac:dyDescent="0.25">
      <c r="A169" s="19">
        <v>45901</v>
      </c>
      <c r="B169" s="15" t="s">
        <v>116</v>
      </c>
      <c r="C169" s="15" t="s">
        <v>41</v>
      </c>
      <c r="D169" s="15" t="s">
        <v>30</v>
      </c>
      <c r="E169" s="17">
        <v>60</v>
      </c>
      <c r="F169" s="18">
        <f>IF(A169="","",SUMIFS(Movimientos!$L$9:$L$400,Movimientos!$A$9:$A$400,"&gt;="&amp;$A169,Movimientos!$A$9:$A$400,"&lt;"&amp;EDATE($A169,1),Movimientos!$F$9:$F$400,$B169,Movimientos!$G$9:$G$400,$C169,Movimientos!$D$9:$D$400,IF($D169="Ingresos","Ingreso",IF($D169="Ahorro","Ahorro","Gasto"))))</f>
        <v>62.01</v>
      </c>
      <c r="G169" s="18">
        <f t="shared" si="6"/>
        <v>2.009999999999998</v>
      </c>
      <c r="H169" s="20">
        <f t="shared" si="7"/>
        <v>1.0334999999999999</v>
      </c>
      <c r="I169" s="15" t="str">
        <f t="shared" si="8"/>
        <v>Bien</v>
      </c>
    </row>
    <row r="170" spans="1:9" x14ac:dyDescent="0.25">
      <c r="A170" s="19">
        <v>45931</v>
      </c>
      <c r="B170" s="15" t="s">
        <v>73</v>
      </c>
      <c r="C170" s="15" t="s">
        <v>74</v>
      </c>
      <c r="D170" s="15" t="s">
        <v>37</v>
      </c>
      <c r="E170" s="17">
        <v>2450</v>
      </c>
      <c r="F170" s="18">
        <f>IF(A170="","",SUMIFS(Movimientos!$L$9:$L$400,Movimientos!$A$9:$A$400,"&gt;="&amp;$A170,Movimientos!$A$9:$A$400,"&lt;"&amp;EDATE($A170,1),Movimientos!$F$9:$F$400,$B170,Movimientos!$G$9:$G$400,$C170,Movimientos!$D$9:$D$400,IF($D170="Ingresos","Ingreso",IF($D170="Ahorro","Ahorro","Gasto"))))</f>
        <v>2489.44</v>
      </c>
      <c r="G170" s="18">
        <f t="shared" si="6"/>
        <v>39.440000000000055</v>
      </c>
      <c r="H170" s="20">
        <f t="shared" si="7"/>
        <v>1.0160979591836734</v>
      </c>
      <c r="I170" s="15" t="str">
        <f t="shared" si="8"/>
        <v>Bien</v>
      </c>
    </row>
    <row r="171" spans="1:9" x14ac:dyDescent="0.25">
      <c r="A171" s="19">
        <v>45931</v>
      </c>
      <c r="B171" s="15" t="s">
        <v>118</v>
      </c>
      <c r="C171" s="15" t="s">
        <v>119</v>
      </c>
      <c r="D171" s="15" t="s">
        <v>37</v>
      </c>
      <c r="E171" s="17">
        <v>0</v>
      </c>
      <c r="F171" s="18">
        <f>IF(A171="","",SUMIFS(Movimientos!$L$9:$L$400,Movimientos!$A$9:$A$400,"&gt;="&amp;$A171,Movimientos!$A$9:$A$400,"&lt;"&amp;EDATE($A171,1),Movimientos!$F$9:$F$400,$B171,Movimientos!$G$9:$G$400,$C171,Movimientos!$D$9:$D$400,IF($D171="Ingresos","Ingreso",IF($D171="Ahorro","Ahorro","Gasto"))))</f>
        <v>0</v>
      </c>
      <c r="G171" s="18">
        <f t="shared" si="6"/>
        <v>0</v>
      </c>
      <c r="H171" s="20" t="str">
        <f t="shared" si="7"/>
        <v/>
      </c>
      <c r="I171" s="15" t="str">
        <f t="shared" si="8"/>
        <v>Bien</v>
      </c>
    </row>
    <row r="172" spans="1:9" x14ac:dyDescent="0.25">
      <c r="A172" s="19">
        <v>45931</v>
      </c>
      <c r="B172" s="15" t="s">
        <v>81</v>
      </c>
      <c r="C172" s="15" t="s">
        <v>28</v>
      </c>
      <c r="D172" s="15" t="s">
        <v>9</v>
      </c>
      <c r="E172" s="17">
        <v>980</v>
      </c>
      <c r="F172" s="18">
        <f>IF(A172="","",SUMIFS(Movimientos!$L$9:$L$400,Movimientos!$A$9:$A$400,"&gt;="&amp;$A172,Movimientos!$A$9:$A$400,"&lt;"&amp;EDATE($A172,1),Movimientos!$F$9:$F$400,$B172,Movimientos!$G$9:$G$400,$C172,Movimientos!$D$9:$D$400,IF($D172="Ingresos","Ingreso",IF($D172="Ahorro","Ahorro","Gasto"))))</f>
        <v>980</v>
      </c>
      <c r="G172" s="18">
        <f t="shared" si="6"/>
        <v>0</v>
      </c>
      <c r="H172" s="20">
        <f t="shared" si="7"/>
        <v>1</v>
      </c>
      <c r="I172" s="15" t="str">
        <f t="shared" si="8"/>
        <v>Bien</v>
      </c>
    </row>
    <row r="173" spans="1:9" x14ac:dyDescent="0.25">
      <c r="A173" s="19">
        <v>45931</v>
      </c>
      <c r="B173" s="15" t="s">
        <v>91</v>
      </c>
      <c r="C173" s="15" t="s">
        <v>28</v>
      </c>
      <c r="D173" s="15" t="s">
        <v>9</v>
      </c>
      <c r="E173" s="17">
        <v>33</v>
      </c>
      <c r="F173" s="18">
        <f>IF(A173="","",SUMIFS(Movimientos!$L$9:$L$400,Movimientos!$A$9:$A$400,"&gt;="&amp;$A173,Movimientos!$A$9:$A$400,"&lt;"&amp;EDATE($A173,1),Movimientos!$F$9:$F$400,$B173,Movimientos!$G$9:$G$400,$C173,Movimientos!$D$9:$D$400,IF($D173="Ingresos","Ingreso",IF($D173="Ahorro","Ahorro","Gasto"))))</f>
        <v>38.159999999999997</v>
      </c>
      <c r="G173" s="18">
        <f t="shared" si="6"/>
        <v>5.1599999999999966</v>
      </c>
      <c r="H173" s="20">
        <f t="shared" si="7"/>
        <v>1.1563636363636363</v>
      </c>
      <c r="I173" s="15" t="str">
        <f t="shared" si="8"/>
        <v>Exceso</v>
      </c>
    </row>
    <row r="174" spans="1:9" x14ac:dyDescent="0.25">
      <c r="A174" s="19">
        <v>45931</v>
      </c>
      <c r="B174" s="15" t="s">
        <v>94</v>
      </c>
      <c r="C174" s="15" t="s">
        <v>28</v>
      </c>
      <c r="D174" s="15" t="s">
        <v>9</v>
      </c>
      <c r="E174" s="17">
        <v>22</v>
      </c>
      <c r="F174" s="18">
        <f>IF(A174="","",SUMIFS(Movimientos!$L$9:$L$400,Movimientos!$A$9:$A$400,"&gt;="&amp;$A174,Movimientos!$A$9:$A$400,"&lt;"&amp;EDATE($A174,1),Movimientos!$F$9:$F$400,$B174,Movimientos!$G$9:$G$400,$C174,Movimientos!$D$9:$D$400,IF($D174="Ingresos","Ingreso",IF($D174="Ahorro","Ahorro","Gasto"))))</f>
        <v>20.18</v>
      </c>
      <c r="G174" s="18">
        <f t="shared" si="6"/>
        <v>-1.8200000000000003</v>
      </c>
      <c r="H174" s="20">
        <f t="shared" si="7"/>
        <v>0.91727272727272724</v>
      </c>
      <c r="I174" s="15" t="str">
        <f t="shared" si="8"/>
        <v>Bien</v>
      </c>
    </row>
    <row r="175" spans="1:9" x14ac:dyDescent="0.25">
      <c r="A175" s="19">
        <v>45931</v>
      </c>
      <c r="B175" s="15" t="s">
        <v>96</v>
      </c>
      <c r="C175" s="15" t="s">
        <v>28</v>
      </c>
      <c r="D175" s="15" t="s">
        <v>9</v>
      </c>
      <c r="E175" s="17">
        <v>35</v>
      </c>
      <c r="F175" s="18">
        <f>IF(A175="","",SUMIFS(Movimientos!$L$9:$L$400,Movimientos!$A$9:$A$400,"&gt;="&amp;$A175,Movimientos!$A$9:$A$400,"&lt;"&amp;EDATE($A175,1),Movimientos!$F$9:$F$400,$B175,Movimientos!$G$9:$G$400,$C175,Movimientos!$D$9:$D$400,IF($D175="Ingresos","Ingreso",IF($D175="Ahorro","Ahorro","Gasto"))))</f>
        <v>35</v>
      </c>
      <c r="G175" s="18">
        <f t="shared" si="6"/>
        <v>0</v>
      </c>
      <c r="H175" s="20">
        <f t="shared" si="7"/>
        <v>1</v>
      </c>
      <c r="I175" s="15" t="str">
        <f t="shared" si="8"/>
        <v>Bien</v>
      </c>
    </row>
    <row r="176" spans="1:9" x14ac:dyDescent="0.25">
      <c r="A176" s="19">
        <v>45931</v>
      </c>
      <c r="B176" s="15" t="s">
        <v>100</v>
      </c>
      <c r="C176" s="15" t="s">
        <v>39</v>
      </c>
      <c r="D176" s="15" t="s">
        <v>9</v>
      </c>
      <c r="E176" s="17">
        <v>24</v>
      </c>
      <c r="F176" s="18">
        <f>IF(A176="","",SUMIFS(Movimientos!$L$9:$L$400,Movimientos!$A$9:$A$400,"&gt;="&amp;$A176,Movimientos!$A$9:$A$400,"&lt;"&amp;EDATE($A176,1),Movimientos!$F$9:$F$400,$B176,Movimientos!$G$9:$G$400,$C176,Movimientos!$D$9:$D$400,IF($D176="Ingresos","Ingreso",IF($D176="Ahorro","Ahorro","Gasto"))))</f>
        <v>24</v>
      </c>
      <c r="G176" s="18">
        <f t="shared" si="6"/>
        <v>0</v>
      </c>
      <c r="H176" s="20">
        <f t="shared" si="7"/>
        <v>1</v>
      </c>
      <c r="I176" s="15" t="str">
        <f t="shared" si="8"/>
        <v>Bien</v>
      </c>
    </row>
    <row r="177" spans="1:9" x14ac:dyDescent="0.25">
      <c r="A177" s="19">
        <v>45931</v>
      </c>
      <c r="B177" s="15" t="s">
        <v>84</v>
      </c>
      <c r="C177" s="15" t="s">
        <v>29</v>
      </c>
      <c r="D177" s="15" t="s">
        <v>9</v>
      </c>
      <c r="E177" s="17">
        <v>330</v>
      </c>
      <c r="F177" s="18">
        <f>IF(A177="","",SUMIFS(Movimientos!$L$9:$L$400,Movimientos!$A$9:$A$400,"&gt;="&amp;$A177,Movimientos!$A$9:$A$400,"&lt;"&amp;EDATE($A177,1),Movimientos!$F$9:$F$400,$B177,Movimientos!$G$9:$G$400,$C177,Movimientos!$D$9:$D$400,IF($D177="Ingresos","Ingreso",IF($D177="Ahorro","Ahorro","Gasto"))))</f>
        <v>330.91999999999996</v>
      </c>
      <c r="G177" s="18">
        <f t="shared" si="6"/>
        <v>0.91999999999995907</v>
      </c>
      <c r="H177" s="20">
        <f t="shared" si="7"/>
        <v>1.0027878787878786</v>
      </c>
      <c r="I177" s="15" t="str">
        <f t="shared" si="8"/>
        <v>Vigilar</v>
      </c>
    </row>
    <row r="178" spans="1:9" x14ac:dyDescent="0.25">
      <c r="A178" s="19">
        <v>45931</v>
      </c>
      <c r="B178" s="15" t="s">
        <v>102</v>
      </c>
      <c r="C178" s="15" t="s">
        <v>29</v>
      </c>
      <c r="D178" s="15" t="s">
        <v>9</v>
      </c>
      <c r="E178" s="17">
        <v>85</v>
      </c>
      <c r="F178" s="18">
        <f>IF(A178="","",SUMIFS(Movimientos!$L$9:$L$400,Movimientos!$A$9:$A$400,"&gt;="&amp;$A178,Movimientos!$A$9:$A$400,"&lt;"&amp;EDATE($A178,1),Movimientos!$F$9:$F$400,$B178,Movimientos!$G$9:$G$400,$C178,Movimientos!$D$9:$D$400,IF($D178="Ingresos","Ingreso",IF($D178="Ahorro","Ahorro","Gasto"))))</f>
        <v>90.84</v>
      </c>
      <c r="G178" s="18">
        <f t="shared" si="6"/>
        <v>5.8400000000000034</v>
      </c>
      <c r="H178" s="20">
        <f t="shared" si="7"/>
        <v>1.0687058823529412</v>
      </c>
      <c r="I178" s="15" t="str">
        <f t="shared" si="8"/>
        <v>Vigilar</v>
      </c>
    </row>
    <row r="179" spans="1:9" x14ac:dyDescent="0.25">
      <c r="A179" s="19">
        <v>45931</v>
      </c>
      <c r="B179" s="15" t="s">
        <v>89</v>
      </c>
      <c r="C179" s="15" t="s">
        <v>31</v>
      </c>
      <c r="D179" s="15" t="s">
        <v>9</v>
      </c>
      <c r="E179" s="17">
        <v>42</v>
      </c>
      <c r="F179" s="18">
        <f>IF(A179="","",SUMIFS(Movimientos!$L$9:$L$400,Movimientos!$A$9:$A$400,"&gt;="&amp;$A179,Movimientos!$A$9:$A$400,"&lt;"&amp;EDATE($A179,1),Movimientos!$F$9:$F$400,$B179,Movimientos!$G$9:$G$400,$C179,Movimientos!$D$9:$D$400,IF($D179="Ingresos","Ingreso",IF($D179="Ahorro","Ahorro","Gasto"))))</f>
        <v>36.800000000000004</v>
      </c>
      <c r="G179" s="18">
        <f t="shared" si="6"/>
        <v>-5.1999999999999957</v>
      </c>
      <c r="H179" s="20">
        <f t="shared" si="7"/>
        <v>0.8761904761904763</v>
      </c>
      <c r="I179" s="15" t="str">
        <f t="shared" si="8"/>
        <v>Bien</v>
      </c>
    </row>
    <row r="180" spans="1:9" x14ac:dyDescent="0.25">
      <c r="A180" s="19">
        <v>45931</v>
      </c>
      <c r="B180" s="15" t="s">
        <v>122</v>
      </c>
      <c r="C180" s="15" t="s">
        <v>31</v>
      </c>
      <c r="D180" s="15" t="s">
        <v>9</v>
      </c>
      <c r="E180" s="17">
        <v>12</v>
      </c>
      <c r="F180" s="18">
        <f>IF(A180="","",SUMIFS(Movimientos!$L$9:$L$400,Movimientos!$A$9:$A$400,"&gt;="&amp;$A180,Movimientos!$A$9:$A$400,"&lt;"&amp;EDATE($A180,1),Movimientos!$F$9:$F$400,$B180,Movimientos!$G$9:$G$400,$C180,Movimientos!$D$9:$D$400,IF($D180="Ingresos","Ingreso",IF($D180="Ahorro","Ahorro","Gasto"))))</f>
        <v>12.45</v>
      </c>
      <c r="G180" s="18">
        <f t="shared" si="6"/>
        <v>0.44999999999999929</v>
      </c>
      <c r="H180" s="20">
        <f t="shared" si="7"/>
        <v>1.0374999999999999</v>
      </c>
      <c r="I180" s="15" t="str">
        <f t="shared" si="8"/>
        <v>Vigilar</v>
      </c>
    </row>
    <row r="181" spans="1:9" x14ac:dyDescent="0.25">
      <c r="A181" s="19">
        <v>45931</v>
      </c>
      <c r="B181" s="15" t="s">
        <v>105</v>
      </c>
      <c r="C181" s="15" t="s">
        <v>32</v>
      </c>
      <c r="D181" s="15" t="s">
        <v>9</v>
      </c>
      <c r="E181" s="17">
        <v>18</v>
      </c>
      <c r="F181" s="18">
        <f>IF(A181="","",SUMIFS(Movimientos!$L$9:$L$400,Movimientos!$A$9:$A$400,"&gt;="&amp;$A181,Movimientos!$A$9:$A$400,"&lt;"&amp;EDATE($A181,1),Movimientos!$F$9:$F$400,$B181,Movimientos!$G$9:$G$400,$C181,Movimientos!$D$9:$D$400,IF($D181="Ingresos","Ingreso",IF($D181="Ahorro","Ahorro","Gasto"))))</f>
        <v>18.12</v>
      </c>
      <c r="G181" s="18">
        <f t="shared" si="6"/>
        <v>0.12000000000000099</v>
      </c>
      <c r="H181" s="20">
        <f t="shared" si="7"/>
        <v>1.0066666666666668</v>
      </c>
      <c r="I181" s="15" t="str">
        <f t="shared" si="8"/>
        <v>Vigilar</v>
      </c>
    </row>
    <row r="182" spans="1:9" x14ac:dyDescent="0.25">
      <c r="A182" s="19">
        <v>45931</v>
      </c>
      <c r="B182" s="15" t="s">
        <v>98</v>
      </c>
      <c r="C182" s="15" t="s">
        <v>32</v>
      </c>
      <c r="D182" s="15" t="s">
        <v>9</v>
      </c>
      <c r="E182" s="17">
        <v>18</v>
      </c>
      <c r="F182" s="18">
        <f>IF(A182="","",SUMIFS(Movimientos!$L$9:$L$400,Movimientos!$A$9:$A$400,"&gt;="&amp;$A182,Movimientos!$A$9:$A$400,"&lt;"&amp;EDATE($A182,1),Movimientos!$F$9:$F$400,$B182,Movimientos!$G$9:$G$400,$C182,Movimientos!$D$9:$D$400,IF($D182="Ingresos","Ingreso",IF($D182="Ahorro","Ahorro","Gasto"))))</f>
        <v>18</v>
      </c>
      <c r="G182" s="18">
        <f t="shared" si="6"/>
        <v>0</v>
      </c>
      <c r="H182" s="20">
        <f t="shared" si="7"/>
        <v>1</v>
      </c>
      <c r="I182" s="15" t="str">
        <f t="shared" si="8"/>
        <v>Bien</v>
      </c>
    </row>
    <row r="183" spans="1:9" x14ac:dyDescent="0.25">
      <c r="A183" s="19">
        <v>45931</v>
      </c>
      <c r="B183" s="15" t="s">
        <v>107</v>
      </c>
      <c r="C183" s="15" t="s">
        <v>33</v>
      </c>
      <c r="D183" s="15" t="s">
        <v>10</v>
      </c>
      <c r="E183" s="17">
        <v>65</v>
      </c>
      <c r="F183" s="18">
        <f>IF(A183="","",SUMIFS(Movimientos!$L$9:$L$400,Movimientos!$A$9:$A$400,"&gt;="&amp;$A183,Movimientos!$A$9:$A$400,"&lt;"&amp;EDATE($A183,1),Movimientos!$F$9:$F$400,$B183,Movimientos!$G$9:$G$400,$C183,Movimientos!$D$9:$D$400,IF($D183="Ingresos","Ingreso",IF($D183="Ahorro","Ahorro","Gasto"))))</f>
        <v>61.730000000000004</v>
      </c>
      <c r="G183" s="18">
        <f t="shared" si="6"/>
        <v>-3.269999999999996</v>
      </c>
      <c r="H183" s="20">
        <f t="shared" si="7"/>
        <v>0.94969230769230772</v>
      </c>
      <c r="I183" s="15" t="str">
        <f t="shared" si="8"/>
        <v>Bien</v>
      </c>
    </row>
    <row r="184" spans="1:9" x14ac:dyDescent="0.25">
      <c r="A184" s="19">
        <v>45931</v>
      </c>
      <c r="B184" s="15" t="s">
        <v>109</v>
      </c>
      <c r="C184" s="15" t="s">
        <v>33</v>
      </c>
      <c r="D184" s="15" t="s">
        <v>10</v>
      </c>
      <c r="E184" s="17">
        <v>25</v>
      </c>
      <c r="F184" s="18">
        <f>IF(A184="","",SUMIFS(Movimientos!$L$9:$L$400,Movimientos!$A$9:$A$400,"&gt;="&amp;$A184,Movimientos!$A$9:$A$400,"&lt;"&amp;EDATE($A184,1),Movimientos!$F$9:$F$400,$B184,Movimientos!$G$9:$G$400,$C184,Movimientos!$D$9:$D$400,IF($D184="Ingresos","Ingreso",IF($D184="Ahorro","Ahorro","Gasto"))))</f>
        <v>23.61</v>
      </c>
      <c r="G184" s="18">
        <f t="shared" si="6"/>
        <v>-1.3900000000000006</v>
      </c>
      <c r="H184" s="20">
        <f t="shared" si="7"/>
        <v>0.94440000000000002</v>
      </c>
      <c r="I184" s="15" t="str">
        <f t="shared" si="8"/>
        <v>Bien</v>
      </c>
    </row>
    <row r="185" spans="1:9" x14ac:dyDescent="0.25">
      <c r="A185" s="19">
        <v>45931</v>
      </c>
      <c r="B185" s="15" t="s">
        <v>111</v>
      </c>
      <c r="C185" s="15" t="s">
        <v>35</v>
      </c>
      <c r="D185" s="15" t="s">
        <v>10</v>
      </c>
      <c r="E185" s="17">
        <v>40</v>
      </c>
      <c r="F185" s="18">
        <f>IF(A185="","",SUMIFS(Movimientos!$L$9:$L$400,Movimientos!$A$9:$A$400,"&gt;="&amp;$A185,Movimientos!$A$9:$A$400,"&lt;"&amp;EDATE($A185,1),Movimientos!$F$9:$F$400,$B185,Movimientos!$G$9:$G$400,$C185,Movimientos!$D$9:$D$400,IF($D185="Ingresos","Ingreso",IF($D185="Ahorro","Ahorro","Gasto"))))</f>
        <v>0</v>
      </c>
      <c r="G185" s="18">
        <f t="shared" si="6"/>
        <v>-40</v>
      </c>
      <c r="H185" s="20">
        <f t="shared" si="7"/>
        <v>0</v>
      </c>
      <c r="I185" s="15" t="str">
        <f t="shared" si="8"/>
        <v>Bien</v>
      </c>
    </row>
    <row r="186" spans="1:9" x14ac:dyDescent="0.25">
      <c r="A186" s="19">
        <v>45931</v>
      </c>
      <c r="B186" s="15" t="s">
        <v>114</v>
      </c>
      <c r="C186" s="15" t="s">
        <v>41</v>
      </c>
      <c r="D186" s="15" t="s">
        <v>30</v>
      </c>
      <c r="E186" s="17">
        <v>250</v>
      </c>
      <c r="F186" s="18">
        <f>IF(A186="","",SUMIFS(Movimientos!$L$9:$L$400,Movimientos!$A$9:$A$400,"&gt;="&amp;$A186,Movimientos!$A$9:$A$400,"&lt;"&amp;EDATE($A186,1),Movimientos!$F$9:$F$400,$B186,Movimientos!$G$9:$G$400,$C186,Movimientos!$D$9:$D$400,IF($D186="Ingresos","Ingreso",IF($D186="Ahorro","Ahorro","Gasto"))))</f>
        <v>257.12</v>
      </c>
      <c r="G186" s="18">
        <f t="shared" si="6"/>
        <v>7.1200000000000045</v>
      </c>
      <c r="H186" s="20">
        <f t="shared" si="7"/>
        <v>1.0284800000000001</v>
      </c>
      <c r="I186" s="15" t="str">
        <f t="shared" si="8"/>
        <v>Bien</v>
      </c>
    </row>
    <row r="187" spans="1:9" x14ac:dyDescent="0.25">
      <c r="A187" s="19">
        <v>45931</v>
      </c>
      <c r="B187" s="15" t="s">
        <v>116</v>
      </c>
      <c r="C187" s="15" t="s">
        <v>41</v>
      </c>
      <c r="D187" s="15" t="s">
        <v>30</v>
      </c>
      <c r="E187" s="17">
        <v>60</v>
      </c>
      <c r="F187" s="18">
        <f>IF(A187="","",SUMIFS(Movimientos!$L$9:$L$400,Movimientos!$A$9:$A$400,"&gt;="&amp;$A187,Movimientos!$A$9:$A$400,"&lt;"&amp;EDATE($A187,1),Movimientos!$F$9:$F$400,$B187,Movimientos!$G$9:$G$400,$C187,Movimientos!$D$9:$D$400,IF($D187="Ingresos","Ingreso",IF($D187="Ahorro","Ahorro","Gasto"))))</f>
        <v>62.68</v>
      </c>
      <c r="G187" s="18">
        <f t="shared" si="6"/>
        <v>2.6799999999999997</v>
      </c>
      <c r="H187" s="20">
        <f t="shared" si="7"/>
        <v>1.0446666666666666</v>
      </c>
      <c r="I187" s="15" t="str">
        <f t="shared" si="8"/>
        <v>Bien</v>
      </c>
    </row>
    <row r="188" spans="1:9" x14ac:dyDescent="0.25">
      <c r="A188" s="19">
        <v>45962</v>
      </c>
      <c r="B188" s="15" t="s">
        <v>73</v>
      </c>
      <c r="C188" s="15" t="s">
        <v>74</v>
      </c>
      <c r="D188" s="15" t="s">
        <v>37</v>
      </c>
      <c r="E188" s="17">
        <v>2450</v>
      </c>
      <c r="F188" s="18">
        <f>IF(A188="","",SUMIFS(Movimientos!$L$9:$L$400,Movimientos!$A$9:$A$400,"&gt;="&amp;$A188,Movimientos!$A$9:$A$400,"&lt;"&amp;EDATE($A188,1),Movimientos!$F$9:$F$400,$B188,Movimientos!$G$9:$G$400,$C188,Movimientos!$D$9:$D$400,IF($D188="Ingresos","Ingreso",IF($D188="Ahorro","Ahorro","Gasto"))))</f>
        <v>2535.91</v>
      </c>
      <c r="G188" s="18">
        <f t="shared" si="6"/>
        <v>85.909999999999854</v>
      </c>
      <c r="H188" s="20">
        <f t="shared" si="7"/>
        <v>1.0350653061224488</v>
      </c>
      <c r="I188" s="15" t="str">
        <f t="shared" si="8"/>
        <v>Bien</v>
      </c>
    </row>
    <row r="189" spans="1:9" x14ac:dyDescent="0.25">
      <c r="A189" s="19">
        <v>45962</v>
      </c>
      <c r="B189" s="15" t="s">
        <v>118</v>
      </c>
      <c r="C189" s="15" t="s">
        <v>119</v>
      </c>
      <c r="D189" s="15" t="s">
        <v>37</v>
      </c>
      <c r="E189" s="17">
        <v>150</v>
      </c>
      <c r="F189" s="18">
        <f>IF(A189="","",SUMIFS(Movimientos!$L$9:$L$400,Movimientos!$A$9:$A$400,"&gt;="&amp;$A189,Movimientos!$A$9:$A$400,"&lt;"&amp;EDATE($A189,1),Movimientos!$F$9:$F$400,$B189,Movimientos!$G$9:$G$400,$C189,Movimientos!$D$9:$D$400,IF($D189="Ingresos","Ingreso",IF($D189="Ahorro","Ahorro","Gasto"))))</f>
        <v>202.91</v>
      </c>
      <c r="G189" s="18">
        <f t="shared" si="6"/>
        <v>52.91</v>
      </c>
      <c r="H189" s="20">
        <f t="shared" si="7"/>
        <v>1.3527333333333333</v>
      </c>
      <c r="I189" s="15" t="str">
        <f t="shared" si="8"/>
        <v>Bien</v>
      </c>
    </row>
    <row r="190" spans="1:9" x14ac:dyDescent="0.25">
      <c r="A190" s="19">
        <v>45962</v>
      </c>
      <c r="B190" s="15" t="s">
        <v>81</v>
      </c>
      <c r="C190" s="15" t="s">
        <v>28</v>
      </c>
      <c r="D190" s="15" t="s">
        <v>9</v>
      </c>
      <c r="E190" s="17">
        <v>980</v>
      </c>
      <c r="F190" s="18">
        <f>IF(A190="","",SUMIFS(Movimientos!$L$9:$L$400,Movimientos!$A$9:$A$400,"&gt;="&amp;$A190,Movimientos!$A$9:$A$400,"&lt;"&amp;EDATE($A190,1),Movimientos!$F$9:$F$400,$B190,Movimientos!$G$9:$G$400,$C190,Movimientos!$D$9:$D$400,IF($D190="Ingresos","Ingreso",IF($D190="Ahorro","Ahorro","Gasto"))))</f>
        <v>980</v>
      </c>
      <c r="G190" s="18">
        <f t="shared" si="6"/>
        <v>0</v>
      </c>
      <c r="H190" s="20">
        <f t="shared" si="7"/>
        <v>1</v>
      </c>
      <c r="I190" s="15" t="str">
        <f t="shared" si="8"/>
        <v>Bien</v>
      </c>
    </row>
    <row r="191" spans="1:9" x14ac:dyDescent="0.25">
      <c r="A191" s="19">
        <v>45962</v>
      </c>
      <c r="B191" s="15" t="s">
        <v>91</v>
      </c>
      <c r="C191" s="15" t="s">
        <v>28</v>
      </c>
      <c r="D191" s="15" t="s">
        <v>9</v>
      </c>
      <c r="E191" s="17">
        <v>36</v>
      </c>
      <c r="F191" s="18">
        <f>IF(A191="","",SUMIFS(Movimientos!$L$9:$L$400,Movimientos!$A$9:$A$400,"&gt;="&amp;$A191,Movimientos!$A$9:$A$400,"&lt;"&amp;EDATE($A191,1),Movimientos!$F$9:$F$400,$B191,Movimientos!$G$9:$G$400,$C191,Movimientos!$D$9:$D$400,IF($D191="Ingresos","Ingreso",IF($D191="Ahorro","Ahorro","Gasto"))))</f>
        <v>41.6</v>
      </c>
      <c r="G191" s="18">
        <f t="shared" si="6"/>
        <v>5.6000000000000014</v>
      </c>
      <c r="H191" s="20">
        <f t="shared" si="7"/>
        <v>1.1555555555555557</v>
      </c>
      <c r="I191" s="15" t="str">
        <f t="shared" si="8"/>
        <v>Exceso</v>
      </c>
    </row>
    <row r="192" spans="1:9" x14ac:dyDescent="0.25">
      <c r="A192" s="19">
        <v>45962</v>
      </c>
      <c r="B192" s="15" t="s">
        <v>94</v>
      </c>
      <c r="C192" s="15" t="s">
        <v>28</v>
      </c>
      <c r="D192" s="15" t="s">
        <v>9</v>
      </c>
      <c r="E192" s="17">
        <v>22</v>
      </c>
      <c r="F192" s="18">
        <f>IF(A192="","",SUMIFS(Movimientos!$L$9:$L$400,Movimientos!$A$9:$A$400,"&gt;="&amp;$A192,Movimientos!$A$9:$A$400,"&lt;"&amp;EDATE($A192,1),Movimientos!$F$9:$F$400,$B192,Movimientos!$G$9:$G$400,$C192,Movimientos!$D$9:$D$400,IF($D192="Ingresos","Ingreso",IF($D192="Ahorro","Ahorro","Gasto"))))</f>
        <v>19.559999999999999</v>
      </c>
      <c r="G192" s="18">
        <f t="shared" si="6"/>
        <v>-2.4400000000000013</v>
      </c>
      <c r="H192" s="20">
        <f t="shared" si="7"/>
        <v>0.88909090909090904</v>
      </c>
      <c r="I192" s="15" t="str">
        <f t="shared" si="8"/>
        <v>Bien</v>
      </c>
    </row>
    <row r="193" spans="1:9" x14ac:dyDescent="0.25">
      <c r="A193" s="19">
        <v>45962</v>
      </c>
      <c r="B193" s="15" t="s">
        <v>96</v>
      </c>
      <c r="C193" s="15" t="s">
        <v>28</v>
      </c>
      <c r="D193" s="15" t="s">
        <v>9</v>
      </c>
      <c r="E193" s="17">
        <v>35</v>
      </c>
      <c r="F193" s="18">
        <f>IF(A193="","",SUMIFS(Movimientos!$L$9:$L$400,Movimientos!$A$9:$A$400,"&gt;="&amp;$A193,Movimientos!$A$9:$A$400,"&lt;"&amp;EDATE($A193,1),Movimientos!$F$9:$F$400,$B193,Movimientos!$G$9:$G$400,$C193,Movimientos!$D$9:$D$400,IF($D193="Ingresos","Ingreso",IF($D193="Ahorro","Ahorro","Gasto"))))</f>
        <v>35</v>
      </c>
      <c r="G193" s="18">
        <f t="shared" si="6"/>
        <v>0</v>
      </c>
      <c r="H193" s="20">
        <f t="shared" si="7"/>
        <v>1</v>
      </c>
      <c r="I193" s="15" t="str">
        <f t="shared" si="8"/>
        <v>Bien</v>
      </c>
    </row>
    <row r="194" spans="1:9" x14ac:dyDescent="0.25">
      <c r="A194" s="19">
        <v>45962</v>
      </c>
      <c r="B194" s="15" t="s">
        <v>100</v>
      </c>
      <c r="C194" s="15" t="s">
        <v>39</v>
      </c>
      <c r="D194" s="15" t="s">
        <v>9</v>
      </c>
      <c r="E194" s="17">
        <v>24</v>
      </c>
      <c r="F194" s="18">
        <f>IF(A194="","",SUMIFS(Movimientos!$L$9:$L$400,Movimientos!$A$9:$A$400,"&gt;="&amp;$A194,Movimientos!$A$9:$A$400,"&lt;"&amp;EDATE($A194,1),Movimientos!$F$9:$F$400,$B194,Movimientos!$G$9:$G$400,$C194,Movimientos!$D$9:$D$400,IF($D194="Ingresos","Ingreso",IF($D194="Ahorro","Ahorro","Gasto"))))</f>
        <v>24</v>
      </c>
      <c r="G194" s="18">
        <f t="shared" si="6"/>
        <v>0</v>
      </c>
      <c r="H194" s="20">
        <f t="shared" si="7"/>
        <v>1</v>
      </c>
      <c r="I194" s="15" t="str">
        <f t="shared" si="8"/>
        <v>Bien</v>
      </c>
    </row>
    <row r="195" spans="1:9" x14ac:dyDescent="0.25">
      <c r="A195" s="19">
        <v>45962</v>
      </c>
      <c r="B195" s="15" t="s">
        <v>84</v>
      </c>
      <c r="C195" s="15" t="s">
        <v>29</v>
      </c>
      <c r="D195" s="15" t="s">
        <v>9</v>
      </c>
      <c r="E195" s="17">
        <v>330</v>
      </c>
      <c r="F195" s="18">
        <f>IF(A195="","",SUMIFS(Movimientos!$L$9:$L$400,Movimientos!$A$9:$A$400,"&gt;="&amp;$A195,Movimientos!$A$9:$A$400,"&lt;"&amp;EDATE($A195,1),Movimientos!$F$9:$F$400,$B195,Movimientos!$G$9:$G$400,$C195,Movimientos!$D$9:$D$400,IF($D195="Ingresos","Ingreso",IF($D195="Ahorro","Ahorro","Gasto"))))</f>
        <v>361.96</v>
      </c>
      <c r="G195" s="18">
        <f t="shared" si="6"/>
        <v>31.95999999999998</v>
      </c>
      <c r="H195" s="20">
        <f t="shared" si="7"/>
        <v>1.0968484848484847</v>
      </c>
      <c r="I195" s="15" t="str">
        <f t="shared" si="8"/>
        <v>Vigilar</v>
      </c>
    </row>
    <row r="196" spans="1:9" x14ac:dyDescent="0.25">
      <c r="A196" s="19">
        <v>45962</v>
      </c>
      <c r="B196" s="15" t="s">
        <v>102</v>
      </c>
      <c r="C196" s="15" t="s">
        <v>29</v>
      </c>
      <c r="D196" s="15" t="s">
        <v>9</v>
      </c>
      <c r="E196" s="17">
        <v>85</v>
      </c>
      <c r="F196" s="18">
        <f>IF(A196="","",SUMIFS(Movimientos!$L$9:$L$400,Movimientos!$A$9:$A$400,"&gt;="&amp;$A196,Movimientos!$A$9:$A$400,"&lt;"&amp;EDATE($A196,1),Movimientos!$F$9:$F$400,$B196,Movimientos!$G$9:$G$400,$C196,Movimientos!$D$9:$D$400,IF($D196="Ingresos","Ingreso",IF($D196="Ahorro","Ahorro","Gasto"))))</f>
        <v>78.88</v>
      </c>
      <c r="G196" s="18">
        <f t="shared" si="6"/>
        <v>-6.1200000000000045</v>
      </c>
      <c r="H196" s="20">
        <f t="shared" si="7"/>
        <v>0.92799999999999994</v>
      </c>
      <c r="I196" s="15" t="str">
        <f t="shared" si="8"/>
        <v>Bien</v>
      </c>
    </row>
    <row r="197" spans="1:9" x14ac:dyDescent="0.25">
      <c r="A197" s="19">
        <v>45962</v>
      </c>
      <c r="B197" s="15" t="s">
        <v>89</v>
      </c>
      <c r="C197" s="15" t="s">
        <v>31</v>
      </c>
      <c r="D197" s="15" t="s">
        <v>9</v>
      </c>
      <c r="E197" s="17">
        <v>42</v>
      </c>
      <c r="F197" s="18">
        <f>IF(A197="","",SUMIFS(Movimientos!$L$9:$L$400,Movimientos!$A$9:$A$400,"&gt;="&amp;$A197,Movimientos!$A$9:$A$400,"&lt;"&amp;EDATE($A197,1),Movimientos!$F$9:$F$400,$B197,Movimientos!$G$9:$G$400,$C197,Movimientos!$D$9:$D$400,IF($D197="Ingresos","Ingreso",IF($D197="Ahorro","Ahorro","Gasto"))))</f>
        <v>39</v>
      </c>
      <c r="G197" s="18">
        <f t="shared" si="6"/>
        <v>-3</v>
      </c>
      <c r="H197" s="20">
        <f t="shared" si="7"/>
        <v>0.9285714285714286</v>
      </c>
      <c r="I197" s="15" t="str">
        <f t="shared" si="8"/>
        <v>Bien</v>
      </c>
    </row>
    <row r="198" spans="1:9" x14ac:dyDescent="0.25">
      <c r="A198" s="19">
        <v>45962</v>
      </c>
      <c r="B198" s="15" t="s">
        <v>122</v>
      </c>
      <c r="C198" s="15" t="s">
        <v>31</v>
      </c>
      <c r="D198" s="15" t="s">
        <v>9</v>
      </c>
      <c r="E198" s="17">
        <v>12</v>
      </c>
      <c r="F198" s="18">
        <f>IF(A198="","",SUMIFS(Movimientos!$L$9:$L$400,Movimientos!$A$9:$A$400,"&gt;="&amp;$A198,Movimientos!$A$9:$A$400,"&lt;"&amp;EDATE($A198,1),Movimientos!$F$9:$F$400,$B198,Movimientos!$G$9:$G$400,$C198,Movimientos!$D$9:$D$400,IF($D198="Ingresos","Ingreso",IF($D198="Ahorro","Ahorro","Gasto"))))</f>
        <v>0</v>
      </c>
      <c r="G198" s="18">
        <f t="shared" si="6"/>
        <v>-12</v>
      </c>
      <c r="H198" s="20">
        <f t="shared" si="7"/>
        <v>0</v>
      </c>
      <c r="I198" s="15" t="str">
        <f t="shared" si="8"/>
        <v>Bien</v>
      </c>
    </row>
    <row r="199" spans="1:9" x14ac:dyDescent="0.25">
      <c r="A199" s="19">
        <v>45962</v>
      </c>
      <c r="B199" s="15" t="s">
        <v>105</v>
      </c>
      <c r="C199" s="15" t="s">
        <v>32</v>
      </c>
      <c r="D199" s="15" t="s">
        <v>9</v>
      </c>
      <c r="E199" s="17">
        <v>18</v>
      </c>
      <c r="F199" s="18">
        <f>IF(A199="","",SUMIFS(Movimientos!$L$9:$L$400,Movimientos!$A$9:$A$400,"&gt;="&amp;$A199,Movimientos!$A$9:$A$400,"&lt;"&amp;EDATE($A199,1),Movimientos!$F$9:$F$400,$B199,Movimientos!$G$9:$G$400,$C199,Movimientos!$D$9:$D$400,IF($D199="Ingresos","Ingreso",IF($D199="Ahorro","Ahorro","Gasto"))))</f>
        <v>0</v>
      </c>
      <c r="G199" s="18">
        <f t="shared" si="6"/>
        <v>-18</v>
      </c>
      <c r="H199" s="20">
        <f t="shared" si="7"/>
        <v>0</v>
      </c>
      <c r="I199" s="15" t="str">
        <f t="shared" si="8"/>
        <v>Bien</v>
      </c>
    </row>
    <row r="200" spans="1:9" x14ac:dyDescent="0.25">
      <c r="A200" s="19">
        <v>45962</v>
      </c>
      <c r="B200" s="15" t="s">
        <v>98</v>
      </c>
      <c r="C200" s="15" t="s">
        <v>32</v>
      </c>
      <c r="D200" s="15" t="s">
        <v>9</v>
      </c>
      <c r="E200" s="17">
        <v>18</v>
      </c>
      <c r="F200" s="18">
        <f>IF(A200="","",SUMIFS(Movimientos!$L$9:$L$400,Movimientos!$A$9:$A$400,"&gt;="&amp;$A200,Movimientos!$A$9:$A$400,"&lt;"&amp;EDATE($A200,1),Movimientos!$F$9:$F$400,$B200,Movimientos!$G$9:$G$400,$C200,Movimientos!$D$9:$D$400,IF($D200="Ingresos","Ingreso",IF($D200="Ahorro","Ahorro","Gasto"))))</f>
        <v>18</v>
      </c>
      <c r="G200" s="18">
        <f t="shared" ref="G200:G263" si="9">IF(E200="","",F200-E200)</f>
        <v>0</v>
      </c>
      <c r="H200" s="20">
        <f t="shared" ref="H200:H262" si="10">IF(E200=0,"",F200/E200)</f>
        <v>1</v>
      </c>
      <c r="I200" s="15" t="str">
        <f t="shared" ref="I200:I263" si="11">IF(E200="","",IF($D200="Ingresos",IF(H200&gt;=1,"Bien",IF(H200&gt;=0.95,"Casi","Bajo")),IF($D200="Ahorro",IF(H200&gt;=1,"Bien",IF(H200&gt;=0.9,"Casi","Bajo")),IF(H200&lt;=1,"Bien",IF(H200&lt;=1.1,"Vigilar","Exceso")))))</f>
        <v>Bien</v>
      </c>
    </row>
    <row r="201" spans="1:9" x14ac:dyDescent="0.25">
      <c r="A201" s="19">
        <v>45962</v>
      </c>
      <c r="B201" s="15" t="s">
        <v>107</v>
      </c>
      <c r="C201" s="15" t="s">
        <v>33</v>
      </c>
      <c r="D201" s="15" t="s">
        <v>10</v>
      </c>
      <c r="E201" s="17">
        <v>65</v>
      </c>
      <c r="F201" s="18">
        <f>IF(A201="","",SUMIFS(Movimientos!$L$9:$L$400,Movimientos!$A$9:$A$400,"&gt;="&amp;$A201,Movimientos!$A$9:$A$400,"&lt;"&amp;EDATE($A201,1),Movimientos!$F$9:$F$400,$B201,Movimientos!$G$9:$G$400,$C201,Movimientos!$D$9:$D$400,IF($D201="Ingresos","Ingreso",IF($D201="Ahorro","Ahorro","Gasto"))))</f>
        <v>72.240000000000009</v>
      </c>
      <c r="G201" s="18">
        <f t="shared" si="9"/>
        <v>7.2400000000000091</v>
      </c>
      <c r="H201" s="20">
        <f t="shared" si="10"/>
        <v>1.1113846153846154</v>
      </c>
      <c r="I201" s="15" t="str">
        <f t="shared" si="11"/>
        <v>Exceso</v>
      </c>
    </row>
    <row r="202" spans="1:9" x14ac:dyDescent="0.25">
      <c r="A202" s="19">
        <v>45962</v>
      </c>
      <c r="B202" s="15" t="s">
        <v>109</v>
      </c>
      <c r="C202" s="15" t="s">
        <v>33</v>
      </c>
      <c r="D202" s="15" t="s">
        <v>10</v>
      </c>
      <c r="E202" s="17">
        <v>25</v>
      </c>
      <c r="F202" s="18">
        <f>IF(A202="","",SUMIFS(Movimientos!$L$9:$L$400,Movimientos!$A$9:$A$400,"&gt;="&amp;$A202,Movimientos!$A$9:$A$400,"&lt;"&amp;EDATE($A202,1),Movimientos!$F$9:$F$400,$B202,Movimientos!$G$9:$G$400,$C202,Movimientos!$D$9:$D$400,IF($D202="Ingresos","Ingreso",IF($D202="Ahorro","Ahorro","Gasto"))))</f>
        <v>13.83</v>
      </c>
      <c r="G202" s="18">
        <f t="shared" si="9"/>
        <v>-11.17</v>
      </c>
      <c r="H202" s="20">
        <f t="shared" si="10"/>
        <v>0.55320000000000003</v>
      </c>
      <c r="I202" s="15" t="str">
        <f t="shared" si="11"/>
        <v>Bien</v>
      </c>
    </row>
    <row r="203" spans="1:9" x14ac:dyDescent="0.25">
      <c r="A203" s="19">
        <v>45962</v>
      </c>
      <c r="B203" s="15" t="s">
        <v>111</v>
      </c>
      <c r="C203" s="15" t="s">
        <v>35</v>
      </c>
      <c r="D203" s="15" t="s">
        <v>10</v>
      </c>
      <c r="E203" s="17">
        <v>40</v>
      </c>
      <c r="F203" s="18">
        <f>IF(A203="","",SUMIFS(Movimientos!$L$9:$L$400,Movimientos!$A$9:$A$400,"&gt;="&amp;$A203,Movimientos!$A$9:$A$400,"&lt;"&amp;EDATE($A203,1),Movimientos!$F$9:$F$400,$B203,Movimientos!$G$9:$G$400,$C203,Movimientos!$D$9:$D$400,IF($D203="Ingresos","Ingreso",IF($D203="Ahorro","Ahorro","Gasto"))))</f>
        <v>45.48</v>
      </c>
      <c r="G203" s="18">
        <f t="shared" si="9"/>
        <v>5.4799999999999969</v>
      </c>
      <c r="H203" s="20">
        <f t="shared" si="10"/>
        <v>1.137</v>
      </c>
      <c r="I203" s="15" t="str">
        <f t="shared" si="11"/>
        <v>Exceso</v>
      </c>
    </row>
    <row r="204" spans="1:9" x14ac:dyDescent="0.25">
      <c r="A204" s="19">
        <v>45962</v>
      </c>
      <c r="B204" s="15" t="s">
        <v>114</v>
      </c>
      <c r="C204" s="15" t="s">
        <v>41</v>
      </c>
      <c r="D204" s="15" t="s">
        <v>30</v>
      </c>
      <c r="E204" s="17">
        <v>250</v>
      </c>
      <c r="F204" s="18">
        <f>IF(A204="","",SUMIFS(Movimientos!$L$9:$L$400,Movimientos!$A$9:$A$400,"&gt;="&amp;$A204,Movimientos!$A$9:$A$400,"&lt;"&amp;EDATE($A204,1),Movimientos!$F$9:$F$400,$B204,Movimientos!$G$9:$G$400,$C204,Movimientos!$D$9:$D$400,IF($D204="Ingresos","Ingreso",IF($D204="Ahorro","Ahorro","Gasto"))))</f>
        <v>238.16</v>
      </c>
      <c r="G204" s="18">
        <f t="shared" si="9"/>
        <v>-11.840000000000003</v>
      </c>
      <c r="H204" s="20">
        <f t="shared" si="10"/>
        <v>0.95263999999999993</v>
      </c>
      <c r="I204" s="15" t="str">
        <f t="shared" si="11"/>
        <v>Casi</v>
      </c>
    </row>
    <row r="205" spans="1:9" x14ac:dyDescent="0.25">
      <c r="A205" s="19">
        <v>45962</v>
      </c>
      <c r="B205" s="15" t="s">
        <v>116</v>
      </c>
      <c r="C205" s="15" t="s">
        <v>41</v>
      </c>
      <c r="D205" s="15" t="s">
        <v>30</v>
      </c>
      <c r="E205" s="17">
        <v>60</v>
      </c>
      <c r="F205" s="18">
        <f>IF(A205="","",SUMIFS(Movimientos!$L$9:$L$400,Movimientos!$A$9:$A$400,"&gt;="&amp;$A205,Movimientos!$A$9:$A$400,"&lt;"&amp;EDATE($A205,1),Movimientos!$F$9:$F$400,$B205,Movimientos!$G$9:$G$400,$C205,Movimientos!$D$9:$D$400,IF($D205="Ingresos","Ingreso",IF($D205="Ahorro","Ahorro","Gasto"))))</f>
        <v>58.6</v>
      </c>
      <c r="G205" s="18">
        <f t="shared" si="9"/>
        <v>-1.3999999999999986</v>
      </c>
      <c r="H205" s="20">
        <f t="shared" si="10"/>
        <v>0.97666666666666668</v>
      </c>
      <c r="I205" s="15" t="str">
        <f t="shared" si="11"/>
        <v>Casi</v>
      </c>
    </row>
    <row r="206" spans="1:9" x14ac:dyDescent="0.25">
      <c r="A206" s="19">
        <v>45992</v>
      </c>
      <c r="B206" s="15" t="s">
        <v>73</v>
      </c>
      <c r="C206" s="15" t="s">
        <v>74</v>
      </c>
      <c r="D206" s="15" t="s">
        <v>37</v>
      </c>
      <c r="E206" s="17">
        <v>2450</v>
      </c>
      <c r="F206" s="18">
        <f>IF(A206="","",SUMIFS(Movimientos!$L$9:$L$400,Movimientos!$A$9:$A$400,"&gt;="&amp;$A206,Movimientos!$A$9:$A$400,"&lt;"&amp;EDATE($A206,1),Movimientos!$F$9:$F$400,$B206,Movimientos!$G$9:$G$400,$C206,Movimientos!$D$9:$D$400,IF($D206="Ingresos","Ingreso",IF($D206="Ahorro","Ahorro","Gasto"))))</f>
        <v>2518.98</v>
      </c>
      <c r="G206" s="18">
        <f t="shared" si="9"/>
        <v>68.980000000000018</v>
      </c>
      <c r="H206" s="20">
        <f t="shared" si="10"/>
        <v>1.0281551020408164</v>
      </c>
      <c r="I206" s="15" t="str">
        <f t="shared" si="11"/>
        <v>Bien</v>
      </c>
    </row>
    <row r="207" spans="1:9" x14ac:dyDescent="0.25">
      <c r="A207" s="19">
        <v>45992</v>
      </c>
      <c r="B207" s="15" t="s">
        <v>118</v>
      </c>
      <c r="C207" s="15" t="s">
        <v>119</v>
      </c>
      <c r="D207" s="15" t="s">
        <v>37</v>
      </c>
      <c r="E207" s="17">
        <v>0</v>
      </c>
      <c r="F207" s="18">
        <f>IF(A207="","",SUMIFS(Movimientos!$L$9:$L$400,Movimientos!$A$9:$A$400,"&gt;="&amp;$A207,Movimientos!$A$9:$A$400,"&lt;"&amp;EDATE($A207,1),Movimientos!$F$9:$F$400,$B207,Movimientos!$G$9:$G$400,$C207,Movimientos!$D$9:$D$400,IF($D207="Ingresos","Ingreso",IF($D207="Ahorro","Ahorro","Gasto"))))</f>
        <v>0</v>
      </c>
      <c r="G207" s="18">
        <f t="shared" si="9"/>
        <v>0</v>
      </c>
      <c r="H207" s="20" t="str">
        <f t="shared" si="10"/>
        <v/>
      </c>
      <c r="I207" s="15" t="str">
        <f t="shared" si="11"/>
        <v>Bien</v>
      </c>
    </row>
    <row r="208" spans="1:9" x14ac:dyDescent="0.25">
      <c r="A208" s="19">
        <v>45992</v>
      </c>
      <c r="B208" s="15" t="s">
        <v>81</v>
      </c>
      <c r="C208" s="15" t="s">
        <v>28</v>
      </c>
      <c r="D208" s="15" t="s">
        <v>9</v>
      </c>
      <c r="E208" s="17">
        <v>980</v>
      </c>
      <c r="F208" s="18">
        <f>IF(A208="","",SUMIFS(Movimientos!$L$9:$L$400,Movimientos!$A$9:$A$400,"&gt;="&amp;$A208,Movimientos!$A$9:$A$400,"&lt;"&amp;EDATE($A208,1),Movimientos!$F$9:$F$400,$B208,Movimientos!$G$9:$G$400,$C208,Movimientos!$D$9:$D$400,IF($D208="Ingresos","Ingreso",IF($D208="Ahorro","Ahorro","Gasto"))))</f>
        <v>980</v>
      </c>
      <c r="G208" s="18">
        <f t="shared" si="9"/>
        <v>0</v>
      </c>
      <c r="H208" s="20">
        <f t="shared" si="10"/>
        <v>1</v>
      </c>
      <c r="I208" s="15" t="str">
        <f t="shared" si="11"/>
        <v>Bien</v>
      </c>
    </row>
    <row r="209" spans="1:9" x14ac:dyDescent="0.25">
      <c r="A209" s="19">
        <v>45992</v>
      </c>
      <c r="B209" s="15" t="s">
        <v>91</v>
      </c>
      <c r="C209" s="15" t="s">
        <v>28</v>
      </c>
      <c r="D209" s="15" t="s">
        <v>9</v>
      </c>
      <c r="E209" s="17">
        <v>39</v>
      </c>
      <c r="F209" s="18">
        <f>IF(A209="","",SUMIFS(Movimientos!$L$9:$L$400,Movimientos!$A$9:$A$400,"&gt;="&amp;$A209,Movimientos!$A$9:$A$400,"&lt;"&amp;EDATE($A209,1),Movimientos!$F$9:$F$400,$B209,Movimientos!$G$9:$G$400,$C209,Movimientos!$D$9:$D$400,IF($D209="Ingresos","Ingreso",IF($D209="Ahorro","Ahorro","Gasto"))))</f>
        <v>39.86</v>
      </c>
      <c r="G209" s="18">
        <f t="shared" si="9"/>
        <v>0.85999999999999943</v>
      </c>
      <c r="H209" s="20">
        <f t="shared" si="10"/>
        <v>1.0220512820512819</v>
      </c>
      <c r="I209" s="15" t="str">
        <f t="shared" si="11"/>
        <v>Vigilar</v>
      </c>
    </row>
    <row r="210" spans="1:9" x14ac:dyDescent="0.25">
      <c r="A210" s="19">
        <v>45992</v>
      </c>
      <c r="B210" s="15" t="s">
        <v>94</v>
      </c>
      <c r="C210" s="15" t="s">
        <v>28</v>
      </c>
      <c r="D210" s="15" t="s">
        <v>9</v>
      </c>
      <c r="E210" s="17">
        <v>22</v>
      </c>
      <c r="F210" s="18">
        <f>IF(A210="","",SUMIFS(Movimientos!$L$9:$L$400,Movimientos!$A$9:$A$400,"&gt;="&amp;$A210,Movimientos!$A$9:$A$400,"&lt;"&amp;EDATE($A210,1),Movimientos!$F$9:$F$400,$B210,Movimientos!$G$9:$G$400,$C210,Movimientos!$D$9:$D$400,IF($D210="Ingresos","Ingreso",IF($D210="Ahorro","Ahorro","Gasto"))))</f>
        <v>19.61</v>
      </c>
      <c r="G210" s="18">
        <f t="shared" si="9"/>
        <v>-2.3900000000000006</v>
      </c>
      <c r="H210" s="20">
        <f t="shared" si="10"/>
        <v>0.89136363636363636</v>
      </c>
      <c r="I210" s="15" t="str">
        <f t="shared" si="11"/>
        <v>Bien</v>
      </c>
    </row>
    <row r="211" spans="1:9" x14ac:dyDescent="0.25">
      <c r="A211" s="19">
        <v>45992</v>
      </c>
      <c r="B211" s="15" t="s">
        <v>96</v>
      </c>
      <c r="C211" s="15" t="s">
        <v>28</v>
      </c>
      <c r="D211" s="15" t="s">
        <v>9</v>
      </c>
      <c r="E211" s="17">
        <v>35</v>
      </c>
      <c r="F211" s="18">
        <f>IF(A211="","",SUMIFS(Movimientos!$L$9:$L$400,Movimientos!$A$9:$A$400,"&gt;="&amp;$A211,Movimientos!$A$9:$A$400,"&lt;"&amp;EDATE($A211,1),Movimientos!$F$9:$F$400,$B211,Movimientos!$G$9:$G$400,$C211,Movimientos!$D$9:$D$400,IF($D211="Ingresos","Ingreso",IF($D211="Ahorro","Ahorro","Gasto"))))</f>
        <v>35</v>
      </c>
      <c r="G211" s="18">
        <f t="shared" si="9"/>
        <v>0</v>
      </c>
      <c r="H211" s="20">
        <f t="shared" si="10"/>
        <v>1</v>
      </c>
      <c r="I211" s="15" t="str">
        <f t="shared" si="11"/>
        <v>Bien</v>
      </c>
    </row>
    <row r="212" spans="1:9" x14ac:dyDescent="0.25">
      <c r="A212" s="19">
        <v>45992</v>
      </c>
      <c r="B212" s="15" t="s">
        <v>100</v>
      </c>
      <c r="C212" s="15" t="s">
        <v>39</v>
      </c>
      <c r="D212" s="15" t="s">
        <v>9</v>
      </c>
      <c r="E212" s="17">
        <v>24</v>
      </c>
      <c r="F212" s="18">
        <f>IF(A212="","",SUMIFS(Movimientos!$L$9:$L$400,Movimientos!$A$9:$A$400,"&gt;="&amp;$A212,Movimientos!$A$9:$A$400,"&lt;"&amp;EDATE($A212,1),Movimientos!$F$9:$F$400,$B212,Movimientos!$G$9:$G$400,$C212,Movimientos!$D$9:$D$400,IF($D212="Ingresos","Ingreso",IF($D212="Ahorro","Ahorro","Gasto"))))</f>
        <v>24</v>
      </c>
      <c r="G212" s="18">
        <f t="shared" si="9"/>
        <v>0</v>
      </c>
      <c r="H212" s="20">
        <f t="shared" si="10"/>
        <v>1</v>
      </c>
      <c r="I212" s="15" t="str">
        <f t="shared" si="11"/>
        <v>Bien</v>
      </c>
    </row>
    <row r="213" spans="1:9" x14ac:dyDescent="0.25">
      <c r="A213" s="19">
        <v>45992</v>
      </c>
      <c r="B213" s="15" t="s">
        <v>84</v>
      </c>
      <c r="C213" s="15" t="s">
        <v>29</v>
      </c>
      <c r="D213" s="15" t="s">
        <v>9</v>
      </c>
      <c r="E213" s="17">
        <v>330</v>
      </c>
      <c r="F213" s="18">
        <f>IF(A213="","",SUMIFS(Movimientos!$L$9:$L$400,Movimientos!$A$9:$A$400,"&gt;="&amp;$A213,Movimientos!$A$9:$A$400,"&lt;"&amp;EDATE($A213,1),Movimientos!$F$9:$F$400,$B213,Movimientos!$G$9:$G$400,$C213,Movimientos!$D$9:$D$400,IF($D213="Ingresos","Ingreso",IF($D213="Ahorro","Ahorro","Gasto"))))</f>
        <v>322.62</v>
      </c>
      <c r="G213" s="18">
        <f t="shared" si="9"/>
        <v>-7.3799999999999955</v>
      </c>
      <c r="H213" s="20">
        <f t="shared" si="10"/>
        <v>0.97763636363636364</v>
      </c>
      <c r="I213" s="15" t="str">
        <f t="shared" si="11"/>
        <v>Bien</v>
      </c>
    </row>
    <row r="214" spans="1:9" x14ac:dyDescent="0.25">
      <c r="A214" s="19">
        <v>45992</v>
      </c>
      <c r="B214" s="15" t="s">
        <v>102</v>
      </c>
      <c r="C214" s="15" t="s">
        <v>29</v>
      </c>
      <c r="D214" s="15" t="s">
        <v>9</v>
      </c>
      <c r="E214" s="17">
        <v>85</v>
      </c>
      <c r="F214" s="18">
        <f>IF(A214="","",SUMIFS(Movimientos!$L$9:$L$400,Movimientos!$A$9:$A$400,"&gt;="&amp;$A214,Movimientos!$A$9:$A$400,"&lt;"&amp;EDATE($A214,1),Movimientos!$F$9:$F$400,$B214,Movimientos!$G$9:$G$400,$C214,Movimientos!$D$9:$D$400,IF($D214="Ingresos","Ingreso",IF($D214="Ahorro","Ahorro","Gasto"))))</f>
        <v>79.88</v>
      </c>
      <c r="G214" s="18">
        <f t="shared" si="9"/>
        <v>-5.1200000000000045</v>
      </c>
      <c r="H214" s="20">
        <f t="shared" si="10"/>
        <v>0.93976470588235284</v>
      </c>
      <c r="I214" s="15" t="str">
        <f t="shared" si="11"/>
        <v>Bien</v>
      </c>
    </row>
    <row r="215" spans="1:9" x14ac:dyDescent="0.25">
      <c r="A215" s="19">
        <v>45992</v>
      </c>
      <c r="B215" s="15" t="s">
        <v>89</v>
      </c>
      <c r="C215" s="15" t="s">
        <v>31</v>
      </c>
      <c r="D215" s="15" t="s">
        <v>9</v>
      </c>
      <c r="E215" s="17">
        <v>42</v>
      </c>
      <c r="F215" s="18">
        <f>IF(A215="","",SUMIFS(Movimientos!$L$9:$L$400,Movimientos!$A$9:$A$400,"&gt;="&amp;$A215,Movimientos!$A$9:$A$400,"&lt;"&amp;EDATE($A215,1),Movimientos!$F$9:$F$400,$B215,Movimientos!$G$9:$G$400,$C215,Movimientos!$D$9:$D$400,IF($D215="Ingresos","Ingreso",IF($D215="Ahorro","Ahorro","Gasto"))))</f>
        <v>48.35</v>
      </c>
      <c r="G215" s="18">
        <f t="shared" si="9"/>
        <v>6.3500000000000014</v>
      </c>
      <c r="H215" s="20">
        <f t="shared" si="10"/>
        <v>1.1511904761904763</v>
      </c>
      <c r="I215" s="15" t="str">
        <f t="shared" si="11"/>
        <v>Exceso</v>
      </c>
    </row>
    <row r="216" spans="1:9" x14ac:dyDescent="0.25">
      <c r="A216" s="19">
        <v>45992</v>
      </c>
      <c r="B216" s="15" t="s">
        <v>122</v>
      </c>
      <c r="C216" s="15" t="s">
        <v>31</v>
      </c>
      <c r="D216" s="15" t="s">
        <v>9</v>
      </c>
      <c r="E216" s="17">
        <v>12</v>
      </c>
      <c r="F216" s="18">
        <f>IF(A216="","",SUMIFS(Movimientos!$L$9:$L$400,Movimientos!$A$9:$A$400,"&gt;="&amp;$A216,Movimientos!$A$9:$A$400,"&lt;"&amp;EDATE($A216,1),Movimientos!$F$9:$F$400,$B216,Movimientos!$G$9:$G$400,$C216,Movimientos!$D$9:$D$400,IF($D216="Ingresos","Ingreso",IF($D216="Ahorro","Ahorro","Gasto"))))</f>
        <v>16.79</v>
      </c>
      <c r="G216" s="18">
        <f t="shared" si="9"/>
        <v>4.7899999999999991</v>
      </c>
      <c r="H216" s="20">
        <f t="shared" si="10"/>
        <v>1.3991666666666667</v>
      </c>
      <c r="I216" s="15" t="str">
        <f t="shared" si="11"/>
        <v>Exceso</v>
      </c>
    </row>
    <row r="217" spans="1:9" x14ac:dyDescent="0.25">
      <c r="A217" s="19">
        <v>45992</v>
      </c>
      <c r="B217" s="15" t="s">
        <v>105</v>
      </c>
      <c r="C217" s="15" t="s">
        <v>32</v>
      </c>
      <c r="D217" s="15" t="s">
        <v>9</v>
      </c>
      <c r="E217" s="17">
        <v>18</v>
      </c>
      <c r="F217" s="18">
        <f>IF(A217="","",SUMIFS(Movimientos!$L$9:$L$400,Movimientos!$A$9:$A$400,"&gt;="&amp;$A217,Movimientos!$A$9:$A$400,"&lt;"&amp;EDATE($A217,1),Movimientos!$F$9:$F$400,$B217,Movimientos!$G$9:$G$400,$C217,Movimientos!$D$9:$D$400,IF($D217="Ingresos","Ingreso",IF($D217="Ahorro","Ahorro","Gasto"))))</f>
        <v>12.26</v>
      </c>
      <c r="G217" s="18">
        <f t="shared" si="9"/>
        <v>-5.74</v>
      </c>
      <c r="H217" s="20">
        <f t="shared" si="10"/>
        <v>0.68111111111111111</v>
      </c>
      <c r="I217" s="15" t="str">
        <f t="shared" si="11"/>
        <v>Bien</v>
      </c>
    </row>
    <row r="218" spans="1:9" x14ac:dyDescent="0.25">
      <c r="A218" s="19">
        <v>45992</v>
      </c>
      <c r="B218" s="15" t="s">
        <v>98</v>
      </c>
      <c r="C218" s="15" t="s">
        <v>32</v>
      </c>
      <c r="D218" s="15" t="s">
        <v>9</v>
      </c>
      <c r="E218" s="17">
        <v>18</v>
      </c>
      <c r="F218" s="18">
        <f>IF(A218="","",SUMIFS(Movimientos!$L$9:$L$400,Movimientos!$A$9:$A$400,"&gt;="&amp;$A218,Movimientos!$A$9:$A$400,"&lt;"&amp;EDATE($A218,1),Movimientos!$F$9:$F$400,$B218,Movimientos!$G$9:$G$400,$C218,Movimientos!$D$9:$D$400,IF($D218="Ingresos","Ingreso",IF($D218="Ahorro","Ahorro","Gasto"))))</f>
        <v>18</v>
      </c>
      <c r="G218" s="18">
        <f t="shared" si="9"/>
        <v>0</v>
      </c>
      <c r="H218" s="20">
        <f t="shared" si="10"/>
        <v>1</v>
      </c>
      <c r="I218" s="15" t="str">
        <f t="shared" si="11"/>
        <v>Bien</v>
      </c>
    </row>
    <row r="219" spans="1:9" x14ac:dyDescent="0.25">
      <c r="A219" s="19">
        <v>45992</v>
      </c>
      <c r="B219" s="15" t="s">
        <v>107</v>
      </c>
      <c r="C219" s="15" t="s">
        <v>33</v>
      </c>
      <c r="D219" s="15" t="s">
        <v>10</v>
      </c>
      <c r="E219" s="17">
        <v>65</v>
      </c>
      <c r="F219" s="18">
        <f>IF(A219="","",SUMIFS(Movimientos!$L$9:$L$400,Movimientos!$A$9:$A$400,"&gt;="&amp;$A219,Movimientos!$A$9:$A$400,"&lt;"&amp;EDATE($A219,1),Movimientos!$F$9:$F$400,$B219,Movimientos!$G$9:$G$400,$C219,Movimientos!$D$9:$D$400,IF($D219="Ingresos","Ingreso",IF($D219="Ahorro","Ahorro","Gasto"))))</f>
        <v>64.199999999999989</v>
      </c>
      <c r="G219" s="18">
        <f t="shared" si="9"/>
        <v>-0.80000000000001137</v>
      </c>
      <c r="H219" s="20">
        <f t="shared" si="10"/>
        <v>0.98769230769230754</v>
      </c>
      <c r="I219" s="15" t="str">
        <f t="shared" si="11"/>
        <v>Bien</v>
      </c>
    </row>
    <row r="220" spans="1:9" x14ac:dyDescent="0.25">
      <c r="A220" s="19">
        <v>45992</v>
      </c>
      <c r="B220" s="15" t="s">
        <v>109</v>
      </c>
      <c r="C220" s="15" t="s">
        <v>33</v>
      </c>
      <c r="D220" s="15" t="s">
        <v>10</v>
      </c>
      <c r="E220" s="17">
        <v>25</v>
      </c>
      <c r="F220" s="18">
        <f>IF(A220="","",SUMIFS(Movimientos!$L$9:$L$400,Movimientos!$A$9:$A$400,"&gt;="&amp;$A220,Movimientos!$A$9:$A$400,"&lt;"&amp;EDATE($A220,1),Movimientos!$F$9:$F$400,$B220,Movimientos!$G$9:$G$400,$C220,Movimientos!$D$9:$D$400,IF($D220="Ingresos","Ingreso",IF($D220="Ahorro","Ahorro","Gasto"))))</f>
        <v>35.659999999999997</v>
      </c>
      <c r="G220" s="18">
        <f t="shared" si="9"/>
        <v>10.659999999999997</v>
      </c>
      <c r="H220" s="20">
        <f t="shared" si="10"/>
        <v>1.4263999999999999</v>
      </c>
      <c r="I220" s="15" t="str">
        <f t="shared" si="11"/>
        <v>Exceso</v>
      </c>
    </row>
    <row r="221" spans="1:9" x14ac:dyDescent="0.25">
      <c r="A221" s="19">
        <v>45992</v>
      </c>
      <c r="B221" s="15" t="s">
        <v>111</v>
      </c>
      <c r="C221" s="15" t="s">
        <v>35</v>
      </c>
      <c r="D221" s="15" t="s">
        <v>10</v>
      </c>
      <c r="E221" s="17">
        <v>40</v>
      </c>
      <c r="F221" s="18">
        <f>IF(A221="","",SUMIFS(Movimientos!$L$9:$L$400,Movimientos!$A$9:$A$400,"&gt;="&amp;$A221,Movimientos!$A$9:$A$400,"&lt;"&amp;EDATE($A221,1),Movimientos!$F$9:$F$400,$B221,Movimientos!$G$9:$G$400,$C221,Movimientos!$D$9:$D$400,IF($D221="Ingresos","Ingreso",IF($D221="Ahorro","Ahorro","Gasto"))))</f>
        <v>0</v>
      </c>
      <c r="G221" s="18">
        <f t="shared" si="9"/>
        <v>-40</v>
      </c>
      <c r="H221" s="20">
        <f t="shared" si="10"/>
        <v>0</v>
      </c>
      <c r="I221" s="15" t="str">
        <f t="shared" si="11"/>
        <v>Bien</v>
      </c>
    </row>
    <row r="222" spans="1:9" x14ac:dyDescent="0.25">
      <c r="A222" s="19">
        <v>45992</v>
      </c>
      <c r="B222" s="15" t="s">
        <v>114</v>
      </c>
      <c r="C222" s="15" t="s">
        <v>41</v>
      </c>
      <c r="D222" s="15" t="s">
        <v>30</v>
      </c>
      <c r="E222" s="17">
        <v>250</v>
      </c>
      <c r="F222" s="18">
        <f>IF(A222="","",SUMIFS(Movimientos!$L$9:$L$400,Movimientos!$A$9:$A$400,"&gt;="&amp;$A222,Movimientos!$A$9:$A$400,"&lt;"&amp;EDATE($A222,1),Movimientos!$F$9:$F$400,$B222,Movimientos!$G$9:$G$400,$C222,Movimientos!$D$9:$D$400,IF($D222="Ingresos","Ingreso",IF($D222="Ahorro","Ahorro","Gasto"))))</f>
        <v>237.91</v>
      </c>
      <c r="G222" s="18">
        <f t="shared" si="9"/>
        <v>-12.090000000000003</v>
      </c>
      <c r="H222" s="20">
        <f t="shared" si="10"/>
        <v>0.95164000000000004</v>
      </c>
      <c r="I222" s="15" t="str">
        <f t="shared" si="11"/>
        <v>Casi</v>
      </c>
    </row>
    <row r="223" spans="1:9" x14ac:dyDescent="0.25">
      <c r="A223" s="19">
        <v>45992</v>
      </c>
      <c r="B223" s="15" t="s">
        <v>116</v>
      </c>
      <c r="C223" s="15" t="s">
        <v>41</v>
      </c>
      <c r="D223" s="15" t="s">
        <v>30</v>
      </c>
      <c r="E223" s="17">
        <v>60</v>
      </c>
      <c r="F223" s="18">
        <f>IF(A223="","",SUMIFS(Movimientos!$L$9:$L$400,Movimientos!$A$9:$A$400,"&gt;="&amp;$A223,Movimientos!$A$9:$A$400,"&lt;"&amp;EDATE($A223,1),Movimientos!$F$9:$F$400,$B223,Movimientos!$G$9:$G$400,$C223,Movimientos!$D$9:$D$400,IF($D223="Ingresos","Ingreso",IF($D223="Ahorro","Ahorro","Gasto"))))</f>
        <v>70.319999999999993</v>
      </c>
      <c r="G223" s="18">
        <f t="shared" si="9"/>
        <v>10.319999999999993</v>
      </c>
      <c r="H223" s="20">
        <f t="shared" si="10"/>
        <v>1.1719999999999999</v>
      </c>
      <c r="I223" s="15" t="str">
        <f t="shared" si="11"/>
        <v>Bien</v>
      </c>
    </row>
    <row r="224" spans="1:9" x14ac:dyDescent="0.25">
      <c r="A224" s="19"/>
      <c r="B224" s="15"/>
      <c r="C224" s="15"/>
      <c r="D224" s="15"/>
      <c r="E224" s="17"/>
      <c r="F224" s="18" t="str">
        <f>IF(A224="","",SUMIFS(Movimientos!$L$9:$L$400,Movimientos!$A$9:$A$400,"&gt;="&amp;$A224,Movimientos!$A$9:$A$400,"&lt;"&amp;EDATE($A224,1),Movimientos!$F$9:$F$400,$B224,Movimientos!$G$9:$G$400,$C224,Movimientos!$D$9:$D$400,IF($D224="Ingresos","Ingreso",IF($D224="Ahorro","Ahorro","Gasto"))))</f>
        <v/>
      </c>
      <c r="G224" s="18" t="str">
        <f t="shared" si="9"/>
        <v/>
      </c>
      <c r="H224" s="20" t="str">
        <f t="shared" si="10"/>
        <v/>
      </c>
      <c r="I224" s="15" t="str">
        <f t="shared" si="11"/>
        <v/>
      </c>
    </row>
    <row r="225" spans="1:9" x14ac:dyDescent="0.25">
      <c r="A225" s="19"/>
      <c r="B225" s="15"/>
      <c r="C225" s="15"/>
      <c r="D225" s="15"/>
      <c r="E225" s="17"/>
      <c r="F225" s="18" t="str">
        <f>IF(A225="","",SUMIFS(Movimientos!$L$9:$L$400,Movimientos!$A$9:$A$400,"&gt;="&amp;$A225,Movimientos!$A$9:$A$400,"&lt;"&amp;EDATE($A225,1),Movimientos!$F$9:$F$400,$B225,Movimientos!$G$9:$G$400,$C225,Movimientos!$D$9:$D$400,IF($D225="Ingresos","Ingreso",IF($D225="Ahorro","Ahorro","Gasto"))))</f>
        <v/>
      </c>
      <c r="G225" s="18" t="str">
        <f t="shared" si="9"/>
        <v/>
      </c>
      <c r="H225" s="20" t="str">
        <f t="shared" si="10"/>
        <v/>
      </c>
      <c r="I225" s="15" t="str">
        <f t="shared" si="11"/>
        <v/>
      </c>
    </row>
    <row r="226" spans="1:9" x14ac:dyDescent="0.25">
      <c r="A226" s="19"/>
      <c r="B226" s="15"/>
      <c r="C226" s="15"/>
      <c r="D226" s="15"/>
      <c r="E226" s="17"/>
      <c r="F226" s="18" t="str">
        <f>IF(A226="","",SUMIFS(Movimientos!$L$9:$L$400,Movimientos!$A$9:$A$400,"&gt;="&amp;$A226,Movimientos!$A$9:$A$400,"&lt;"&amp;EDATE($A226,1),Movimientos!$F$9:$F$400,$B226,Movimientos!$G$9:$G$400,$C226,Movimientos!$D$9:$D$400,IF($D226="Ingresos","Ingreso",IF($D226="Ahorro","Ahorro","Gasto"))))</f>
        <v/>
      </c>
      <c r="G226" s="18" t="str">
        <f t="shared" si="9"/>
        <v/>
      </c>
      <c r="H226" s="20" t="str">
        <f t="shared" si="10"/>
        <v/>
      </c>
      <c r="I226" s="15" t="str">
        <f t="shared" si="11"/>
        <v/>
      </c>
    </row>
    <row r="227" spans="1:9" x14ac:dyDescent="0.25">
      <c r="A227" s="19"/>
      <c r="B227" s="15"/>
      <c r="C227" s="15"/>
      <c r="D227" s="15"/>
      <c r="E227" s="17"/>
      <c r="F227" s="18" t="str">
        <f>IF(A227="","",SUMIFS(Movimientos!$L$9:$L$400,Movimientos!$A$9:$A$400,"&gt;="&amp;$A227,Movimientos!$A$9:$A$400,"&lt;"&amp;EDATE($A227,1),Movimientos!$F$9:$F$400,$B227,Movimientos!$G$9:$G$400,$C227,Movimientos!$D$9:$D$400,IF($D227="Ingresos","Ingreso",IF($D227="Ahorro","Ahorro","Gasto"))))</f>
        <v/>
      </c>
      <c r="G227" s="18" t="str">
        <f t="shared" si="9"/>
        <v/>
      </c>
      <c r="H227" s="20" t="str">
        <f t="shared" si="10"/>
        <v/>
      </c>
      <c r="I227" s="15" t="str">
        <f t="shared" si="11"/>
        <v/>
      </c>
    </row>
    <row r="228" spans="1:9" x14ac:dyDescent="0.25">
      <c r="A228" s="19"/>
      <c r="B228" s="15"/>
      <c r="C228" s="15"/>
      <c r="D228" s="15"/>
      <c r="E228" s="17"/>
      <c r="F228" s="18" t="str">
        <f>IF(A228="","",SUMIFS(Movimientos!$L$9:$L$400,Movimientos!$A$9:$A$400,"&gt;="&amp;$A228,Movimientos!$A$9:$A$400,"&lt;"&amp;EDATE($A228,1),Movimientos!$F$9:$F$400,$B228,Movimientos!$G$9:$G$400,$C228,Movimientos!$D$9:$D$400,IF($D228="Ingresos","Ingreso",IF($D228="Ahorro","Ahorro","Gasto"))))</f>
        <v/>
      </c>
      <c r="G228" s="18" t="str">
        <f t="shared" si="9"/>
        <v/>
      </c>
      <c r="H228" s="20" t="str">
        <f t="shared" si="10"/>
        <v/>
      </c>
      <c r="I228" s="15" t="str">
        <f t="shared" si="11"/>
        <v/>
      </c>
    </row>
    <row r="229" spans="1:9" x14ac:dyDescent="0.25">
      <c r="A229" s="19"/>
      <c r="B229" s="15"/>
      <c r="C229" s="15"/>
      <c r="D229" s="15"/>
      <c r="E229" s="17"/>
      <c r="F229" s="18" t="str">
        <f>IF(A229="","",SUMIFS(Movimientos!$L$9:$L$400,Movimientos!$A$9:$A$400,"&gt;="&amp;$A229,Movimientos!$A$9:$A$400,"&lt;"&amp;EDATE($A229,1),Movimientos!$F$9:$F$400,$B229,Movimientos!$G$9:$G$400,$C229,Movimientos!$D$9:$D$400,IF($D229="Ingresos","Ingreso",IF($D229="Ahorro","Ahorro","Gasto"))))</f>
        <v/>
      </c>
      <c r="G229" s="18" t="str">
        <f t="shared" si="9"/>
        <v/>
      </c>
      <c r="H229" s="20" t="str">
        <f t="shared" si="10"/>
        <v/>
      </c>
      <c r="I229" s="15" t="str">
        <f t="shared" si="11"/>
        <v/>
      </c>
    </row>
    <row r="230" spans="1:9" x14ac:dyDescent="0.25">
      <c r="A230" s="19"/>
      <c r="B230" s="15"/>
      <c r="C230" s="15"/>
      <c r="D230" s="15"/>
      <c r="E230" s="17"/>
      <c r="F230" s="18" t="str">
        <f>IF(A230="","",SUMIFS(Movimientos!$L$9:$L$400,Movimientos!$A$9:$A$400,"&gt;="&amp;$A230,Movimientos!$A$9:$A$400,"&lt;"&amp;EDATE($A230,1),Movimientos!$F$9:$F$400,$B230,Movimientos!$G$9:$G$400,$C230,Movimientos!$D$9:$D$400,IF($D230="Ingresos","Ingreso",IF($D230="Ahorro","Ahorro","Gasto"))))</f>
        <v/>
      </c>
      <c r="G230" s="18" t="str">
        <f t="shared" si="9"/>
        <v/>
      </c>
      <c r="H230" s="20" t="str">
        <f t="shared" si="10"/>
        <v/>
      </c>
      <c r="I230" s="15" t="str">
        <f t="shared" si="11"/>
        <v/>
      </c>
    </row>
    <row r="231" spans="1:9" x14ac:dyDescent="0.25">
      <c r="A231" s="19"/>
      <c r="B231" s="15"/>
      <c r="C231" s="15"/>
      <c r="D231" s="15"/>
      <c r="E231" s="17"/>
      <c r="F231" s="18" t="str">
        <f>IF(A231="","",SUMIFS(Movimientos!$L$9:$L$400,Movimientos!$A$9:$A$400,"&gt;="&amp;$A231,Movimientos!$A$9:$A$400,"&lt;"&amp;EDATE($A231,1),Movimientos!$F$9:$F$400,$B231,Movimientos!$G$9:$G$400,$C231,Movimientos!$D$9:$D$400,IF($D231="Ingresos","Ingreso",IF($D231="Ahorro","Ahorro","Gasto"))))</f>
        <v/>
      </c>
      <c r="G231" s="18" t="str">
        <f t="shared" si="9"/>
        <v/>
      </c>
      <c r="H231" s="20" t="str">
        <f t="shared" si="10"/>
        <v/>
      </c>
      <c r="I231" s="15" t="str">
        <f t="shared" si="11"/>
        <v/>
      </c>
    </row>
    <row r="232" spans="1:9" x14ac:dyDescent="0.25">
      <c r="A232" s="19"/>
      <c r="B232" s="15"/>
      <c r="C232" s="15"/>
      <c r="D232" s="15"/>
      <c r="E232" s="17"/>
      <c r="F232" s="18" t="str">
        <f>IF(A232="","",SUMIFS(Movimientos!$L$9:$L$400,Movimientos!$A$9:$A$400,"&gt;="&amp;$A232,Movimientos!$A$9:$A$400,"&lt;"&amp;EDATE($A232,1),Movimientos!$F$9:$F$400,$B232,Movimientos!$G$9:$G$400,$C232,Movimientos!$D$9:$D$400,IF($D232="Ingresos","Ingreso",IF($D232="Ahorro","Ahorro","Gasto"))))</f>
        <v/>
      </c>
      <c r="G232" s="18" t="str">
        <f t="shared" si="9"/>
        <v/>
      </c>
      <c r="H232" s="20" t="str">
        <f t="shared" si="10"/>
        <v/>
      </c>
      <c r="I232" s="15" t="str">
        <f t="shared" si="11"/>
        <v/>
      </c>
    </row>
    <row r="233" spans="1:9" x14ac:dyDescent="0.25">
      <c r="A233" s="19"/>
      <c r="B233" s="15"/>
      <c r="C233" s="15"/>
      <c r="D233" s="15"/>
      <c r="E233" s="17"/>
      <c r="F233" s="18" t="str">
        <f>IF(A233="","",SUMIFS(Movimientos!$L$9:$L$400,Movimientos!$A$9:$A$400,"&gt;="&amp;$A233,Movimientos!$A$9:$A$400,"&lt;"&amp;EDATE($A233,1),Movimientos!$F$9:$F$400,$B233,Movimientos!$G$9:$G$400,$C233,Movimientos!$D$9:$D$400,IF($D233="Ingresos","Ingreso",IF($D233="Ahorro","Ahorro","Gasto"))))</f>
        <v/>
      </c>
      <c r="G233" s="18" t="str">
        <f t="shared" si="9"/>
        <v/>
      </c>
      <c r="H233" s="20" t="str">
        <f t="shared" si="10"/>
        <v/>
      </c>
      <c r="I233" s="15" t="str">
        <f t="shared" si="11"/>
        <v/>
      </c>
    </row>
    <row r="234" spans="1:9" x14ac:dyDescent="0.25">
      <c r="A234" s="19"/>
      <c r="B234" s="15"/>
      <c r="C234" s="15"/>
      <c r="D234" s="15"/>
      <c r="E234" s="17"/>
      <c r="F234" s="18" t="str">
        <f>IF(A234="","",SUMIFS(Movimientos!$L$9:$L$400,Movimientos!$A$9:$A$400,"&gt;="&amp;$A234,Movimientos!$A$9:$A$400,"&lt;"&amp;EDATE($A234,1),Movimientos!$F$9:$F$400,$B234,Movimientos!$G$9:$G$400,$C234,Movimientos!$D$9:$D$400,IF($D234="Ingresos","Ingreso",IF($D234="Ahorro","Ahorro","Gasto"))))</f>
        <v/>
      </c>
      <c r="G234" s="18" t="str">
        <f t="shared" si="9"/>
        <v/>
      </c>
      <c r="H234" s="20" t="str">
        <f t="shared" si="10"/>
        <v/>
      </c>
      <c r="I234" s="15" t="str">
        <f t="shared" si="11"/>
        <v/>
      </c>
    </row>
    <row r="235" spans="1:9" x14ac:dyDescent="0.25">
      <c r="A235" s="19"/>
      <c r="B235" s="15"/>
      <c r="C235" s="15"/>
      <c r="D235" s="15"/>
      <c r="E235" s="17"/>
      <c r="F235" s="18" t="str">
        <f>IF(A235="","",SUMIFS(Movimientos!$L$9:$L$400,Movimientos!$A$9:$A$400,"&gt;="&amp;$A235,Movimientos!$A$9:$A$400,"&lt;"&amp;EDATE($A235,1),Movimientos!$F$9:$F$400,$B235,Movimientos!$G$9:$G$400,$C235,Movimientos!$D$9:$D$400,IF($D235="Ingresos","Ingreso",IF($D235="Ahorro","Ahorro","Gasto"))))</f>
        <v/>
      </c>
      <c r="G235" s="18" t="str">
        <f t="shared" si="9"/>
        <v/>
      </c>
      <c r="H235" s="20" t="str">
        <f t="shared" si="10"/>
        <v/>
      </c>
      <c r="I235" s="15" t="str">
        <f t="shared" si="11"/>
        <v/>
      </c>
    </row>
    <row r="236" spans="1:9" x14ac:dyDescent="0.25">
      <c r="A236" s="19"/>
      <c r="B236" s="15"/>
      <c r="C236" s="15"/>
      <c r="D236" s="15"/>
      <c r="E236" s="17"/>
      <c r="F236" s="18" t="str">
        <f>IF(A236="","",SUMIFS(Movimientos!$L$9:$L$400,Movimientos!$A$9:$A$400,"&gt;="&amp;$A236,Movimientos!$A$9:$A$400,"&lt;"&amp;EDATE($A236,1),Movimientos!$F$9:$F$400,$B236,Movimientos!$G$9:$G$400,$C236,Movimientos!$D$9:$D$400,IF($D236="Ingresos","Ingreso",IF($D236="Ahorro","Ahorro","Gasto"))))</f>
        <v/>
      </c>
      <c r="G236" s="18" t="str">
        <f t="shared" si="9"/>
        <v/>
      </c>
      <c r="H236" s="20" t="str">
        <f t="shared" si="10"/>
        <v/>
      </c>
      <c r="I236" s="15" t="str">
        <f t="shared" si="11"/>
        <v/>
      </c>
    </row>
    <row r="237" spans="1:9" x14ac:dyDescent="0.25">
      <c r="A237" s="19"/>
      <c r="B237" s="15"/>
      <c r="C237" s="15"/>
      <c r="D237" s="15"/>
      <c r="E237" s="17"/>
      <c r="F237" s="18" t="str">
        <f>IF(A237="","",SUMIFS(Movimientos!$L$9:$L$400,Movimientos!$A$9:$A$400,"&gt;="&amp;$A237,Movimientos!$A$9:$A$400,"&lt;"&amp;EDATE($A237,1),Movimientos!$F$9:$F$400,$B237,Movimientos!$G$9:$G$400,$C237,Movimientos!$D$9:$D$400,IF($D237="Ingresos","Ingreso",IF($D237="Ahorro","Ahorro","Gasto"))))</f>
        <v/>
      </c>
      <c r="G237" s="18" t="str">
        <f t="shared" si="9"/>
        <v/>
      </c>
      <c r="H237" s="20" t="str">
        <f t="shared" si="10"/>
        <v/>
      </c>
      <c r="I237" s="15" t="str">
        <f t="shared" si="11"/>
        <v/>
      </c>
    </row>
    <row r="238" spans="1:9" x14ac:dyDescent="0.25">
      <c r="A238" s="19"/>
      <c r="B238" s="15"/>
      <c r="C238" s="15"/>
      <c r="D238" s="15"/>
      <c r="E238" s="17"/>
      <c r="F238" s="18" t="str">
        <f>IF(A238="","",SUMIFS(Movimientos!$L$9:$L$400,Movimientos!$A$9:$A$400,"&gt;="&amp;$A238,Movimientos!$A$9:$A$400,"&lt;"&amp;EDATE($A238,1),Movimientos!$F$9:$F$400,$B238,Movimientos!$G$9:$G$400,$C238,Movimientos!$D$9:$D$400,IF($D238="Ingresos","Ingreso",IF($D238="Ahorro","Ahorro","Gasto"))))</f>
        <v/>
      </c>
      <c r="G238" s="18" t="str">
        <f t="shared" si="9"/>
        <v/>
      </c>
      <c r="H238" s="20" t="str">
        <f t="shared" si="10"/>
        <v/>
      </c>
      <c r="I238" s="15" t="str">
        <f t="shared" si="11"/>
        <v/>
      </c>
    </row>
    <row r="239" spans="1:9" x14ac:dyDescent="0.25">
      <c r="A239" s="19"/>
      <c r="B239" s="15"/>
      <c r="C239" s="15"/>
      <c r="D239" s="15"/>
      <c r="E239" s="17"/>
      <c r="F239" s="18" t="str">
        <f>IF(A239="","",SUMIFS(Movimientos!$L$9:$L$400,Movimientos!$A$9:$A$400,"&gt;="&amp;$A239,Movimientos!$A$9:$A$400,"&lt;"&amp;EDATE($A239,1),Movimientos!$F$9:$F$400,$B239,Movimientos!$G$9:$G$400,$C239,Movimientos!$D$9:$D$400,IF($D239="Ingresos","Ingreso",IF($D239="Ahorro","Ahorro","Gasto"))))</f>
        <v/>
      </c>
      <c r="G239" s="18" t="str">
        <f t="shared" si="9"/>
        <v/>
      </c>
      <c r="H239" s="20" t="str">
        <f t="shared" si="10"/>
        <v/>
      </c>
      <c r="I239" s="15" t="str">
        <f t="shared" si="11"/>
        <v/>
      </c>
    </row>
    <row r="240" spans="1:9" x14ac:dyDescent="0.25">
      <c r="A240" s="19"/>
      <c r="B240" s="15"/>
      <c r="C240" s="15"/>
      <c r="D240" s="15"/>
      <c r="E240" s="17"/>
      <c r="F240" s="18" t="str">
        <f>IF(A240="","",SUMIFS(Movimientos!$L$9:$L$400,Movimientos!$A$9:$A$400,"&gt;="&amp;$A240,Movimientos!$A$9:$A$400,"&lt;"&amp;EDATE($A240,1),Movimientos!$F$9:$F$400,$B240,Movimientos!$G$9:$G$400,$C240,Movimientos!$D$9:$D$400,IF($D240="Ingresos","Ingreso",IF($D240="Ahorro","Ahorro","Gasto"))))</f>
        <v/>
      </c>
      <c r="G240" s="18" t="str">
        <f t="shared" si="9"/>
        <v/>
      </c>
      <c r="H240" s="20" t="str">
        <f t="shared" si="10"/>
        <v/>
      </c>
      <c r="I240" s="15" t="str">
        <f t="shared" si="11"/>
        <v/>
      </c>
    </row>
    <row r="241" spans="1:9" x14ac:dyDescent="0.25">
      <c r="A241" s="19"/>
      <c r="B241" s="15"/>
      <c r="C241" s="15"/>
      <c r="D241" s="15"/>
      <c r="E241" s="17"/>
      <c r="F241" s="18" t="str">
        <f>IF(A241="","",SUMIFS(Movimientos!$L$9:$L$400,Movimientos!$A$9:$A$400,"&gt;="&amp;$A241,Movimientos!$A$9:$A$400,"&lt;"&amp;EDATE($A241,1),Movimientos!$F$9:$F$400,$B241,Movimientos!$G$9:$G$400,$C241,Movimientos!$D$9:$D$400,IF($D241="Ingresos","Ingreso",IF($D241="Ahorro","Ahorro","Gasto"))))</f>
        <v/>
      </c>
      <c r="G241" s="18" t="str">
        <f t="shared" si="9"/>
        <v/>
      </c>
      <c r="H241" s="20" t="str">
        <f t="shared" si="10"/>
        <v/>
      </c>
      <c r="I241" s="15" t="str">
        <f t="shared" si="11"/>
        <v/>
      </c>
    </row>
    <row r="242" spans="1:9" x14ac:dyDescent="0.25">
      <c r="A242" s="19"/>
      <c r="B242" s="15"/>
      <c r="C242" s="15"/>
      <c r="D242" s="15"/>
      <c r="E242" s="17"/>
      <c r="F242" s="18" t="str">
        <f>IF(A242="","",SUMIFS(Movimientos!$L$9:$L$400,Movimientos!$A$9:$A$400,"&gt;="&amp;$A242,Movimientos!$A$9:$A$400,"&lt;"&amp;EDATE($A242,1),Movimientos!$F$9:$F$400,$B242,Movimientos!$G$9:$G$400,$C242,Movimientos!$D$9:$D$400,IF($D242="Ingresos","Ingreso",IF($D242="Ahorro","Ahorro","Gasto"))))</f>
        <v/>
      </c>
      <c r="G242" s="18" t="str">
        <f t="shared" si="9"/>
        <v/>
      </c>
      <c r="H242" s="20" t="str">
        <f t="shared" si="10"/>
        <v/>
      </c>
      <c r="I242" s="15" t="str">
        <f t="shared" si="11"/>
        <v/>
      </c>
    </row>
    <row r="243" spans="1:9" x14ac:dyDescent="0.25">
      <c r="A243" s="19"/>
      <c r="B243" s="15"/>
      <c r="C243" s="15"/>
      <c r="D243" s="15"/>
      <c r="E243" s="17"/>
      <c r="F243" s="18" t="str">
        <f>IF(A243="","",SUMIFS(Movimientos!$L$9:$L$400,Movimientos!$A$9:$A$400,"&gt;="&amp;$A243,Movimientos!$A$9:$A$400,"&lt;"&amp;EDATE($A243,1),Movimientos!$F$9:$F$400,$B243,Movimientos!$G$9:$G$400,$C243,Movimientos!$D$9:$D$400,IF($D243="Ingresos","Ingreso",IF($D243="Ahorro","Ahorro","Gasto"))))</f>
        <v/>
      </c>
      <c r="G243" s="18" t="str">
        <f t="shared" si="9"/>
        <v/>
      </c>
      <c r="H243" s="20" t="str">
        <f t="shared" si="10"/>
        <v/>
      </c>
      <c r="I243" s="15" t="str">
        <f t="shared" si="11"/>
        <v/>
      </c>
    </row>
    <row r="244" spans="1:9" x14ac:dyDescent="0.25">
      <c r="A244" s="19"/>
      <c r="B244" s="15"/>
      <c r="C244" s="15"/>
      <c r="D244" s="15"/>
      <c r="E244" s="17"/>
      <c r="F244" s="18" t="str">
        <f>IF(A244="","",SUMIFS(Movimientos!$L$9:$L$400,Movimientos!$A$9:$A$400,"&gt;="&amp;$A244,Movimientos!$A$9:$A$400,"&lt;"&amp;EDATE($A244,1),Movimientos!$F$9:$F$400,$B244,Movimientos!$G$9:$G$400,$C244,Movimientos!$D$9:$D$400,IF($D244="Ingresos","Ingreso",IF($D244="Ahorro","Ahorro","Gasto"))))</f>
        <v/>
      </c>
      <c r="G244" s="18" t="str">
        <f t="shared" si="9"/>
        <v/>
      </c>
      <c r="H244" s="20" t="str">
        <f t="shared" si="10"/>
        <v/>
      </c>
      <c r="I244" s="15" t="str">
        <f t="shared" si="11"/>
        <v/>
      </c>
    </row>
    <row r="245" spans="1:9" x14ac:dyDescent="0.25">
      <c r="A245" s="19"/>
      <c r="B245" s="15"/>
      <c r="C245" s="15"/>
      <c r="D245" s="15"/>
      <c r="E245" s="17"/>
      <c r="F245" s="18" t="str">
        <f>IF(A245="","",SUMIFS(Movimientos!$L$9:$L$400,Movimientos!$A$9:$A$400,"&gt;="&amp;$A245,Movimientos!$A$9:$A$400,"&lt;"&amp;EDATE($A245,1),Movimientos!$F$9:$F$400,$B245,Movimientos!$G$9:$G$400,$C245,Movimientos!$D$9:$D$400,IF($D245="Ingresos","Ingreso",IF($D245="Ahorro","Ahorro","Gasto"))))</f>
        <v/>
      </c>
      <c r="G245" s="18" t="str">
        <f t="shared" si="9"/>
        <v/>
      </c>
      <c r="H245" s="20" t="str">
        <f t="shared" si="10"/>
        <v/>
      </c>
      <c r="I245" s="15" t="str">
        <f t="shared" si="11"/>
        <v/>
      </c>
    </row>
    <row r="246" spans="1:9" x14ac:dyDescent="0.25">
      <c r="A246" s="19"/>
      <c r="B246" s="15"/>
      <c r="C246" s="15"/>
      <c r="D246" s="15"/>
      <c r="E246" s="17"/>
      <c r="F246" s="18" t="str">
        <f>IF(A246="","",SUMIFS(Movimientos!$L$9:$L$400,Movimientos!$A$9:$A$400,"&gt;="&amp;$A246,Movimientos!$A$9:$A$400,"&lt;"&amp;EDATE($A246,1),Movimientos!$F$9:$F$400,$B246,Movimientos!$G$9:$G$400,$C246,Movimientos!$D$9:$D$400,IF($D246="Ingresos","Ingreso",IF($D246="Ahorro","Ahorro","Gasto"))))</f>
        <v/>
      </c>
      <c r="G246" s="18" t="str">
        <f t="shared" si="9"/>
        <v/>
      </c>
      <c r="H246" s="20" t="str">
        <f t="shared" si="10"/>
        <v/>
      </c>
      <c r="I246" s="15" t="str">
        <f t="shared" si="11"/>
        <v/>
      </c>
    </row>
    <row r="247" spans="1:9" x14ac:dyDescent="0.25">
      <c r="A247" s="19"/>
      <c r="B247" s="15"/>
      <c r="C247" s="15"/>
      <c r="D247" s="15"/>
      <c r="E247" s="17"/>
      <c r="F247" s="18" t="str">
        <f>IF(A247="","",SUMIFS(Movimientos!$L$9:$L$400,Movimientos!$A$9:$A$400,"&gt;="&amp;$A247,Movimientos!$A$9:$A$400,"&lt;"&amp;EDATE($A247,1),Movimientos!$F$9:$F$400,$B247,Movimientos!$G$9:$G$400,$C247,Movimientos!$D$9:$D$400,IF($D247="Ingresos","Ingreso",IF($D247="Ahorro","Ahorro","Gasto"))))</f>
        <v/>
      </c>
      <c r="G247" s="18" t="str">
        <f t="shared" si="9"/>
        <v/>
      </c>
      <c r="H247" s="20" t="str">
        <f t="shared" si="10"/>
        <v/>
      </c>
      <c r="I247" s="15" t="str">
        <f t="shared" si="11"/>
        <v/>
      </c>
    </row>
    <row r="248" spans="1:9" x14ac:dyDescent="0.25">
      <c r="A248" s="19"/>
      <c r="B248" s="15"/>
      <c r="C248" s="15"/>
      <c r="D248" s="15"/>
      <c r="E248" s="17"/>
      <c r="F248" s="18" t="str">
        <f>IF(A248="","",SUMIFS(Movimientos!$L$9:$L$400,Movimientos!$A$9:$A$400,"&gt;="&amp;$A248,Movimientos!$A$9:$A$400,"&lt;"&amp;EDATE($A248,1),Movimientos!$F$9:$F$400,$B248,Movimientos!$G$9:$G$400,$C248,Movimientos!$D$9:$D$400,IF($D248="Ingresos","Ingreso",IF($D248="Ahorro","Ahorro","Gasto"))))</f>
        <v/>
      </c>
      <c r="G248" s="18" t="str">
        <f t="shared" si="9"/>
        <v/>
      </c>
      <c r="H248" s="20" t="str">
        <f t="shared" si="10"/>
        <v/>
      </c>
      <c r="I248" s="15" t="str">
        <f t="shared" si="11"/>
        <v/>
      </c>
    </row>
    <row r="249" spans="1:9" x14ac:dyDescent="0.25">
      <c r="A249" s="19"/>
      <c r="B249" s="15"/>
      <c r="C249" s="15"/>
      <c r="D249" s="15"/>
      <c r="E249" s="17"/>
      <c r="F249" s="18" t="str">
        <f>IF(A249="","",SUMIFS(Movimientos!$L$9:$L$400,Movimientos!$A$9:$A$400,"&gt;="&amp;$A249,Movimientos!$A$9:$A$400,"&lt;"&amp;EDATE($A249,1),Movimientos!$F$9:$F$400,$B249,Movimientos!$G$9:$G$400,$C249,Movimientos!$D$9:$D$400,IF($D249="Ingresos","Ingreso",IF($D249="Ahorro","Ahorro","Gasto"))))</f>
        <v/>
      </c>
      <c r="G249" s="18" t="str">
        <f t="shared" si="9"/>
        <v/>
      </c>
      <c r="H249" s="20" t="str">
        <f t="shared" si="10"/>
        <v/>
      </c>
      <c r="I249" s="15" t="str">
        <f t="shared" si="11"/>
        <v/>
      </c>
    </row>
    <row r="250" spans="1:9" x14ac:dyDescent="0.25">
      <c r="A250" s="19"/>
      <c r="B250" s="15"/>
      <c r="C250" s="15"/>
      <c r="D250" s="15"/>
      <c r="E250" s="17"/>
      <c r="F250" s="18" t="str">
        <f>IF(A250="","",SUMIFS(Movimientos!$L$9:$L$400,Movimientos!$A$9:$A$400,"&gt;="&amp;$A250,Movimientos!$A$9:$A$400,"&lt;"&amp;EDATE($A250,1),Movimientos!$F$9:$F$400,$B250,Movimientos!$G$9:$G$400,$C250,Movimientos!$D$9:$D$400,IF($D250="Ingresos","Ingreso",IF($D250="Ahorro","Ahorro","Gasto"))))</f>
        <v/>
      </c>
      <c r="G250" s="18" t="str">
        <f t="shared" si="9"/>
        <v/>
      </c>
      <c r="H250" s="20" t="str">
        <f t="shared" si="10"/>
        <v/>
      </c>
      <c r="I250" s="15" t="str">
        <f t="shared" si="11"/>
        <v/>
      </c>
    </row>
    <row r="251" spans="1:9" x14ac:dyDescent="0.25">
      <c r="A251" s="19"/>
      <c r="B251" s="15"/>
      <c r="C251" s="15"/>
      <c r="D251" s="15"/>
      <c r="E251" s="17"/>
      <c r="F251" s="18" t="str">
        <f>IF(A251="","",SUMIFS(Movimientos!$L$9:$L$400,Movimientos!$A$9:$A$400,"&gt;="&amp;$A251,Movimientos!$A$9:$A$400,"&lt;"&amp;EDATE($A251,1),Movimientos!$F$9:$F$400,$B251,Movimientos!$G$9:$G$400,$C251,Movimientos!$D$9:$D$400,IF($D251="Ingresos","Ingreso",IF($D251="Ahorro","Ahorro","Gasto"))))</f>
        <v/>
      </c>
      <c r="G251" s="18" t="str">
        <f t="shared" si="9"/>
        <v/>
      </c>
      <c r="H251" s="20" t="str">
        <f t="shared" si="10"/>
        <v/>
      </c>
      <c r="I251" s="15" t="str">
        <f t="shared" si="11"/>
        <v/>
      </c>
    </row>
    <row r="252" spans="1:9" x14ac:dyDescent="0.25">
      <c r="A252" s="19"/>
      <c r="B252" s="15"/>
      <c r="C252" s="15"/>
      <c r="D252" s="15"/>
      <c r="E252" s="17"/>
      <c r="F252" s="18" t="str">
        <f>IF(A252="","",SUMIFS(Movimientos!$L$9:$L$400,Movimientos!$A$9:$A$400,"&gt;="&amp;$A252,Movimientos!$A$9:$A$400,"&lt;"&amp;EDATE($A252,1),Movimientos!$F$9:$F$400,$B252,Movimientos!$G$9:$G$400,$C252,Movimientos!$D$9:$D$400,IF($D252="Ingresos","Ingreso",IF($D252="Ahorro","Ahorro","Gasto"))))</f>
        <v/>
      </c>
      <c r="G252" s="18" t="str">
        <f t="shared" si="9"/>
        <v/>
      </c>
      <c r="H252" s="20" t="str">
        <f t="shared" si="10"/>
        <v/>
      </c>
      <c r="I252" s="15" t="str">
        <f t="shared" si="11"/>
        <v/>
      </c>
    </row>
    <row r="253" spans="1:9" x14ac:dyDescent="0.25">
      <c r="A253" s="19"/>
      <c r="B253" s="15"/>
      <c r="C253" s="15"/>
      <c r="D253" s="15"/>
      <c r="E253" s="17"/>
      <c r="F253" s="18" t="str">
        <f>IF(A253="","",SUMIFS(Movimientos!$L$9:$L$400,Movimientos!$A$9:$A$400,"&gt;="&amp;$A253,Movimientos!$A$9:$A$400,"&lt;"&amp;EDATE($A253,1),Movimientos!$F$9:$F$400,$B253,Movimientos!$G$9:$G$400,$C253,Movimientos!$D$9:$D$400,IF($D253="Ingresos","Ingreso",IF($D253="Ahorro","Ahorro","Gasto"))))</f>
        <v/>
      </c>
      <c r="G253" s="18" t="str">
        <f t="shared" si="9"/>
        <v/>
      </c>
      <c r="H253" s="20" t="str">
        <f t="shared" si="10"/>
        <v/>
      </c>
      <c r="I253" s="15" t="str">
        <f t="shared" si="11"/>
        <v/>
      </c>
    </row>
    <row r="254" spans="1:9" x14ac:dyDescent="0.25">
      <c r="A254" s="19"/>
      <c r="B254" s="15"/>
      <c r="C254" s="15"/>
      <c r="D254" s="15"/>
      <c r="E254" s="17"/>
      <c r="F254" s="18" t="str">
        <f>IF(A254="","",SUMIFS(Movimientos!$L$9:$L$400,Movimientos!$A$9:$A$400,"&gt;="&amp;$A254,Movimientos!$A$9:$A$400,"&lt;"&amp;EDATE($A254,1),Movimientos!$F$9:$F$400,$B254,Movimientos!$G$9:$G$400,$C254,Movimientos!$D$9:$D$400,IF($D254="Ingresos","Ingreso",IF($D254="Ahorro","Ahorro","Gasto"))))</f>
        <v/>
      </c>
      <c r="G254" s="18" t="str">
        <f t="shared" si="9"/>
        <v/>
      </c>
      <c r="H254" s="20" t="str">
        <f t="shared" si="10"/>
        <v/>
      </c>
      <c r="I254" s="15" t="str">
        <f t="shared" si="11"/>
        <v/>
      </c>
    </row>
    <row r="255" spans="1:9" x14ac:dyDescent="0.25">
      <c r="A255" s="19"/>
      <c r="B255" s="15"/>
      <c r="C255" s="15"/>
      <c r="D255" s="15"/>
      <c r="E255" s="17"/>
      <c r="F255" s="18" t="str">
        <f>IF(A255="","",SUMIFS(Movimientos!$L$9:$L$400,Movimientos!$A$9:$A$400,"&gt;="&amp;$A255,Movimientos!$A$9:$A$400,"&lt;"&amp;EDATE($A255,1),Movimientos!$F$9:$F$400,$B255,Movimientos!$G$9:$G$400,$C255,Movimientos!$D$9:$D$400,IF($D255="Ingresos","Ingreso",IF($D255="Ahorro","Ahorro","Gasto"))))</f>
        <v/>
      </c>
      <c r="G255" s="18" t="str">
        <f t="shared" si="9"/>
        <v/>
      </c>
      <c r="H255" s="20" t="str">
        <f t="shared" si="10"/>
        <v/>
      </c>
      <c r="I255" s="15" t="str">
        <f t="shared" si="11"/>
        <v/>
      </c>
    </row>
    <row r="256" spans="1:9" x14ac:dyDescent="0.25">
      <c r="A256" s="19"/>
      <c r="B256" s="15"/>
      <c r="C256" s="15"/>
      <c r="D256" s="15"/>
      <c r="E256" s="17"/>
      <c r="F256" s="18" t="str">
        <f>IF(A256="","",SUMIFS(Movimientos!$L$9:$L$400,Movimientos!$A$9:$A$400,"&gt;="&amp;$A256,Movimientos!$A$9:$A$400,"&lt;"&amp;EDATE($A256,1),Movimientos!$F$9:$F$400,$B256,Movimientos!$G$9:$G$400,$C256,Movimientos!$D$9:$D$400,IF($D256="Ingresos","Ingreso",IF($D256="Ahorro","Ahorro","Gasto"))))</f>
        <v/>
      </c>
      <c r="G256" s="18" t="str">
        <f t="shared" si="9"/>
        <v/>
      </c>
      <c r="H256" s="20" t="str">
        <f t="shared" si="10"/>
        <v/>
      </c>
      <c r="I256" s="15" t="str">
        <f t="shared" si="11"/>
        <v/>
      </c>
    </row>
    <row r="257" spans="1:9" x14ac:dyDescent="0.25">
      <c r="A257" s="19"/>
      <c r="B257" s="15"/>
      <c r="C257" s="15"/>
      <c r="D257" s="15"/>
      <c r="E257" s="17"/>
      <c r="F257" s="18" t="str">
        <f>IF(A257="","",SUMIFS(Movimientos!$L$9:$L$400,Movimientos!$A$9:$A$400,"&gt;="&amp;$A257,Movimientos!$A$9:$A$400,"&lt;"&amp;EDATE($A257,1),Movimientos!$F$9:$F$400,$B257,Movimientos!$G$9:$G$400,$C257,Movimientos!$D$9:$D$400,IF($D257="Ingresos","Ingreso",IF($D257="Ahorro","Ahorro","Gasto"))))</f>
        <v/>
      </c>
      <c r="G257" s="18" t="str">
        <f t="shared" si="9"/>
        <v/>
      </c>
      <c r="H257" s="20" t="str">
        <f t="shared" si="10"/>
        <v/>
      </c>
      <c r="I257" s="15" t="str">
        <f t="shared" si="11"/>
        <v/>
      </c>
    </row>
    <row r="258" spans="1:9" x14ac:dyDescent="0.25">
      <c r="A258" s="19"/>
      <c r="B258" s="15"/>
      <c r="C258" s="15"/>
      <c r="D258" s="15"/>
      <c r="E258" s="17"/>
      <c r="F258" s="18" t="str">
        <f>IF(A258="","",SUMIFS(Movimientos!$L$9:$L$400,Movimientos!$A$9:$A$400,"&gt;="&amp;$A258,Movimientos!$A$9:$A$400,"&lt;"&amp;EDATE($A258,1),Movimientos!$F$9:$F$400,$B258,Movimientos!$G$9:$G$400,$C258,Movimientos!$D$9:$D$400,IF($D258="Ingresos","Ingreso",IF($D258="Ahorro","Ahorro","Gasto"))))</f>
        <v/>
      </c>
      <c r="G258" s="18" t="str">
        <f t="shared" si="9"/>
        <v/>
      </c>
      <c r="H258" s="20" t="str">
        <f t="shared" si="10"/>
        <v/>
      </c>
      <c r="I258" s="15" t="str">
        <f t="shared" si="11"/>
        <v/>
      </c>
    </row>
    <row r="259" spans="1:9" x14ac:dyDescent="0.25">
      <c r="A259" s="19"/>
      <c r="B259" s="15"/>
      <c r="C259" s="15"/>
      <c r="D259" s="15"/>
      <c r="E259" s="17"/>
      <c r="F259" s="18" t="str">
        <f>IF(A259="","",SUMIFS(Movimientos!$L$9:$L$400,Movimientos!$A$9:$A$400,"&gt;="&amp;$A259,Movimientos!$A$9:$A$400,"&lt;"&amp;EDATE($A259,1),Movimientos!$F$9:$F$400,$B259,Movimientos!$G$9:$G$400,$C259,Movimientos!$D$9:$D$400,IF($D259="Ingresos","Ingreso",IF($D259="Ahorro","Ahorro","Gasto"))))</f>
        <v/>
      </c>
      <c r="G259" s="18" t="str">
        <f t="shared" si="9"/>
        <v/>
      </c>
      <c r="H259" s="20" t="str">
        <f t="shared" si="10"/>
        <v/>
      </c>
      <c r="I259" s="15" t="str">
        <f t="shared" si="11"/>
        <v/>
      </c>
    </row>
    <row r="260" spans="1:9" x14ac:dyDescent="0.25">
      <c r="A260" s="19"/>
      <c r="B260" s="15"/>
      <c r="C260" s="15"/>
      <c r="D260" s="15"/>
      <c r="E260" s="17"/>
      <c r="F260" s="18" t="str">
        <f>IF(A260="","",SUMIFS(Movimientos!$L$9:$L$400,Movimientos!$A$9:$A$400,"&gt;="&amp;$A260,Movimientos!$A$9:$A$400,"&lt;"&amp;EDATE($A260,1),Movimientos!$F$9:$F$400,$B260,Movimientos!$G$9:$G$400,$C260,Movimientos!$D$9:$D$400,IF($D260="Ingresos","Ingreso",IF($D260="Ahorro","Ahorro","Gasto"))))</f>
        <v/>
      </c>
      <c r="G260" s="18" t="str">
        <f t="shared" si="9"/>
        <v/>
      </c>
      <c r="H260" s="20" t="str">
        <f t="shared" si="10"/>
        <v/>
      </c>
      <c r="I260" s="15" t="str">
        <f t="shared" si="11"/>
        <v/>
      </c>
    </row>
    <row r="261" spans="1:9" x14ac:dyDescent="0.25">
      <c r="A261" s="19"/>
      <c r="B261" s="15"/>
      <c r="C261" s="15"/>
      <c r="D261" s="15"/>
      <c r="E261" s="17"/>
      <c r="F261" s="18" t="str">
        <f>IF(A261="","",SUMIFS(Movimientos!$L$9:$L$400,Movimientos!$A$9:$A$400,"&gt;="&amp;$A261,Movimientos!$A$9:$A$400,"&lt;"&amp;EDATE($A261,1),Movimientos!$F$9:$F$400,$B261,Movimientos!$G$9:$G$400,$C261,Movimientos!$D$9:$D$400,IF($D261="Ingresos","Ingreso",IF($D261="Ahorro","Ahorro","Gasto"))))</f>
        <v/>
      </c>
      <c r="G261" s="18" t="str">
        <f t="shared" si="9"/>
        <v/>
      </c>
      <c r="H261" s="20" t="str">
        <f t="shared" si="10"/>
        <v/>
      </c>
      <c r="I261" s="15" t="str">
        <f t="shared" si="11"/>
        <v/>
      </c>
    </row>
    <row r="262" spans="1:9" x14ac:dyDescent="0.25">
      <c r="A262" s="19"/>
      <c r="B262" s="15"/>
      <c r="C262" s="15"/>
      <c r="D262" s="15"/>
      <c r="E262" s="17"/>
      <c r="F262" s="18" t="str">
        <f>IF(A262="","",SUMIFS(Movimientos!$L$9:$L$400,Movimientos!$A$9:$A$400,"&gt;="&amp;$A262,Movimientos!$A$9:$A$400,"&lt;"&amp;EDATE($A262,1),Movimientos!$F$9:$F$400,$B262,Movimientos!$G$9:$G$400,$C262,Movimientos!$D$9:$D$400,IF($D262="Ingresos","Ingreso",IF($D262="Ahorro","Ahorro","Gasto"))))</f>
        <v/>
      </c>
      <c r="G262" s="18" t="str">
        <f t="shared" si="9"/>
        <v/>
      </c>
      <c r="H262" s="20" t="str">
        <f t="shared" si="10"/>
        <v/>
      </c>
      <c r="I262" s="15" t="str">
        <f t="shared" si="11"/>
        <v/>
      </c>
    </row>
  </sheetData>
  <mergeCells count="2">
    <mergeCell ref="A1:I1"/>
    <mergeCell ref="A2:I2"/>
  </mergeCells>
  <conditionalFormatting sqref="G8:G223">
    <cfRule type="cellIs" dxfId="4" priority="1" operator="lessThan">
      <formula>0</formula>
    </cfRule>
    <cfRule type="cellIs" dxfId="3" priority="2" operator="greaterThan">
      <formula>0</formula>
    </cfRule>
  </conditionalFormatting>
  <conditionalFormatting sqref="H8:H223">
    <cfRule type="colorScale" priority="3">
      <colorScale>
        <cfvo type="num" val="0.8"/>
        <cfvo type="num" val="1"/>
        <cfvo type="num" val="1.2"/>
        <color rgb="FFF8696B"/>
        <color rgb="FFFFEB84"/>
        <color rgb="FF63BE7B"/>
      </colorScale>
    </cfRule>
  </conditionalFormatting>
  <conditionalFormatting sqref="I8:I223">
    <cfRule type="expression" dxfId="2" priority="4">
      <formula>$I8="Bien"</formula>
    </cfRule>
    <cfRule type="expression" dxfId="1" priority="5">
      <formula>$I8="Vigilar"</formula>
    </cfRule>
    <cfRule type="expression" dxfId="0" priority="6">
      <formula>OR($I8="Exceso",$I8="Bajo")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0"/>
  <sheetViews>
    <sheetView showGridLines="0" workbookViewId="0"/>
  </sheetViews>
  <sheetFormatPr baseColWidth="10" defaultColWidth="9.140625" defaultRowHeight="15" x14ac:dyDescent="0.25"/>
  <cols>
    <col min="1" max="1" width="8" customWidth="1"/>
    <col min="2" max="2" width="16" customWidth="1"/>
    <col min="4" max="4" width="14" customWidth="1"/>
    <col min="6" max="6" width="18" customWidth="1"/>
    <col min="8" max="8" width="12" customWidth="1"/>
    <col min="10" max="10" width="20" customWidth="1"/>
    <col min="12" max="12" width="16" customWidth="1"/>
    <col min="14" max="14" width="24" customWidth="1"/>
    <col min="16" max="16" width="22" customWidth="1"/>
    <col min="18" max="18" width="10" customWidth="1"/>
    <col min="20" max="20" width="22" customWidth="1"/>
    <col min="21" max="21" width="20" customWidth="1"/>
    <col min="22" max="22" width="18" customWidth="1"/>
    <col min="23" max="23" width="14" customWidth="1"/>
  </cols>
  <sheetData>
    <row r="1" spans="1:23" x14ac:dyDescent="0.25">
      <c r="A1" s="11" t="s">
        <v>36</v>
      </c>
      <c r="B1" s="11" t="s">
        <v>131</v>
      </c>
      <c r="D1" s="11" t="s">
        <v>60</v>
      </c>
      <c r="F1" s="11" t="s">
        <v>63</v>
      </c>
      <c r="H1" s="11" t="s">
        <v>64</v>
      </c>
      <c r="J1" s="11" t="s">
        <v>61</v>
      </c>
      <c r="L1" s="11" t="s">
        <v>66</v>
      </c>
      <c r="N1" s="11" t="s">
        <v>62</v>
      </c>
      <c r="P1" s="11" t="s">
        <v>23</v>
      </c>
      <c r="R1" s="11" t="s">
        <v>4</v>
      </c>
      <c r="T1" s="11" t="s">
        <v>132</v>
      </c>
    </row>
    <row r="2" spans="1:23" x14ac:dyDescent="0.25">
      <c r="A2">
        <v>1</v>
      </c>
      <c r="B2" t="s">
        <v>40</v>
      </c>
      <c r="D2" t="s">
        <v>71</v>
      </c>
      <c r="F2" t="s">
        <v>37</v>
      </c>
      <c r="H2" t="s">
        <v>75</v>
      </c>
      <c r="J2" t="s">
        <v>72</v>
      </c>
      <c r="L2" t="s">
        <v>77</v>
      </c>
      <c r="N2" t="s">
        <v>73</v>
      </c>
      <c r="P2" t="s">
        <v>74</v>
      </c>
      <c r="R2">
        <v>2025</v>
      </c>
      <c r="T2" s="11" t="s">
        <v>62</v>
      </c>
      <c r="U2" s="11" t="s">
        <v>23</v>
      </c>
      <c r="V2" s="11" t="s">
        <v>18</v>
      </c>
      <c r="W2" s="11" t="s">
        <v>64</v>
      </c>
    </row>
    <row r="3" spans="1:23" x14ac:dyDescent="0.25">
      <c r="A3">
        <v>2</v>
      </c>
      <c r="B3" t="s">
        <v>42</v>
      </c>
      <c r="D3" t="s">
        <v>79</v>
      </c>
      <c r="F3" t="s">
        <v>9</v>
      </c>
      <c r="H3" t="s">
        <v>85</v>
      </c>
      <c r="J3" t="s">
        <v>80</v>
      </c>
      <c r="L3" t="s">
        <v>93</v>
      </c>
      <c r="N3" t="s">
        <v>118</v>
      </c>
      <c r="P3" t="s">
        <v>119</v>
      </c>
      <c r="R3">
        <v>2026</v>
      </c>
      <c r="T3" t="s">
        <v>73</v>
      </c>
      <c r="U3" t="s">
        <v>74</v>
      </c>
      <c r="V3" t="s">
        <v>37</v>
      </c>
      <c r="W3" t="s">
        <v>75</v>
      </c>
    </row>
    <row r="4" spans="1:23" x14ac:dyDescent="0.25">
      <c r="A4">
        <v>3</v>
      </c>
      <c r="B4" t="s">
        <v>43</v>
      </c>
      <c r="D4" t="s">
        <v>30</v>
      </c>
      <c r="F4" t="s">
        <v>10</v>
      </c>
      <c r="J4" t="s">
        <v>83</v>
      </c>
      <c r="L4" t="s">
        <v>87</v>
      </c>
      <c r="N4" t="s">
        <v>81</v>
      </c>
      <c r="P4" t="s">
        <v>28</v>
      </c>
      <c r="R4">
        <v>2027</v>
      </c>
      <c r="T4" t="s">
        <v>118</v>
      </c>
      <c r="U4" t="s">
        <v>119</v>
      </c>
      <c r="V4" t="s">
        <v>37</v>
      </c>
      <c r="W4" t="s">
        <v>85</v>
      </c>
    </row>
    <row r="5" spans="1:23" x14ac:dyDescent="0.25">
      <c r="A5">
        <v>4</v>
      </c>
      <c r="B5" t="s">
        <v>45</v>
      </c>
      <c r="D5" t="s">
        <v>77</v>
      </c>
      <c r="F5" t="s">
        <v>30</v>
      </c>
      <c r="J5" t="s">
        <v>88</v>
      </c>
      <c r="L5" t="s">
        <v>124</v>
      </c>
      <c r="N5" t="s">
        <v>91</v>
      </c>
      <c r="P5" t="s">
        <v>39</v>
      </c>
      <c r="T5" t="s">
        <v>81</v>
      </c>
      <c r="U5" t="s">
        <v>28</v>
      </c>
      <c r="V5" t="s">
        <v>9</v>
      </c>
      <c r="W5" t="s">
        <v>75</v>
      </c>
    </row>
    <row r="6" spans="1:23" x14ac:dyDescent="0.25">
      <c r="A6">
        <v>5</v>
      </c>
      <c r="B6" t="s">
        <v>47</v>
      </c>
      <c r="J6" t="s">
        <v>113</v>
      </c>
      <c r="L6" t="s">
        <v>104</v>
      </c>
      <c r="N6" t="s">
        <v>94</v>
      </c>
      <c r="P6" t="s">
        <v>29</v>
      </c>
      <c r="T6" t="s">
        <v>91</v>
      </c>
      <c r="U6" t="s">
        <v>28</v>
      </c>
      <c r="V6" t="s">
        <v>9</v>
      </c>
      <c r="W6" t="s">
        <v>75</v>
      </c>
    </row>
    <row r="7" spans="1:23" x14ac:dyDescent="0.25">
      <c r="A7">
        <v>6</v>
      </c>
      <c r="B7" t="s">
        <v>49</v>
      </c>
      <c r="N7" t="s">
        <v>96</v>
      </c>
      <c r="P7" t="s">
        <v>31</v>
      </c>
      <c r="T7" t="s">
        <v>94</v>
      </c>
      <c r="U7" t="s">
        <v>28</v>
      </c>
      <c r="V7" t="s">
        <v>9</v>
      </c>
      <c r="W7" t="s">
        <v>75</v>
      </c>
    </row>
    <row r="8" spans="1:23" x14ac:dyDescent="0.25">
      <c r="A8">
        <v>7</v>
      </c>
      <c r="B8" t="s">
        <v>51</v>
      </c>
      <c r="N8" t="s">
        <v>100</v>
      </c>
      <c r="P8" t="s">
        <v>32</v>
      </c>
      <c r="T8" t="s">
        <v>96</v>
      </c>
      <c r="U8" t="s">
        <v>28</v>
      </c>
      <c r="V8" t="s">
        <v>9</v>
      </c>
      <c r="W8" t="s">
        <v>75</v>
      </c>
    </row>
    <row r="9" spans="1:23" x14ac:dyDescent="0.25">
      <c r="A9">
        <v>8</v>
      </c>
      <c r="B9" t="s">
        <v>53</v>
      </c>
      <c r="N9" t="s">
        <v>84</v>
      </c>
      <c r="P9" t="s">
        <v>33</v>
      </c>
      <c r="T9" t="s">
        <v>100</v>
      </c>
      <c r="U9" t="s">
        <v>39</v>
      </c>
      <c r="V9" t="s">
        <v>9</v>
      </c>
      <c r="W9" t="s">
        <v>75</v>
      </c>
    </row>
    <row r="10" spans="1:23" x14ac:dyDescent="0.25">
      <c r="A10">
        <v>9</v>
      </c>
      <c r="B10" t="s">
        <v>3</v>
      </c>
      <c r="N10" t="s">
        <v>102</v>
      </c>
      <c r="P10" t="s">
        <v>35</v>
      </c>
      <c r="T10" t="s">
        <v>84</v>
      </c>
      <c r="U10" t="s">
        <v>29</v>
      </c>
      <c r="V10" t="s">
        <v>9</v>
      </c>
      <c r="W10" t="s">
        <v>85</v>
      </c>
    </row>
    <row r="11" spans="1:23" x14ac:dyDescent="0.25">
      <c r="A11">
        <v>10</v>
      </c>
      <c r="B11" t="s">
        <v>54</v>
      </c>
      <c r="N11" t="s">
        <v>89</v>
      </c>
      <c r="P11" t="s">
        <v>41</v>
      </c>
      <c r="T11" t="s">
        <v>102</v>
      </c>
      <c r="U11" t="s">
        <v>29</v>
      </c>
      <c r="V11" t="s">
        <v>9</v>
      </c>
      <c r="W11" t="s">
        <v>85</v>
      </c>
    </row>
    <row r="12" spans="1:23" x14ac:dyDescent="0.25">
      <c r="A12">
        <v>11</v>
      </c>
      <c r="B12" t="s">
        <v>55</v>
      </c>
      <c r="N12" t="s">
        <v>122</v>
      </c>
      <c r="T12" t="s">
        <v>89</v>
      </c>
      <c r="U12" t="s">
        <v>31</v>
      </c>
      <c r="V12" t="s">
        <v>9</v>
      </c>
      <c r="W12" t="s">
        <v>85</v>
      </c>
    </row>
    <row r="13" spans="1:23" x14ac:dyDescent="0.25">
      <c r="A13">
        <v>12</v>
      </c>
      <c r="B13" t="s">
        <v>56</v>
      </c>
      <c r="N13" t="s">
        <v>105</v>
      </c>
      <c r="T13" t="s">
        <v>122</v>
      </c>
      <c r="U13" t="s">
        <v>31</v>
      </c>
      <c r="V13" t="s">
        <v>9</v>
      </c>
      <c r="W13" t="s">
        <v>85</v>
      </c>
    </row>
    <row r="14" spans="1:23" x14ac:dyDescent="0.25">
      <c r="N14" t="s">
        <v>98</v>
      </c>
      <c r="T14" t="s">
        <v>105</v>
      </c>
      <c r="U14" t="s">
        <v>32</v>
      </c>
      <c r="V14" t="s">
        <v>9</v>
      </c>
      <c r="W14" t="s">
        <v>85</v>
      </c>
    </row>
    <row r="15" spans="1:23" x14ac:dyDescent="0.25">
      <c r="N15" t="s">
        <v>107</v>
      </c>
      <c r="T15" t="s">
        <v>98</v>
      </c>
      <c r="U15" t="s">
        <v>32</v>
      </c>
      <c r="V15" t="s">
        <v>9</v>
      </c>
      <c r="W15" t="s">
        <v>75</v>
      </c>
    </row>
    <row r="16" spans="1:23" x14ac:dyDescent="0.25">
      <c r="N16" t="s">
        <v>109</v>
      </c>
      <c r="T16" t="s">
        <v>107</v>
      </c>
      <c r="U16" t="s">
        <v>33</v>
      </c>
      <c r="V16" t="s">
        <v>10</v>
      </c>
      <c r="W16" t="s">
        <v>85</v>
      </c>
    </row>
    <row r="17" spans="14:23" x14ac:dyDescent="0.25">
      <c r="N17" t="s">
        <v>111</v>
      </c>
      <c r="T17" t="s">
        <v>109</v>
      </c>
      <c r="U17" t="s">
        <v>33</v>
      </c>
      <c r="V17" t="s">
        <v>10</v>
      </c>
      <c r="W17" t="s">
        <v>85</v>
      </c>
    </row>
    <row r="18" spans="14:23" x14ac:dyDescent="0.25">
      <c r="N18" t="s">
        <v>114</v>
      </c>
      <c r="T18" t="s">
        <v>111</v>
      </c>
      <c r="U18" t="s">
        <v>35</v>
      </c>
      <c r="V18" t="s">
        <v>10</v>
      </c>
      <c r="W18" t="s">
        <v>85</v>
      </c>
    </row>
    <row r="19" spans="14:23" x14ac:dyDescent="0.25">
      <c r="N19" t="s">
        <v>116</v>
      </c>
      <c r="T19" t="s">
        <v>114</v>
      </c>
      <c r="U19" t="s">
        <v>41</v>
      </c>
      <c r="V19" t="s">
        <v>30</v>
      </c>
      <c r="W19" t="s">
        <v>75</v>
      </c>
    </row>
    <row r="20" spans="14:23" x14ac:dyDescent="0.25">
      <c r="T20" t="s">
        <v>116</v>
      </c>
      <c r="U20" t="s">
        <v>41</v>
      </c>
      <c r="V20" t="s">
        <v>30</v>
      </c>
      <c r="W20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Panel</vt:lpstr>
      <vt:lpstr>Movimientos</vt:lpstr>
      <vt:lpstr>Presupuesto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2026-04-08T08:01:25Z</dcterms:modified>
</cp:coreProperties>
</file>