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1000 €\"/>
    </mc:Choice>
  </mc:AlternateContent>
  <xr:revisionPtr revIDLastSave="0" documentId="8_{09621682-E798-447C-816F-1667090651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1000€" sheetId="1" r:id="rId1"/>
    <sheet name="Registro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0" i="2" l="1"/>
  <c r="B80" i="2"/>
  <c r="H79" i="2"/>
  <c r="B79" i="2"/>
  <c r="H78" i="2"/>
  <c r="B78" i="2"/>
  <c r="H77" i="2"/>
  <c r="B77" i="2"/>
  <c r="H76" i="2"/>
  <c r="B76" i="2"/>
  <c r="H75" i="2"/>
  <c r="B75" i="2"/>
  <c r="H74" i="2"/>
  <c r="B74" i="2"/>
  <c r="H73" i="2"/>
  <c r="B73" i="2"/>
  <c r="H72" i="2"/>
  <c r="B72" i="2"/>
  <c r="H71" i="2"/>
  <c r="B71" i="2"/>
  <c r="H70" i="2"/>
  <c r="B70" i="2"/>
  <c r="H69" i="2"/>
  <c r="B69" i="2"/>
  <c r="H68" i="2"/>
  <c r="B68" i="2"/>
  <c r="H67" i="2"/>
  <c r="B67" i="2"/>
  <c r="H66" i="2"/>
  <c r="B66" i="2"/>
  <c r="H65" i="2"/>
  <c r="B65" i="2"/>
  <c r="H64" i="2"/>
  <c r="B64" i="2"/>
  <c r="H63" i="2"/>
  <c r="B63" i="2"/>
  <c r="H62" i="2"/>
  <c r="B62" i="2"/>
  <c r="H61" i="2"/>
  <c r="B61" i="2"/>
  <c r="H60" i="2"/>
  <c r="B60" i="2"/>
  <c r="H59" i="2"/>
  <c r="B59" i="2"/>
  <c r="H58" i="2"/>
  <c r="B58" i="2"/>
  <c r="H57" i="2"/>
  <c r="B57" i="2"/>
  <c r="H56" i="2"/>
  <c r="B56" i="2"/>
  <c r="H55" i="2"/>
  <c r="B55" i="2"/>
  <c r="H54" i="2"/>
  <c r="B54" i="2"/>
  <c r="H53" i="2"/>
  <c r="B53" i="2"/>
  <c r="H52" i="2"/>
  <c r="B52" i="2"/>
  <c r="H51" i="2"/>
  <c r="B51" i="2"/>
  <c r="H50" i="2"/>
  <c r="B50" i="2"/>
  <c r="H49" i="2"/>
  <c r="B49" i="2"/>
  <c r="H48" i="2"/>
  <c r="B48" i="2"/>
  <c r="H47" i="2"/>
  <c r="B47" i="2"/>
  <c r="H46" i="2"/>
  <c r="B46" i="2"/>
  <c r="H45" i="2"/>
  <c r="B45" i="2"/>
  <c r="H44" i="2"/>
  <c r="B44" i="2"/>
  <c r="H43" i="2"/>
  <c r="B43" i="2"/>
  <c r="H42" i="2"/>
  <c r="B42" i="2"/>
  <c r="H41" i="2"/>
  <c r="B41" i="2"/>
  <c r="H40" i="2"/>
  <c r="B40" i="2"/>
  <c r="H39" i="2"/>
  <c r="B39" i="2"/>
  <c r="H38" i="2"/>
  <c r="B38" i="2"/>
  <c r="H37" i="2"/>
  <c r="B37" i="2"/>
  <c r="H36" i="2"/>
  <c r="B36" i="2"/>
  <c r="H35" i="2"/>
  <c r="B35" i="2"/>
  <c r="H34" i="2"/>
  <c r="B34" i="2"/>
  <c r="H33" i="2"/>
  <c r="B33" i="2"/>
  <c r="H32" i="2"/>
  <c r="B32" i="2"/>
  <c r="H31" i="2"/>
  <c r="B31" i="2"/>
  <c r="H30" i="2"/>
  <c r="B30" i="2"/>
  <c r="H29" i="2"/>
  <c r="B29" i="2"/>
  <c r="H28" i="2"/>
  <c r="B28" i="2"/>
  <c r="H27" i="2"/>
  <c r="B27" i="2"/>
  <c r="H26" i="2"/>
  <c r="B26" i="2"/>
  <c r="H25" i="2"/>
  <c r="B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L33" i="1"/>
  <c r="L31" i="1"/>
  <c r="L30" i="1"/>
  <c r="L29" i="1"/>
  <c r="C11" i="1"/>
  <c r="C10" i="1"/>
  <c r="B11" i="2" s="1"/>
  <c r="A28" i="1" l="1"/>
  <c r="B28" i="1" s="1"/>
  <c r="A36" i="1"/>
  <c r="B36" i="1" s="1"/>
  <c r="B22" i="2"/>
  <c r="H82" i="2"/>
  <c r="A30" i="1"/>
  <c r="B21" i="2"/>
  <c r="A47" i="1"/>
  <c r="B20" i="2"/>
  <c r="B10" i="2"/>
  <c r="A38" i="1"/>
  <c r="A23" i="1"/>
  <c r="B8" i="2"/>
  <c r="B6" i="2"/>
  <c r="A37" i="1"/>
  <c r="B15" i="2"/>
  <c r="A39" i="1"/>
  <c r="B14" i="2"/>
  <c r="A24" i="1"/>
  <c r="A26" i="1"/>
  <c r="B19" i="2"/>
  <c r="B9" i="2"/>
  <c r="A40" i="1"/>
  <c r="A25" i="1"/>
  <c r="B18" i="2"/>
  <c r="A42" i="1"/>
  <c r="B16" i="2"/>
  <c r="A46" i="1"/>
  <c r="B5" i="2"/>
  <c r="A22" i="1"/>
  <c r="B24" i="2"/>
  <c r="C12" i="1"/>
  <c r="C13" i="1" s="1"/>
  <c r="B23" i="2"/>
  <c r="B13" i="2"/>
  <c r="A41" i="1"/>
  <c r="A27" i="1"/>
  <c r="B17" i="2"/>
  <c r="B7" i="2"/>
  <c r="A44" i="1"/>
  <c r="A33" i="1"/>
  <c r="A31" i="1"/>
  <c r="A29" i="1"/>
  <c r="A35" i="1"/>
  <c r="L28" i="1"/>
  <c r="L32" i="1"/>
  <c r="B12" i="2"/>
  <c r="A32" i="1"/>
  <c r="A43" i="1"/>
  <c r="A45" i="1"/>
  <c r="A34" i="1"/>
  <c r="G5" i="1"/>
  <c r="C36" i="1" l="1"/>
  <c r="D28" i="1"/>
  <c r="D36" i="1"/>
  <c r="C28" i="1"/>
  <c r="E28" i="1"/>
  <c r="F28" i="1" s="1"/>
  <c r="E45" i="1"/>
  <c r="D45" i="1"/>
  <c r="B45" i="1"/>
  <c r="C45" i="1" s="1"/>
  <c r="E43" i="1"/>
  <c r="D43" i="1"/>
  <c r="B43" i="1"/>
  <c r="C43" i="1" s="1"/>
  <c r="E36" i="1"/>
  <c r="Q5" i="1"/>
  <c r="B46" i="1"/>
  <c r="C46" i="1" s="1"/>
  <c r="E46" i="1"/>
  <c r="F46" i="1" s="1"/>
  <c r="D46" i="1"/>
  <c r="I47" i="1"/>
  <c r="G47" i="1"/>
  <c r="H47" i="1"/>
  <c r="F47" i="1"/>
  <c r="E47" i="1"/>
  <c r="D47" i="1"/>
  <c r="C47" i="1"/>
  <c r="B47" i="1"/>
  <c r="E42" i="1"/>
  <c r="D42" i="1"/>
  <c r="B42" i="1"/>
  <c r="C42" i="1" s="1"/>
  <c r="E27" i="1"/>
  <c r="D27" i="1"/>
  <c r="B27" i="1"/>
  <c r="C27" i="1" s="1"/>
  <c r="E32" i="1"/>
  <c r="D32" i="1"/>
  <c r="B32" i="1"/>
  <c r="C32" i="1" s="1"/>
  <c r="E25" i="1"/>
  <c r="D25" i="1"/>
  <c r="B25" i="1"/>
  <c r="C25" i="1" s="1"/>
  <c r="B37" i="1"/>
  <c r="C37" i="1" s="1"/>
  <c r="E37" i="1"/>
  <c r="D37" i="1"/>
  <c r="D35" i="1"/>
  <c r="E35" i="1"/>
  <c r="B35" i="1"/>
  <c r="C35" i="1" s="1"/>
  <c r="D40" i="1"/>
  <c r="B40" i="1"/>
  <c r="C40" i="1" s="1"/>
  <c r="E40" i="1"/>
  <c r="F40" i="1" s="1"/>
  <c r="D31" i="1"/>
  <c r="E31" i="1"/>
  <c r="F31" i="1" s="1"/>
  <c r="B31" i="1"/>
  <c r="C31" i="1" s="1"/>
  <c r="E33" i="1"/>
  <c r="D33" i="1"/>
  <c r="B33" i="1"/>
  <c r="C33" i="1" s="1"/>
  <c r="E26" i="1"/>
  <c r="D26" i="1"/>
  <c r="B26" i="1"/>
  <c r="C26" i="1" s="1"/>
  <c r="G8" i="1"/>
  <c r="N5" i="1"/>
  <c r="K5" i="1"/>
  <c r="E44" i="1"/>
  <c r="F44" i="1" s="1"/>
  <c r="D44" i="1"/>
  <c r="B44" i="1"/>
  <c r="C44" i="1" s="1"/>
  <c r="B24" i="1"/>
  <c r="C24" i="1" s="1"/>
  <c r="E24" i="1"/>
  <c r="D24" i="1"/>
  <c r="D30" i="1"/>
  <c r="E30" i="1"/>
  <c r="F30" i="1" s="1"/>
  <c r="B30" i="1"/>
  <c r="C30" i="1" s="1"/>
  <c r="E39" i="1"/>
  <c r="B39" i="1"/>
  <c r="C39" i="1" s="1"/>
  <c r="D39" i="1"/>
  <c r="E41" i="1"/>
  <c r="D41" i="1"/>
  <c r="B41" i="1"/>
  <c r="C41" i="1" s="1"/>
  <c r="B23" i="1"/>
  <c r="C23" i="1" s="1"/>
  <c r="E23" i="1"/>
  <c r="D23" i="1"/>
  <c r="B38" i="1"/>
  <c r="C38" i="1" s="1"/>
  <c r="D38" i="1"/>
  <c r="E38" i="1"/>
  <c r="F38" i="1" s="1"/>
  <c r="B22" i="1"/>
  <c r="C22" i="1" s="1"/>
  <c r="D22" i="1"/>
  <c r="G46" i="1" s="1"/>
  <c r="E22" i="1"/>
  <c r="H22" i="1" s="1"/>
  <c r="E29" i="1"/>
  <c r="D29" i="1"/>
  <c r="B29" i="1"/>
  <c r="C29" i="1" s="1"/>
  <c r="E34" i="1"/>
  <c r="D34" i="1"/>
  <c r="B34" i="1"/>
  <c r="C34" i="1" s="1"/>
  <c r="F37" i="1" l="1"/>
  <c r="F26" i="1"/>
  <c r="F36" i="1"/>
  <c r="F24" i="1"/>
  <c r="F35" i="1"/>
  <c r="F41" i="1"/>
  <c r="G44" i="1"/>
  <c r="F29" i="1"/>
  <c r="F22" i="1"/>
  <c r="H24" i="1"/>
  <c r="F32" i="1"/>
  <c r="F43" i="1"/>
  <c r="F27" i="1"/>
  <c r="F45" i="1"/>
  <c r="F42" i="1"/>
  <c r="H29" i="1"/>
  <c r="F34" i="1"/>
  <c r="F39" i="1"/>
  <c r="H40" i="1"/>
  <c r="F33" i="1"/>
  <c r="G33" i="1"/>
  <c r="H44" i="1"/>
  <c r="I44" i="1" s="1"/>
  <c r="G35" i="1"/>
  <c r="H41" i="1"/>
  <c r="G30" i="1"/>
  <c r="G32" i="1"/>
  <c r="G43" i="1"/>
  <c r="G41" i="1"/>
  <c r="G31" i="1"/>
  <c r="H43" i="1"/>
  <c r="G34" i="1"/>
  <c r="H31" i="1"/>
  <c r="I31" i="1" s="1"/>
  <c r="H32" i="1"/>
  <c r="H34" i="1"/>
  <c r="I34" i="1" s="1"/>
  <c r="G26" i="1"/>
  <c r="H27" i="1"/>
  <c r="I27" i="1" s="1"/>
  <c r="G38" i="1"/>
  <c r="H26" i="1"/>
  <c r="I26" i="1" s="1"/>
  <c r="G37" i="1"/>
  <c r="G40" i="1"/>
  <c r="I40" i="1" s="1"/>
  <c r="H37" i="1"/>
  <c r="H33" i="1"/>
  <c r="I33" i="1" s="1"/>
  <c r="G22" i="1"/>
  <c r="I22" i="1" s="1"/>
  <c r="H35" i="1"/>
  <c r="I35" i="1" s="1"/>
  <c r="H38" i="1"/>
  <c r="G39" i="1"/>
  <c r="H39" i="1"/>
  <c r="G25" i="1"/>
  <c r="H25" i="1"/>
  <c r="G45" i="1"/>
  <c r="G29" i="1"/>
  <c r="F23" i="1"/>
  <c r="F25" i="1"/>
  <c r="G27" i="1"/>
  <c r="G28" i="1"/>
  <c r="G36" i="1"/>
  <c r="H30" i="1"/>
  <c r="G24" i="1"/>
  <c r="I24" i="1" s="1"/>
  <c r="H45" i="1"/>
  <c r="G23" i="1"/>
  <c r="G42" i="1"/>
  <c r="H28" i="1"/>
  <c r="H36" i="1"/>
  <c r="H23" i="1"/>
  <c r="H42" i="1"/>
  <c r="H46" i="1"/>
  <c r="I46" i="1" s="1"/>
  <c r="I43" i="1" l="1"/>
  <c r="I25" i="1"/>
  <c r="I30" i="1"/>
  <c r="I42" i="1"/>
  <c r="I23" i="1"/>
  <c r="I32" i="1"/>
  <c r="I29" i="1"/>
  <c r="I39" i="1"/>
  <c r="I41" i="1"/>
  <c r="I37" i="1"/>
  <c r="I36" i="1"/>
  <c r="I38" i="1"/>
  <c r="I28" i="1"/>
  <c r="I45" i="1"/>
</calcChain>
</file>

<file path=xl/sharedStrings.xml><?xml version="1.0" encoding="utf-8"?>
<sst xmlns="http://schemas.openxmlformats.org/spreadsheetml/2006/main" count="149" uniqueCount="75">
  <si>
    <t>PLANTILLA AHORRO 1.000 €</t>
  </si>
  <si>
    <t>Plan semanal + registro real + alertas automáticas. Edita solo las celdas azules.</t>
  </si>
  <si>
    <t>Configuración de la meta</t>
  </si>
  <si>
    <t>Ahorrado real</t>
  </si>
  <si>
    <t>Pendiente</t>
  </si>
  <si>
    <t>% progreso</t>
  </si>
  <si>
    <t>Promedio semanal real</t>
  </si>
  <si>
    <t>Proyecto / meta</t>
  </si>
  <si>
    <t>Rincón de cerámica</t>
  </si>
  <si>
    <t>Objetivo total</t>
  </si>
  <si>
    <t>Saldo inicial</t>
  </si>
  <si>
    <t>Fecha de inicio</t>
  </si>
  <si>
    <t>Fecha objetivo</t>
  </si>
  <si>
    <t>Semanas del plan</t>
  </si>
  <si>
    <t>Ahorro pendiente</t>
  </si>
  <si>
    <t>Ahorro semanal sugerido</t>
  </si>
  <si>
    <t>Margen mensual sugerido</t>
  </si>
  <si>
    <t>Hoja de ruta semanal</t>
  </si>
  <si>
    <t>Mapa visual de hitos (25 € por casilla)</t>
  </si>
  <si>
    <t>Semana</t>
  </si>
  <si>
    <t>Desde</t>
  </si>
  <si>
    <t>Hasta</t>
  </si>
  <si>
    <t>Objetivo</t>
  </si>
  <si>
    <t>Real</t>
  </si>
  <si>
    <t>Desviación</t>
  </si>
  <si>
    <t>Acum. plan</t>
  </si>
  <si>
    <t>Acum. real</t>
  </si>
  <si>
    <t>Estado</t>
  </si>
  <si>
    <t>Origen de las aportaciones</t>
  </si>
  <si>
    <t>Total</t>
  </si>
  <si>
    <t>Aportación fija</t>
  </si>
  <si>
    <t>Venta ocasional</t>
  </si>
  <si>
    <t>Proyecto extra</t>
  </si>
  <si>
    <t>Ocio reducido</t>
  </si>
  <si>
    <t>Reembolso</t>
  </si>
  <si>
    <t>Redondeo</t>
  </si>
  <si>
    <t>Cómo usarla: 1) ajusta la meta y las fechas; 2) registra movimientos en la pestaña Registro; 3) la hoja principal recalcula objetivo semanal, desviación, hitos y gráficos.</t>
  </si>
  <si>
    <t>REGISTRO DE MOVIMIENTOS</t>
  </si>
  <si>
    <t>Introduce fecha, tipo, origen, método, concepto e importe. Semana y neto se calculan solos.</t>
  </si>
  <si>
    <t>Fecha</t>
  </si>
  <si>
    <t>Tipo</t>
  </si>
  <si>
    <t>Origen</t>
  </si>
  <si>
    <t>Método</t>
  </si>
  <si>
    <t>Concepto</t>
  </si>
  <si>
    <t>Importe (€)</t>
  </si>
  <si>
    <t>Neto (€)</t>
  </si>
  <si>
    <t>Nota</t>
  </si>
  <si>
    <t>Aportación</t>
  </si>
  <si>
    <t>Transferencia</t>
  </si>
  <si>
    <t>Transferencia automática de arranque</t>
  </si>
  <si>
    <t>Semana 1</t>
  </si>
  <si>
    <t>Redondeo automático</t>
  </si>
  <si>
    <t>Redondeos acumulados de la semana</t>
  </si>
  <si>
    <t/>
  </si>
  <si>
    <t>Bizum</t>
  </si>
  <si>
    <t>Venta de lámpara vintage</t>
  </si>
  <si>
    <t>Tarjeta</t>
  </si>
  <si>
    <t>Dos cenas en casa en vez de pedir fuera</t>
  </si>
  <si>
    <t>Clase particular de barro modelado</t>
  </si>
  <si>
    <t>Retirada</t>
  </si>
  <si>
    <t>Compra urgente de herramienta</t>
  </si>
  <si>
    <t>Luego se repone</t>
  </si>
  <si>
    <t>Transferencia automática</t>
  </si>
  <si>
    <t>Devolución de una reserva cancelada</t>
  </si>
  <si>
    <t>Mes sin compras impulsivas de papelería</t>
  </si>
  <si>
    <t>Mini taller de fin de semana</t>
  </si>
  <si>
    <t>Venta de soporte de cámara</t>
  </si>
  <si>
    <t>Redondeos quincenales</t>
  </si>
  <si>
    <t>Efectivo</t>
  </si>
  <si>
    <t>Cuatro desayunos preparados en casa</t>
  </si>
  <si>
    <t>Pedido pequeño de piezas a medida</t>
  </si>
  <si>
    <t>Reintegro de una cuota duplicada</t>
  </si>
  <si>
    <t>Venta de archivador antiguo</t>
  </si>
  <si>
    <t>Semana sin compras de conveniencia</t>
  </si>
  <si>
    <t>Neto 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</si>
</sst>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;[Red]\(#,##0.00&quot; €&quot;\);\-"/>
    <numFmt numFmtId="165" formatCode="0.0%"/>
  </numFmts>
  <fonts count="20" x14ac:knownFonts="1">
    <font>
      <sz val="11"/>
      <color theme="1"/>
      <name val="Calibri"/>
      <family val="2"/>
      <scheme val="minor"/>
    </font>
    <font>
      <i/>
      <sz val="11"/>
      <color rgb="FF16324F"/>
      <name val="Calibri"/>
    </font>
    <font>
      <b/>
      <sz val="12"/>
      <color rgb="FFFFFFFF"/>
      <name val="Calibri"/>
    </font>
    <font>
      <b/>
      <sz val="11"/>
      <color rgb="FF6B7280"/>
      <name val="Calibri"/>
    </font>
    <font>
      <b/>
      <sz val="11"/>
      <color rgb="FF0B57D0"/>
      <name val="Calibri"/>
    </font>
    <font>
      <b/>
      <sz val="11"/>
      <color rgb="FF000000"/>
      <name val="Calibri"/>
    </font>
    <font>
      <b/>
      <sz val="11"/>
      <color rgb="FFFFFFFF"/>
      <name val="Calibri"/>
    </font>
    <font>
      <b/>
      <sz val="15"/>
      <color rgb="FF000000"/>
      <name val="Calibri"/>
    </font>
    <font>
      <sz val="11"/>
      <color rgb="FF000000"/>
      <name val="Calibri"/>
    </font>
    <font>
      <sz val="11"/>
      <color rgb="FF6B7280"/>
      <name val="Calibri"/>
    </font>
    <font>
      <b/>
      <sz val="11"/>
      <color rgb="FFFFFFFF"/>
      <name val="Calibri"/>
    </font>
    <font>
      <i/>
      <sz val="11"/>
      <color rgb="FF6B7280"/>
      <name val="Calibri"/>
    </font>
    <font>
      <b/>
      <sz val="16"/>
      <color rgb="FFFFFFFF"/>
      <name val="Calibri"/>
    </font>
    <font>
      <i/>
      <sz val="11"/>
      <color rgb="FF16324F"/>
      <name val="Calibri"/>
    </font>
    <font>
      <sz val="11"/>
      <color rgb="FF0B57D0"/>
      <name val="Calibri"/>
    </font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b/>
      <sz val="25"/>
      <color rgb="FF16324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6324F"/>
      </patternFill>
    </fill>
    <fill>
      <patternFill patternType="solid">
        <fgColor rgb="FFE0F2F1"/>
      </patternFill>
    </fill>
    <fill>
      <patternFill patternType="solid">
        <fgColor rgb="FF0E7490"/>
      </patternFill>
    </fill>
    <fill>
      <patternFill patternType="solid">
        <fgColor rgb="FFF3F4F6"/>
      </patternFill>
    </fill>
    <fill>
      <patternFill patternType="solid">
        <fgColor rgb="FFEAF2FF"/>
      </patternFill>
    </fill>
    <fill>
      <patternFill patternType="solid">
        <fgColor rgb="FFFFFFFF"/>
      </patternFill>
    </fill>
    <fill>
      <patternFill patternType="solid">
        <fgColor rgb="FFC77700"/>
      </patternFill>
    </fill>
  </fills>
  <borders count="15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 style="thin">
        <color rgb="FFD1D5DB"/>
      </left>
      <right/>
      <top style="thin">
        <color rgb="FFD1D5DB"/>
      </top>
      <bottom/>
      <diagonal/>
    </border>
    <border>
      <left style="thin">
        <color rgb="FFD1D5DB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D1D5DB"/>
      </right>
      <top/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/>
      <diagonal/>
    </border>
  </borders>
  <cellStyleXfs count="2">
    <xf numFmtId="0" fontId="0" fillId="0" borderId="0"/>
    <xf numFmtId="0" fontId="16" fillId="0" borderId="0"/>
  </cellStyleXfs>
  <cellXfs count="52">
    <xf numFmtId="0" fontId="0" fillId="0" borderId="0" xfId="0"/>
    <xf numFmtId="0" fontId="3" fillId="5" borderId="1" xfId="1" applyFont="1" applyFill="1" applyBorder="1"/>
    <xf numFmtId="0" fontId="3" fillId="5" borderId="1" xfId="1" applyFont="1" applyFill="1" applyBorder="1" applyAlignment="1">
      <alignment horizontal="center" vertical="center"/>
    </xf>
    <xf numFmtId="164" fontId="9" fillId="5" borderId="1" xfId="1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4" fontId="8" fillId="0" borderId="1" xfId="1" applyNumberFormat="1" applyFont="1" applyBorder="1" applyAlignment="1">
      <alignment horizontal="center" vertical="center"/>
    </xf>
    <xf numFmtId="164" fontId="8" fillId="0" borderId="1" xfId="1" applyNumberFormat="1" applyFont="1" applyBorder="1" applyAlignment="1">
      <alignment horizontal="center" vertical="center"/>
    </xf>
    <xf numFmtId="0" fontId="10" fillId="4" borderId="1" xfId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4" fontId="14" fillId="6" borderId="1" xfId="1" applyNumberFormat="1" applyFont="1" applyFill="1" applyBorder="1" applyAlignment="1">
      <alignment vertical="center"/>
    </xf>
    <xf numFmtId="1" fontId="15" fillId="5" borderId="1" xfId="1" applyNumberFormat="1" applyFont="1" applyFill="1" applyBorder="1" applyAlignment="1">
      <alignment vertical="center"/>
    </xf>
    <xf numFmtId="0" fontId="14" fillId="6" borderId="1" xfId="1" applyFont="1" applyFill="1" applyBorder="1" applyAlignment="1">
      <alignment vertical="center"/>
    </xf>
    <xf numFmtId="164" fontId="14" fillId="6" borderId="1" xfId="1" applyNumberFormat="1" applyFont="1" applyFill="1" applyBorder="1" applyAlignment="1">
      <alignment vertical="center"/>
    </xf>
    <xf numFmtId="164" fontId="15" fillId="5" borderId="1" xfId="1" applyNumberFormat="1" applyFont="1" applyFill="1" applyBorder="1" applyAlignment="1">
      <alignment vertical="center"/>
    </xf>
    <xf numFmtId="164" fontId="5" fillId="3" borderId="1" xfId="1" applyNumberFormat="1" applyFont="1" applyFill="1" applyBorder="1"/>
    <xf numFmtId="0" fontId="2" fillId="4" borderId="1" xfId="1" applyFont="1" applyFill="1" applyBorder="1" applyAlignment="1">
      <alignment horizontal="left" vertical="center"/>
    </xf>
    <xf numFmtId="0" fontId="0" fillId="0" borderId="6" xfId="1" applyFont="1" applyBorder="1"/>
    <xf numFmtId="0" fontId="0" fillId="0" borderId="7" xfId="1" applyFont="1" applyBorder="1"/>
    <xf numFmtId="164" fontId="7" fillId="5" borderId="1" xfId="1" applyNumberFormat="1" applyFont="1" applyFill="1" applyBorder="1" applyAlignment="1">
      <alignment horizontal="center" vertical="center"/>
    </xf>
    <xf numFmtId="0" fontId="0" fillId="0" borderId="3" xfId="1" applyFont="1" applyBorder="1"/>
    <xf numFmtId="0" fontId="0" fillId="0" borderId="4" xfId="1" applyFont="1" applyBorder="1"/>
    <xf numFmtId="0" fontId="0" fillId="0" borderId="5" xfId="1" applyFont="1" applyBorder="1"/>
    <xf numFmtId="0" fontId="11" fillId="5" borderId="1" xfId="1" applyFont="1" applyFill="1" applyBorder="1" applyAlignment="1">
      <alignment vertical="center" wrapText="1"/>
    </xf>
    <xf numFmtId="0" fontId="0" fillId="0" borderId="2" xfId="1" applyFont="1" applyBorder="1"/>
    <xf numFmtId="0" fontId="0" fillId="0" borderId="8" xfId="1" applyFont="1" applyBorder="1"/>
    <xf numFmtId="0" fontId="6" fillId="8" borderId="1" xfId="1" applyFont="1" applyFill="1" applyBorder="1" applyAlignment="1">
      <alignment horizontal="center" vertical="center"/>
    </xf>
    <xf numFmtId="0" fontId="1" fillId="3" borderId="0" xfId="1" applyFont="1" applyFill="1" applyAlignment="1">
      <alignment horizontal="center" vertical="center"/>
    </xf>
    <xf numFmtId="0" fontId="0" fillId="0" borderId="0" xfId="0"/>
    <xf numFmtId="0" fontId="6" fillId="4" borderId="1" xfId="1" applyFont="1" applyFill="1" applyBorder="1" applyAlignment="1">
      <alignment horizontal="center" vertical="center"/>
    </xf>
    <xf numFmtId="165" fontId="7" fillId="5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/>
    </xf>
    <xf numFmtId="164" fontId="5" fillId="7" borderId="0" xfId="1" applyNumberFormat="1" applyFont="1" applyFill="1" applyBorder="1" applyAlignment="1">
      <alignment horizontal="center" vertical="center"/>
    </xf>
    <xf numFmtId="0" fontId="17" fillId="2" borderId="0" xfId="1" applyFont="1" applyFill="1" applyAlignment="1">
      <alignment horizontal="center" vertical="center"/>
    </xf>
    <xf numFmtId="0" fontId="18" fillId="0" borderId="0" xfId="0" applyFont="1"/>
    <xf numFmtId="0" fontId="19" fillId="5" borderId="9" xfId="1" applyFont="1" applyFill="1" applyBorder="1" applyAlignment="1">
      <alignment horizontal="center" vertical="center"/>
    </xf>
    <xf numFmtId="0" fontId="19" fillId="5" borderId="2" xfId="1" applyFont="1" applyFill="1" applyBorder="1" applyAlignment="1">
      <alignment horizontal="center" vertical="center"/>
    </xf>
    <xf numFmtId="0" fontId="19" fillId="5" borderId="3" xfId="1" applyFont="1" applyFill="1" applyBorder="1" applyAlignment="1">
      <alignment horizontal="center" vertical="center"/>
    </xf>
    <xf numFmtId="0" fontId="19" fillId="5" borderId="10" xfId="1" applyFont="1" applyFill="1" applyBorder="1" applyAlignment="1">
      <alignment horizontal="center" vertical="center"/>
    </xf>
    <xf numFmtId="0" fontId="19" fillId="5" borderId="11" xfId="1" applyFont="1" applyFill="1" applyBorder="1" applyAlignment="1">
      <alignment horizontal="center" vertical="center"/>
    </xf>
    <xf numFmtId="0" fontId="19" fillId="5" borderId="12" xfId="1" applyFont="1" applyFill="1" applyBorder="1" applyAlignment="1">
      <alignment horizontal="center" vertical="center"/>
    </xf>
    <xf numFmtId="0" fontId="4" fillId="6" borderId="7" xfId="1" applyFont="1" applyFill="1" applyBorder="1" applyAlignment="1">
      <alignment horizontal="center" vertical="center"/>
    </xf>
    <xf numFmtId="164" fontId="4" fillId="6" borderId="7" xfId="1" applyNumberFormat="1" applyFont="1" applyFill="1" applyBorder="1" applyAlignment="1">
      <alignment horizontal="center" vertical="center"/>
    </xf>
    <xf numFmtId="14" fontId="4" fillId="6" borderId="7" xfId="1" applyNumberFormat="1" applyFont="1" applyFill="1" applyBorder="1" applyAlignment="1">
      <alignment horizontal="center" vertical="center"/>
    </xf>
    <xf numFmtId="1" fontId="5" fillId="7" borderId="7" xfId="1" applyNumberFormat="1" applyFont="1" applyFill="1" applyBorder="1" applyAlignment="1">
      <alignment horizontal="center" vertical="center"/>
    </xf>
    <xf numFmtId="164" fontId="5" fillId="7" borderId="7" xfId="1" applyNumberFormat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left" vertical="center"/>
    </xf>
    <xf numFmtId="0" fontId="3" fillId="5" borderId="13" xfId="1" applyFont="1" applyFill="1" applyBorder="1" applyAlignment="1">
      <alignment horizontal="center"/>
    </xf>
    <xf numFmtId="0" fontId="3" fillId="5" borderId="13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center" wrapText="1"/>
    </xf>
    <xf numFmtId="0" fontId="10" fillId="4" borderId="1" xfId="1" applyFont="1" applyFill="1" applyBorder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8">
    <dxf>
      <font>
        <color rgb="FF2E7D32"/>
        <name val="Calibri"/>
      </font>
      <fill>
        <patternFill>
          <bgColor rgb="FFE8F5E9"/>
        </patternFill>
      </fill>
    </dxf>
    <dxf>
      <font>
        <color rgb="FFB3261E"/>
        <name val="Calibri"/>
      </font>
      <fill>
        <patternFill>
          <bgColor rgb="FFFDECEC"/>
        </patternFill>
      </fill>
    </dxf>
    <dxf>
      <font>
        <b/>
        <color rgb="FF0E7490"/>
        <name val="Calibri"/>
      </font>
      <fill>
        <patternFill>
          <bgColor rgb="FFE0F2F1"/>
        </patternFill>
      </fill>
    </dxf>
    <dxf>
      <font>
        <b/>
        <color rgb="FFB3261E"/>
        <name val="Calibri"/>
      </font>
      <fill>
        <patternFill>
          <bgColor rgb="FFFDECEC"/>
        </patternFill>
      </fill>
    </dxf>
    <dxf>
      <font>
        <b/>
        <color rgb="FFC77700"/>
        <name val="Calibri"/>
      </font>
      <fill>
        <patternFill>
          <bgColor rgb="FFFFF3E0"/>
        </patternFill>
      </fill>
    </dxf>
    <dxf>
      <font>
        <b/>
        <color rgb="FF2E7D32"/>
        <name val="Calibri"/>
      </font>
      <fill>
        <patternFill>
          <bgColor rgb="FFE8F5E9"/>
        </patternFill>
      </fill>
    </dxf>
    <dxf>
      <font>
        <color rgb="FF2E7D32"/>
        <name val="Calibri"/>
      </font>
      <fill>
        <patternFill>
          <bgColor rgb="FFE8F5E9"/>
        </patternFill>
      </fill>
    </dxf>
    <dxf>
      <font>
        <color rgb="FFB3261E"/>
        <name val="Calibri"/>
      </font>
      <fill>
        <patternFill>
          <bgColor rgb="FFFDEC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Objetivo semanal vs realNone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'Plan 1000€'!$D$21</c:f>
              <c:strCache>
                <c:ptCount val="1"/>
                <c:pt idx="0">
                  <c:v>Objetivo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'Plan 1000€'!$A$22:$A$47</c:f>
              <c:strCache>
                <c:ptCount val="20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  <c:pt idx="11">
                  <c:v>17</c:v>
                </c:pt>
                <c:pt idx="12">
                  <c:v>18</c:v>
                </c:pt>
                <c:pt idx="13">
                  <c:v>19</c:v>
                </c:pt>
                <c:pt idx="14">
                  <c:v>20</c:v>
                </c:pt>
                <c:pt idx="15">
                  <c:v>21</c:v>
                </c:pt>
                <c:pt idx="16">
                  <c:v>22</c:v>
                </c:pt>
                <c:pt idx="17">
                  <c:v>23</c:v>
                </c:pt>
                <c:pt idx="18">
                  <c:v>24</c:v>
                </c:pt>
                <c:pt idx="19">
                  <c:v>25</c:v>
                </c:pt>
              </c:strCache>
            </c:strRef>
          </c:cat>
          <c:val>
            <c:numRef>
              <c:f>'Plan 1000€'!$D$22:$D$47</c:f>
              <c:numCache>
                <c:formatCode>General</c:formatCode>
                <c:ptCount val="26"/>
                <c:pt idx="0">
                  <c:v>35.6</c:v>
                </c:pt>
                <c:pt idx="1">
                  <c:v>35.6</c:v>
                </c:pt>
                <c:pt idx="2">
                  <c:v>35.6</c:v>
                </c:pt>
                <c:pt idx="3">
                  <c:v>35.6</c:v>
                </c:pt>
                <c:pt idx="4">
                  <c:v>35.6</c:v>
                </c:pt>
                <c:pt idx="5">
                  <c:v>35.6</c:v>
                </c:pt>
                <c:pt idx="6">
                  <c:v>35.6</c:v>
                </c:pt>
                <c:pt idx="7">
                  <c:v>35.6</c:v>
                </c:pt>
                <c:pt idx="8">
                  <c:v>35.6</c:v>
                </c:pt>
                <c:pt idx="9">
                  <c:v>35.6</c:v>
                </c:pt>
                <c:pt idx="10">
                  <c:v>35.6</c:v>
                </c:pt>
                <c:pt idx="11">
                  <c:v>35.6</c:v>
                </c:pt>
                <c:pt idx="12">
                  <c:v>35.6</c:v>
                </c:pt>
                <c:pt idx="13">
                  <c:v>35.6</c:v>
                </c:pt>
                <c:pt idx="14">
                  <c:v>35.6</c:v>
                </c:pt>
                <c:pt idx="15">
                  <c:v>35.6</c:v>
                </c:pt>
                <c:pt idx="16">
                  <c:v>35.6</c:v>
                </c:pt>
                <c:pt idx="17">
                  <c:v>35.6</c:v>
                </c:pt>
                <c:pt idx="18">
                  <c:v>35.6</c:v>
                </c:pt>
                <c:pt idx="19">
                  <c:v>35.6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7D-43E2-880D-3F1F91D59238}"/>
            </c:ext>
          </c:extLst>
        </c:ser>
        <c:ser>
          <c:idx val="1"/>
          <c:order val="1"/>
          <c:tx>
            <c:strRef>
              <c:f>'Plan 1000€'!$E$21</c:f>
              <c:strCache>
                <c:ptCount val="1"/>
                <c:pt idx="0">
                  <c:v>Real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'Plan 1000€'!$A$22:$A$47</c:f>
              <c:strCache>
                <c:ptCount val="20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  <c:pt idx="11">
                  <c:v>17</c:v>
                </c:pt>
                <c:pt idx="12">
                  <c:v>18</c:v>
                </c:pt>
                <c:pt idx="13">
                  <c:v>19</c:v>
                </c:pt>
                <c:pt idx="14">
                  <c:v>20</c:v>
                </c:pt>
                <c:pt idx="15">
                  <c:v>21</c:v>
                </c:pt>
                <c:pt idx="16">
                  <c:v>22</c:v>
                </c:pt>
                <c:pt idx="17">
                  <c:v>23</c:v>
                </c:pt>
                <c:pt idx="18">
                  <c:v>24</c:v>
                </c:pt>
                <c:pt idx="19">
                  <c:v>25</c:v>
                </c:pt>
              </c:strCache>
            </c:strRef>
          </c:cat>
          <c:val>
            <c:numRef>
              <c:f>'Plan 1000€'!$E$22:$E$47</c:f>
              <c:numCache>
                <c:formatCode>General</c:formatCode>
                <c:ptCount val="26"/>
                <c:pt idx="0">
                  <c:v>0</c:v>
                </c:pt>
                <c:pt idx="1">
                  <c:v>30</c:v>
                </c:pt>
                <c:pt idx="2">
                  <c:v>22</c:v>
                </c:pt>
                <c:pt idx="3">
                  <c:v>75</c:v>
                </c:pt>
                <c:pt idx="4">
                  <c:v>40</c:v>
                </c:pt>
                <c:pt idx="5">
                  <c:v>48</c:v>
                </c:pt>
                <c:pt idx="6">
                  <c:v>10.35</c:v>
                </c:pt>
                <c:pt idx="7">
                  <c:v>40</c:v>
                </c:pt>
                <c:pt idx="8">
                  <c:v>18.5</c:v>
                </c:pt>
                <c:pt idx="9">
                  <c:v>82</c:v>
                </c:pt>
                <c:pt idx="10">
                  <c:v>17</c:v>
                </c:pt>
                <c:pt idx="11">
                  <c:v>0</c:v>
                </c:pt>
                <c:pt idx="12">
                  <c:v>40</c:v>
                </c:pt>
                <c:pt idx="13">
                  <c:v>32</c:v>
                </c:pt>
                <c:pt idx="14">
                  <c:v>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7D-43E2-880D-3F1F91D59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de-DE"/>
                  <a:t>Semana</a:t>
                </a:r>
              </a:p>
            </c:rich>
          </c:tx>
          <c:layout>
            <c:manualLayout>
              <c:xMode val="edge"/>
              <c:yMode val="edge"/>
              <c:x val="0.84204031439146088"/>
              <c:y val="0.73268112891488391"/>
            </c:manualLayout>
          </c:layout>
          <c:overlay val="1"/>
        </c:title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€</a:t>
                </a:r>
              </a:p>
              <a:p>
                <a:endParaRPr lang="de-DE"/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  <c:txPr>
        <a:bodyPr/>
        <a:lstStyle/>
        <a:p>
          <a:pPr>
            <a:defRPr sz="1200"/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Peso por origen</a:t>
            </a:r>
          </a:p>
          <a:p>
            <a:endParaRPr lang="de-DE"/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'Plan 1000€'!$L$27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'Plan 1000€'!$K$28:$K$33</c:f>
              <c:strCache>
                <c:ptCount val="6"/>
                <c:pt idx="0">
                  <c:v>Aportación fija</c:v>
                </c:pt>
                <c:pt idx="1">
                  <c:v>Venta ocasional</c:v>
                </c:pt>
                <c:pt idx="2">
                  <c:v>Proyecto extra</c:v>
                </c:pt>
                <c:pt idx="3">
                  <c:v>Ocio reducido</c:v>
                </c:pt>
                <c:pt idx="4">
                  <c:v>Reembolso</c:v>
                </c:pt>
                <c:pt idx="5">
                  <c:v>Redondeo</c:v>
                </c:pt>
              </c:strCache>
            </c:strRef>
          </c:cat>
          <c:val>
            <c:numRef>
              <c:f>'Plan 1000€'!$L$28:$L$33</c:f>
              <c:numCache>
                <c:formatCode>General</c:formatCode>
                <c:ptCount val="6"/>
                <c:pt idx="0">
                  <c:v>171</c:v>
                </c:pt>
                <c:pt idx="1">
                  <c:v>135</c:v>
                </c:pt>
                <c:pt idx="2">
                  <c:v>217</c:v>
                </c:pt>
                <c:pt idx="3">
                  <c:v>87.5</c:v>
                </c:pt>
                <c:pt idx="4">
                  <c:v>47</c:v>
                </c:pt>
                <c:pt idx="5">
                  <c:v>18.75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20-413A-95A8-AF5643198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81643</xdr:colOff>
      <xdr:row>9</xdr:row>
      <xdr:rowOff>136073</xdr:rowOff>
    </xdr:from>
    <xdr:to>
      <xdr:col>18</xdr:col>
      <xdr:colOff>13608</xdr:colOff>
      <xdr:row>18</xdr:row>
      <xdr:rowOff>190501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149679</xdr:colOff>
      <xdr:row>25</xdr:row>
      <xdr:rowOff>250031</xdr:rowOff>
    </xdr:from>
    <xdr:to>
      <xdr:col>18</xdr:col>
      <xdr:colOff>47626</xdr:colOff>
      <xdr:row>37</xdr:row>
      <xdr:rowOff>78580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408215</xdr:colOff>
      <xdr:row>4</xdr:row>
      <xdr:rowOff>95251</xdr:rowOff>
    </xdr:from>
    <xdr:to>
      <xdr:col>5</xdr:col>
      <xdr:colOff>544286</xdr:colOff>
      <xdr:row>9</xdr:row>
      <xdr:rowOff>4433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5C1B1894-7EFB-13DF-E338-6123CDEB9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36572" y="1292680"/>
          <a:ext cx="2013857" cy="12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9"/>
  <sheetViews>
    <sheetView showGridLines="0" tabSelected="1" zoomScale="70" zoomScaleNormal="70" workbookViewId="0">
      <selection activeCell="V18" sqref="V18"/>
    </sheetView>
  </sheetViews>
  <sheetFormatPr baseColWidth="10" defaultColWidth="9.140625" defaultRowHeight="15" x14ac:dyDescent="0.25"/>
  <cols>
    <col min="1" max="1" width="10" customWidth="1"/>
    <col min="2" max="2" width="21.5703125" customWidth="1"/>
    <col min="3" max="3" width="24.28515625" bestFit="1" customWidth="1"/>
    <col min="4" max="6" width="14" customWidth="1"/>
    <col min="7" max="9" width="13" customWidth="1"/>
    <col min="10" max="10" width="4" customWidth="1"/>
    <col min="11" max="18" width="13" customWidth="1"/>
  </cols>
  <sheetData>
    <row r="1" spans="1:18" ht="30" customHeight="1" x14ac:dyDescent="0.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ht="21.95" customHeight="1" x14ac:dyDescent="0.2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ht="21.95" customHeight="1" x14ac:dyDescent="0.25"/>
    <row r="4" spans="1:18" ht="21.95" customHeight="1" x14ac:dyDescent="0.25">
      <c r="A4" s="47" t="s">
        <v>2</v>
      </c>
      <c r="B4" s="23"/>
      <c r="C4" s="16"/>
      <c r="D4" s="16"/>
      <c r="E4" s="16"/>
      <c r="F4" s="17"/>
      <c r="G4" s="28" t="s">
        <v>3</v>
      </c>
      <c r="H4" s="16"/>
      <c r="I4" s="17"/>
      <c r="K4" s="25" t="s">
        <v>4</v>
      </c>
      <c r="L4" s="16"/>
      <c r="M4" s="17"/>
      <c r="N4" s="30" t="s">
        <v>5</v>
      </c>
      <c r="O4" s="16"/>
      <c r="P4" s="17"/>
      <c r="Q4" s="28" t="s">
        <v>6</v>
      </c>
      <c r="R4" s="17"/>
    </row>
    <row r="5" spans="1:18" ht="21.95" customHeight="1" x14ac:dyDescent="0.25">
      <c r="A5" s="48" t="s">
        <v>7</v>
      </c>
      <c r="B5" s="48"/>
      <c r="C5" s="42" t="s">
        <v>8</v>
      </c>
      <c r="G5" s="18">
        <f>C7+SUM(Registro!$H$5:$H$80)</f>
        <v>786.25</v>
      </c>
      <c r="H5" s="23"/>
      <c r="I5" s="19"/>
      <c r="K5" s="18">
        <f>MAX(C6-G5,0)</f>
        <v>213.75</v>
      </c>
      <c r="L5" s="23"/>
      <c r="M5" s="19"/>
      <c r="N5" s="29">
        <f>IF(C6=0,0,G5/C6)</f>
        <v>0.78625</v>
      </c>
      <c r="O5" s="23"/>
      <c r="P5" s="19"/>
      <c r="Q5" s="18">
        <f>IF(MAX(Registro!$B$5:$B$80)=0,0,SUM(Registro!$H$5:$H$80)/MAX(Registro!$B$5:$B$80))</f>
        <v>33.8125</v>
      </c>
      <c r="R5" s="19"/>
    </row>
    <row r="6" spans="1:18" ht="21.95" customHeight="1" x14ac:dyDescent="0.25">
      <c r="A6" s="49" t="s">
        <v>9</v>
      </c>
      <c r="B6" s="49"/>
      <c r="C6" s="43">
        <v>1000</v>
      </c>
      <c r="G6" s="20"/>
      <c r="H6" s="24"/>
      <c r="I6" s="21"/>
      <c r="K6" s="20"/>
      <c r="L6" s="24"/>
      <c r="M6" s="21"/>
      <c r="N6" s="20"/>
      <c r="O6" s="24"/>
      <c r="P6" s="21"/>
      <c r="Q6" s="20"/>
      <c r="R6" s="21"/>
    </row>
    <row r="7" spans="1:18" ht="21.95" customHeight="1" x14ac:dyDescent="0.25">
      <c r="A7" s="49" t="s">
        <v>10</v>
      </c>
      <c r="B7" s="49"/>
      <c r="C7" s="43">
        <v>110</v>
      </c>
    </row>
    <row r="8" spans="1:18" ht="21.95" customHeight="1" x14ac:dyDescent="0.25">
      <c r="A8" s="49" t="s">
        <v>11</v>
      </c>
      <c r="B8" s="49"/>
      <c r="C8" s="44">
        <v>46119</v>
      </c>
      <c r="G8" s="36" t="str">
        <f>IF(G5&gt;=C6,"Meta alcanzada",IF(G5&gt;=C7+MAX(Registro!$B$5:$B$80)*C12,"Buen ritmo","Conviene acelerar"))</f>
        <v>Conviene acelerar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8"/>
    </row>
    <row r="9" spans="1:18" ht="21.95" customHeight="1" x14ac:dyDescent="0.25">
      <c r="A9" s="49" t="s">
        <v>12</v>
      </c>
      <c r="B9" s="49"/>
      <c r="C9" s="44">
        <v>46287</v>
      </c>
      <c r="G9" s="39"/>
      <c r="H9" s="40"/>
      <c r="I9" s="40"/>
      <c r="J9" s="40"/>
      <c r="K9" s="40"/>
      <c r="L9" s="40"/>
      <c r="M9" s="40"/>
      <c r="N9" s="40"/>
      <c r="O9" s="40"/>
      <c r="P9" s="40"/>
      <c r="Q9" s="40"/>
      <c r="R9" s="41"/>
    </row>
    <row r="10" spans="1:18" ht="21.95" customHeight="1" x14ac:dyDescent="0.25">
      <c r="A10" s="49" t="s">
        <v>13</v>
      </c>
      <c r="B10" s="49"/>
      <c r="C10" s="45">
        <f>ROUNDUP((C9-C8+1)/7,0)</f>
        <v>25</v>
      </c>
    </row>
    <row r="11" spans="1:18" ht="21.95" customHeight="1" x14ac:dyDescent="0.25">
      <c r="A11" s="49" t="s">
        <v>14</v>
      </c>
      <c r="B11" s="49"/>
      <c r="C11" s="46">
        <f>MAX(C6-C7,0)</f>
        <v>890</v>
      </c>
    </row>
    <row r="12" spans="1:18" ht="21.95" customHeight="1" x14ac:dyDescent="0.25">
      <c r="A12" s="49" t="s">
        <v>15</v>
      </c>
      <c r="B12" s="49"/>
      <c r="C12" s="46">
        <f>IF(C10&gt;0,ROUND(C11/C10,2),0)</f>
        <v>35.6</v>
      </c>
    </row>
    <row r="13" spans="1:18" ht="21.95" customHeight="1" x14ac:dyDescent="0.25">
      <c r="A13" s="49" t="s">
        <v>16</v>
      </c>
      <c r="B13" s="49"/>
      <c r="C13" s="46">
        <f>ROUND(C12*4.33,2)</f>
        <v>154.15</v>
      </c>
    </row>
    <row r="14" spans="1:18" ht="21.95" customHeight="1" x14ac:dyDescent="0.25">
      <c r="C14" s="33"/>
    </row>
    <row r="15" spans="1:18" ht="21.95" customHeight="1" x14ac:dyDescent="0.25">
      <c r="C15" s="33"/>
    </row>
    <row r="16" spans="1:18" ht="21.95" customHeight="1" x14ac:dyDescent="0.25">
      <c r="C16" s="33"/>
    </row>
    <row r="17" spans="1:18" ht="21.95" customHeight="1" x14ac:dyDescent="0.25">
      <c r="C17" s="33"/>
    </row>
    <row r="18" spans="1:18" ht="21.95" customHeight="1" x14ac:dyDescent="0.25">
      <c r="C18" s="33"/>
    </row>
    <row r="19" spans="1:18" ht="21.95" customHeight="1" x14ac:dyDescent="0.25"/>
    <row r="20" spans="1:18" ht="21.95" customHeight="1" x14ac:dyDescent="0.25">
      <c r="A20" s="15" t="s">
        <v>17</v>
      </c>
      <c r="B20" s="16"/>
      <c r="C20" s="16"/>
      <c r="D20" s="16"/>
      <c r="E20" s="16"/>
      <c r="F20" s="16"/>
      <c r="G20" s="16"/>
      <c r="H20" s="16"/>
      <c r="I20" s="17"/>
      <c r="K20" s="15" t="s">
        <v>18</v>
      </c>
      <c r="L20" s="16"/>
      <c r="M20" s="16"/>
      <c r="N20" s="16"/>
      <c r="O20" s="16"/>
      <c r="P20" s="16"/>
      <c r="Q20" s="16"/>
      <c r="R20" s="17"/>
    </row>
    <row r="21" spans="1:18" ht="21.95" customHeight="1" x14ac:dyDescent="0.25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23</v>
      </c>
      <c r="F21" s="2" t="s">
        <v>24</v>
      </c>
      <c r="G21" s="2" t="s">
        <v>25</v>
      </c>
      <c r="H21" s="2" t="s">
        <v>26</v>
      </c>
      <c r="I21" s="2" t="s">
        <v>27</v>
      </c>
      <c r="K21" s="3">
        <v>25</v>
      </c>
      <c r="L21" s="3">
        <v>50</v>
      </c>
      <c r="M21" s="3">
        <v>75</v>
      </c>
      <c r="N21" s="3">
        <v>100</v>
      </c>
      <c r="O21" s="3">
        <v>125</v>
      </c>
      <c r="P21" s="3">
        <v>150</v>
      </c>
      <c r="Q21" s="3">
        <v>175</v>
      </c>
      <c r="R21" s="3">
        <v>200</v>
      </c>
    </row>
    <row r="22" spans="1:18" ht="21.95" customHeight="1" x14ac:dyDescent="0.25">
      <c r="A22" s="4">
        <f t="shared" ref="A22:A47" si="0">IF(ROW()-16&lt;=$C$10,ROW()-16,"")</f>
        <v>6</v>
      </c>
      <c r="B22" s="5">
        <f t="shared" ref="B22:B47" si="1">IF($A22="","",$C$8+($A22-1)*7)</f>
        <v>46154</v>
      </c>
      <c r="C22" s="5">
        <f t="shared" ref="C22:C47" si="2">IF($A22="","",MIN($C$9,$B22+6))</f>
        <v>46160</v>
      </c>
      <c r="D22" s="6">
        <f t="shared" ref="D22:D47" si="3">IF($A22="","",ROUND($C$11/$C$10,2))</f>
        <v>35.6</v>
      </c>
      <c r="E22" s="6">
        <f>IF($A22="","",SUMIFS(Registro!$H$5:$H$80,Registro!$B$5:$B$80,$A22))</f>
        <v>0</v>
      </c>
      <c r="F22" s="6">
        <f t="shared" ref="F22:F47" si="4">IF($A22="","",E22-D22)</f>
        <v>-35.6</v>
      </c>
      <c r="G22" s="6">
        <f>IF($A22="","",$C$7+SUM($D$22:D22))</f>
        <v>145.6</v>
      </c>
      <c r="H22" s="6">
        <f>IF($A22="","",$C$7+SUM($E$22:E22))</f>
        <v>110</v>
      </c>
      <c r="I22" s="4" t="str">
        <f t="shared" ref="I22:I47" si="5">IF($A22="","",IF(H22&gt;=G22,"En plazo",IF(H22&gt;=G22*0.9,"Vigilar","Recuperar")))</f>
        <v>Recuperar</v>
      </c>
      <c r="K22" s="3">
        <v>225</v>
      </c>
      <c r="L22" s="3">
        <v>250</v>
      </c>
      <c r="M22" s="3">
        <v>275</v>
      </c>
      <c r="N22" s="3">
        <v>300</v>
      </c>
      <c r="O22" s="3">
        <v>325</v>
      </c>
      <c r="P22" s="3">
        <v>350</v>
      </c>
      <c r="Q22" s="3">
        <v>375</v>
      </c>
      <c r="R22" s="3">
        <v>400</v>
      </c>
    </row>
    <row r="23" spans="1:18" ht="21.95" customHeight="1" x14ac:dyDescent="0.25">
      <c r="A23" s="4">
        <f t="shared" si="0"/>
        <v>7</v>
      </c>
      <c r="B23" s="5">
        <f t="shared" si="1"/>
        <v>46161</v>
      </c>
      <c r="C23" s="5">
        <f t="shared" si="2"/>
        <v>46167</v>
      </c>
      <c r="D23" s="6">
        <f t="shared" si="3"/>
        <v>35.6</v>
      </c>
      <c r="E23" s="6">
        <f>IF($A23="","",SUMIFS(Registro!$H$5:$H$80,Registro!$B$5:$B$80,$A23))</f>
        <v>30</v>
      </c>
      <c r="F23" s="6">
        <f t="shared" si="4"/>
        <v>-5.6000000000000014</v>
      </c>
      <c r="G23" s="6">
        <f>IF($A23="","",$C$7+SUM($D$22:D23))</f>
        <v>181.2</v>
      </c>
      <c r="H23" s="6">
        <f>IF($A23="","",$C$7+SUM($E$22:E23))</f>
        <v>140</v>
      </c>
      <c r="I23" s="4" t="str">
        <f t="shared" si="5"/>
        <v>Recuperar</v>
      </c>
      <c r="K23" s="3">
        <v>425</v>
      </c>
      <c r="L23" s="3">
        <v>450</v>
      </c>
      <c r="M23" s="3">
        <v>475</v>
      </c>
      <c r="N23" s="3">
        <v>500</v>
      </c>
      <c r="O23" s="3">
        <v>525</v>
      </c>
      <c r="P23" s="3">
        <v>550</v>
      </c>
      <c r="Q23" s="3">
        <v>575</v>
      </c>
      <c r="R23" s="3">
        <v>600</v>
      </c>
    </row>
    <row r="24" spans="1:18" ht="21.95" customHeight="1" x14ac:dyDescent="0.25">
      <c r="A24" s="4">
        <f t="shared" si="0"/>
        <v>8</v>
      </c>
      <c r="B24" s="5">
        <f t="shared" si="1"/>
        <v>46168</v>
      </c>
      <c r="C24" s="5">
        <f t="shared" si="2"/>
        <v>46174</v>
      </c>
      <c r="D24" s="6">
        <f t="shared" si="3"/>
        <v>35.6</v>
      </c>
      <c r="E24" s="6">
        <f>IF($A24="","",SUMIFS(Registro!$H$5:$H$80,Registro!$B$5:$B$80,$A24))</f>
        <v>22</v>
      </c>
      <c r="F24" s="6">
        <f t="shared" si="4"/>
        <v>-13.600000000000001</v>
      </c>
      <c r="G24" s="6">
        <f>IF($A24="","",$C$7+SUM($D$22:D24))</f>
        <v>216.8</v>
      </c>
      <c r="H24" s="6">
        <f>IF($A24="","",$C$7+SUM($E$22:E24))</f>
        <v>162</v>
      </c>
      <c r="I24" s="4" t="str">
        <f t="shared" si="5"/>
        <v>Recuperar</v>
      </c>
      <c r="K24" s="3">
        <v>625</v>
      </c>
      <c r="L24" s="3">
        <v>650</v>
      </c>
      <c r="M24" s="3">
        <v>675</v>
      </c>
      <c r="N24" s="3">
        <v>700</v>
      </c>
      <c r="O24" s="3">
        <v>725</v>
      </c>
      <c r="P24" s="3">
        <v>750</v>
      </c>
      <c r="Q24" s="3">
        <v>775</v>
      </c>
      <c r="R24" s="3">
        <v>800</v>
      </c>
    </row>
    <row r="25" spans="1:18" ht="21.95" customHeight="1" x14ac:dyDescent="0.25">
      <c r="A25" s="4">
        <f t="shared" si="0"/>
        <v>9</v>
      </c>
      <c r="B25" s="5">
        <f t="shared" si="1"/>
        <v>46175</v>
      </c>
      <c r="C25" s="5">
        <f t="shared" si="2"/>
        <v>46181</v>
      </c>
      <c r="D25" s="6">
        <f t="shared" si="3"/>
        <v>35.6</v>
      </c>
      <c r="E25" s="6">
        <f>IF($A25="","",SUMIFS(Registro!$H$5:$H$80,Registro!$B$5:$B$80,$A25))</f>
        <v>75</v>
      </c>
      <c r="F25" s="6">
        <f t="shared" si="4"/>
        <v>39.4</v>
      </c>
      <c r="G25" s="6">
        <f>IF($A25="","",$C$7+SUM($D$22:D25))</f>
        <v>252.4</v>
      </c>
      <c r="H25" s="6">
        <f>IF($A25="","",$C$7+SUM($E$22:E25))</f>
        <v>237</v>
      </c>
      <c r="I25" s="4" t="str">
        <f t="shared" si="5"/>
        <v>Vigilar</v>
      </c>
      <c r="K25" s="3">
        <v>825</v>
      </c>
      <c r="L25" s="3">
        <v>850</v>
      </c>
      <c r="M25" s="3">
        <v>875</v>
      </c>
      <c r="N25" s="3">
        <v>900</v>
      </c>
      <c r="O25" s="3">
        <v>925</v>
      </c>
      <c r="P25" s="3">
        <v>950</v>
      </c>
      <c r="Q25" s="3">
        <v>975</v>
      </c>
      <c r="R25" s="3">
        <v>1000</v>
      </c>
    </row>
    <row r="26" spans="1:18" ht="21.95" customHeight="1" x14ac:dyDescent="0.25">
      <c r="A26" s="4">
        <f t="shared" si="0"/>
        <v>10</v>
      </c>
      <c r="B26" s="5">
        <f t="shared" si="1"/>
        <v>46182</v>
      </c>
      <c r="C26" s="5">
        <f t="shared" si="2"/>
        <v>46188</v>
      </c>
      <c r="D26" s="6">
        <f t="shared" si="3"/>
        <v>35.6</v>
      </c>
      <c r="E26" s="6">
        <f>IF($A26="","",SUMIFS(Registro!$H$5:$H$80,Registro!$B$5:$B$80,$A26))</f>
        <v>40</v>
      </c>
      <c r="F26" s="6">
        <f t="shared" si="4"/>
        <v>4.3999999999999986</v>
      </c>
      <c r="G26" s="6">
        <f>IF($A26="","",$C$7+SUM($D$22:D26))</f>
        <v>288</v>
      </c>
      <c r="H26" s="6">
        <f>IF($A26="","",$C$7+SUM($E$22:E26))</f>
        <v>277</v>
      </c>
      <c r="I26" s="4" t="str">
        <f t="shared" si="5"/>
        <v>Vigilar</v>
      </c>
    </row>
    <row r="27" spans="1:18" ht="30" x14ac:dyDescent="0.25">
      <c r="A27" s="4">
        <f t="shared" si="0"/>
        <v>11</v>
      </c>
      <c r="B27" s="5">
        <f t="shared" si="1"/>
        <v>46189</v>
      </c>
      <c r="C27" s="5">
        <f t="shared" si="2"/>
        <v>46195</v>
      </c>
      <c r="D27" s="6">
        <f t="shared" si="3"/>
        <v>35.6</v>
      </c>
      <c r="E27" s="6">
        <f>IF($A27="","",SUMIFS(Registro!$H$5:$H$80,Registro!$B$5:$B$80,$A27))</f>
        <v>48</v>
      </c>
      <c r="F27" s="6">
        <f t="shared" si="4"/>
        <v>12.399999999999999</v>
      </c>
      <c r="G27" s="6">
        <f>IF($A27="","",$C$7+SUM($D$22:D27))</f>
        <v>323.60000000000002</v>
      </c>
      <c r="H27" s="6">
        <f>IF($A27="","",$C$7+SUM($E$22:E27))</f>
        <v>325</v>
      </c>
      <c r="I27" s="4" t="str">
        <f t="shared" si="5"/>
        <v>En plazo</v>
      </c>
      <c r="K27" s="50" t="s">
        <v>28</v>
      </c>
      <c r="L27" s="51" t="s">
        <v>29</v>
      </c>
    </row>
    <row r="28" spans="1:18" ht="21.95" customHeight="1" x14ac:dyDescent="0.25">
      <c r="A28" s="4">
        <f t="shared" si="0"/>
        <v>12</v>
      </c>
      <c r="B28" s="5">
        <f t="shared" si="1"/>
        <v>46196</v>
      </c>
      <c r="C28" s="5">
        <f t="shared" si="2"/>
        <v>46202</v>
      </c>
      <c r="D28" s="6">
        <f t="shared" si="3"/>
        <v>35.6</v>
      </c>
      <c r="E28" s="6">
        <f>IF($A28="","",SUMIFS(Registro!$H$5:$H$80,Registro!$B$5:$B$80,$A28))</f>
        <v>10.35</v>
      </c>
      <c r="F28" s="6">
        <f t="shared" si="4"/>
        <v>-25.25</v>
      </c>
      <c r="G28" s="6">
        <f>IF($A28="","",$C$7+SUM($D$22:D28))</f>
        <v>359.2</v>
      </c>
      <c r="H28" s="6">
        <f>IF($A28="","",$C$7+SUM($E$22:E28))</f>
        <v>335.35</v>
      </c>
      <c r="I28" s="4" t="str">
        <f t="shared" si="5"/>
        <v>Vigilar</v>
      </c>
      <c r="K28" s="1" t="s">
        <v>30</v>
      </c>
      <c r="L28" s="8">
        <f>SUMIFS(Registro!$H$5:$H$80,Registro!$D$5:$D$80,K28)</f>
        <v>171</v>
      </c>
    </row>
    <row r="29" spans="1:18" ht="21.95" customHeight="1" x14ac:dyDescent="0.25">
      <c r="A29" s="4">
        <f t="shared" si="0"/>
        <v>13</v>
      </c>
      <c r="B29" s="5">
        <f t="shared" si="1"/>
        <v>46203</v>
      </c>
      <c r="C29" s="5">
        <f t="shared" si="2"/>
        <v>46209</v>
      </c>
      <c r="D29" s="6">
        <f t="shared" si="3"/>
        <v>35.6</v>
      </c>
      <c r="E29" s="6">
        <f>IF($A29="","",SUMIFS(Registro!$H$5:$H$80,Registro!$B$5:$B$80,$A29))</f>
        <v>40</v>
      </c>
      <c r="F29" s="6">
        <f t="shared" si="4"/>
        <v>4.3999999999999986</v>
      </c>
      <c r="G29" s="6">
        <f>IF($A29="","",$C$7+SUM($D$22:D29))</f>
        <v>394.8</v>
      </c>
      <c r="H29" s="6">
        <f>IF($A29="","",$C$7+SUM($E$22:E29))</f>
        <v>375.35</v>
      </c>
      <c r="I29" s="4" t="str">
        <f t="shared" si="5"/>
        <v>Vigilar</v>
      </c>
      <c r="K29" s="1" t="s">
        <v>31</v>
      </c>
      <c r="L29" s="8">
        <f>SUMIFS(Registro!$H$5:$H$80,Registro!$D$5:$D$80,K29)</f>
        <v>135</v>
      </c>
    </row>
    <row r="30" spans="1:18" ht="21.95" customHeight="1" x14ac:dyDescent="0.25">
      <c r="A30" s="4">
        <f t="shared" si="0"/>
        <v>14</v>
      </c>
      <c r="B30" s="5">
        <f t="shared" si="1"/>
        <v>46210</v>
      </c>
      <c r="C30" s="5">
        <f t="shared" si="2"/>
        <v>46216</v>
      </c>
      <c r="D30" s="6">
        <f t="shared" si="3"/>
        <v>35.6</v>
      </c>
      <c r="E30" s="6">
        <f>IF($A30="","",SUMIFS(Registro!$H$5:$H$80,Registro!$B$5:$B$80,$A30))</f>
        <v>18.5</v>
      </c>
      <c r="F30" s="6">
        <f t="shared" si="4"/>
        <v>-17.100000000000001</v>
      </c>
      <c r="G30" s="6">
        <f>IF($A30="","",$C$7+SUM($D$22:D30))</f>
        <v>430.40000000000003</v>
      </c>
      <c r="H30" s="6">
        <f>IF($A30="","",$C$7+SUM($E$22:E30))</f>
        <v>393.85</v>
      </c>
      <c r="I30" s="4" t="str">
        <f t="shared" si="5"/>
        <v>Vigilar</v>
      </c>
      <c r="K30" s="1" t="s">
        <v>32</v>
      </c>
      <c r="L30" s="8">
        <f>SUMIFS(Registro!$H$5:$H$80,Registro!$D$5:$D$80,K30)</f>
        <v>217</v>
      </c>
    </row>
    <row r="31" spans="1:18" ht="21.95" customHeight="1" x14ac:dyDescent="0.25">
      <c r="A31" s="4">
        <f t="shared" si="0"/>
        <v>15</v>
      </c>
      <c r="B31" s="5">
        <f t="shared" si="1"/>
        <v>46217</v>
      </c>
      <c r="C31" s="5">
        <f t="shared" si="2"/>
        <v>46223</v>
      </c>
      <c r="D31" s="6">
        <f t="shared" si="3"/>
        <v>35.6</v>
      </c>
      <c r="E31" s="6">
        <f>IF($A31="","",SUMIFS(Registro!$H$5:$H$80,Registro!$B$5:$B$80,$A31))</f>
        <v>82</v>
      </c>
      <c r="F31" s="6">
        <f t="shared" si="4"/>
        <v>46.4</v>
      </c>
      <c r="G31" s="6">
        <f>IF($A31="","",$C$7+SUM($D$22:D31))</f>
        <v>466.00000000000006</v>
      </c>
      <c r="H31" s="6">
        <f>IF($A31="","",$C$7+SUM($E$22:E31))</f>
        <v>475.85</v>
      </c>
      <c r="I31" s="4" t="str">
        <f t="shared" si="5"/>
        <v>En plazo</v>
      </c>
      <c r="K31" s="1" t="s">
        <v>33</v>
      </c>
      <c r="L31" s="8">
        <f>SUMIFS(Registro!$H$5:$H$80,Registro!$D$5:$D$80,K31)</f>
        <v>87.5</v>
      </c>
    </row>
    <row r="32" spans="1:18" ht="21.95" customHeight="1" x14ac:dyDescent="0.25">
      <c r="A32" s="4">
        <f t="shared" si="0"/>
        <v>16</v>
      </c>
      <c r="B32" s="5">
        <f t="shared" si="1"/>
        <v>46224</v>
      </c>
      <c r="C32" s="5">
        <f t="shared" si="2"/>
        <v>46230</v>
      </c>
      <c r="D32" s="6">
        <f t="shared" si="3"/>
        <v>35.6</v>
      </c>
      <c r="E32" s="6">
        <f>IF($A32="","",SUMIFS(Registro!$H$5:$H$80,Registro!$B$5:$B$80,$A32))</f>
        <v>17</v>
      </c>
      <c r="F32" s="6">
        <f t="shared" si="4"/>
        <v>-18.600000000000001</v>
      </c>
      <c r="G32" s="6">
        <f>IF($A32="","",$C$7+SUM($D$22:D32))</f>
        <v>501.60000000000008</v>
      </c>
      <c r="H32" s="6">
        <f>IF($A32="","",$C$7+SUM($E$22:E32))</f>
        <v>492.85</v>
      </c>
      <c r="I32" s="4" t="str">
        <f t="shared" si="5"/>
        <v>Vigilar</v>
      </c>
      <c r="K32" s="1" t="s">
        <v>34</v>
      </c>
      <c r="L32" s="8">
        <f>SUMIFS(Registro!$H$5:$H$80,Registro!$D$5:$D$80,K32)</f>
        <v>47</v>
      </c>
    </row>
    <row r="33" spans="1:12" ht="21.95" customHeight="1" x14ac:dyDescent="0.25">
      <c r="A33" s="4">
        <f t="shared" si="0"/>
        <v>17</v>
      </c>
      <c r="B33" s="5">
        <f t="shared" si="1"/>
        <v>46231</v>
      </c>
      <c r="C33" s="5">
        <f t="shared" si="2"/>
        <v>46237</v>
      </c>
      <c r="D33" s="6">
        <f t="shared" si="3"/>
        <v>35.6</v>
      </c>
      <c r="E33" s="6">
        <f>IF($A33="","",SUMIFS(Registro!$H$5:$H$80,Registro!$B$5:$B$80,$A33))</f>
        <v>0</v>
      </c>
      <c r="F33" s="6">
        <f t="shared" si="4"/>
        <v>-35.6</v>
      </c>
      <c r="G33" s="6">
        <f>IF($A33="","",$C$7+SUM($D$22:D33))</f>
        <v>537.20000000000005</v>
      </c>
      <c r="H33" s="6">
        <f>IF($A33="","",$C$7+SUM($E$22:E33))</f>
        <v>492.85</v>
      </c>
      <c r="I33" s="4" t="str">
        <f t="shared" si="5"/>
        <v>Vigilar</v>
      </c>
      <c r="K33" s="1" t="s">
        <v>35</v>
      </c>
      <c r="L33" s="8">
        <f>SUMIFS(Registro!$H$5:$H$80,Registro!$D$5:$D$80,K33)</f>
        <v>18.75</v>
      </c>
    </row>
    <row r="34" spans="1:12" ht="21.95" customHeight="1" x14ac:dyDescent="0.25">
      <c r="A34" s="4">
        <f t="shared" si="0"/>
        <v>18</v>
      </c>
      <c r="B34" s="5">
        <f t="shared" si="1"/>
        <v>46238</v>
      </c>
      <c r="C34" s="5">
        <f t="shared" si="2"/>
        <v>46244</v>
      </c>
      <c r="D34" s="6">
        <f t="shared" si="3"/>
        <v>35.6</v>
      </c>
      <c r="E34" s="6">
        <f>IF($A34="","",SUMIFS(Registro!$H$5:$H$80,Registro!$B$5:$B$80,$A34))</f>
        <v>40</v>
      </c>
      <c r="F34" s="6">
        <f t="shared" si="4"/>
        <v>4.3999999999999986</v>
      </c>
      <c r="G34" s="6">
        <f>IF($A34="","",$C$7+SUM($D$22:D34))</f>
        <v>572.80000000000018</v>
      </c>
      <c r="H34" s="6">
        <f>IF($A34="","",$C$7+SUM($E$22:E34))</f>
        <v>532.85</v>
      </c>
      <c r="I34" s="4" t="str">
        <f t="shared" si="5"/>
        <v>Vigilar</v>
      </c>
    </row>
    <row r="35" spans="1:12" ht="21.95" customHeight="1" x14ac:dyDescent="0.25">
      <c r="A35" s="4">
        <f t="shared" si="0"/>
        <v>19</v>
      </c>
      <c r="B35" s="5">
        <f t="shared" si="1"/>
        <v>46245</v>
      </c>
      <c r="C35" s="5">
        <f t="shared" si="2"/>
        <v>46251</v>
      </c>
      <c r="D35" s="6">
        <f t="shared" si="3"/>
        <v>35.6</v>
      </c>
      <c r="E35" s="6">
        <f>IF($A35="","",SUMIFS(Registro!$H$5:$H$80,Registro!$B$5:$B$80,$A35))</f>
        <v>32</v>
      </c>
      <c r="F35" s="6">
        <f t="shared" si="4"/>
        <v>-3.6000000000000014</v>
      </c>
      <c r="G35" s="6">
        <f>IF($A35="","",$C$7+SUM($D$22:D35))</f>
        <v>608.40000000000009</v>
      </c>
      <c r="H35" s="6">
        <f>IF($A35="","",$C$7+SUM($E$22:E35))</f>
        <v>564.85</v>
      </c>
      <c r="I35" s="4" t="str">
        <f t="shared" si="5"/>
        <v>Vigilar</v>
      </c>
    </row>
    <row r="36" spans="1:12" ht="21.95" customHeight="1" x14ac:dyDescent="0.25">
      <c r="A36" s="4">
        <f t="shared" si="0"/>
        <v>20</v>
      </c>
      <c r="B36" s="5">
        <f t="shared" si="1"/>
        <v>46252</v>
      </c>
      <c r="C36" s="5">
        <f t="shared" si="2"/>
        <v>46258</v>
      </c>
      <c r="D36" s="6">
        <f t="shared" si="3"/>
        <v>35.6</v>
      </c>
      <c r="E36" s="6">
        <f>IF($A36="","",SUMIFS(Registro!$H$5:$H$80,Registro!$B$5:$B$80,$A36))</f>
        <v>21</v>
      </c>
      <c r="F36" s="6">
        <f t="shared" si="4"/>
        <v>-14.600000000000001</v>
      </c>
      <c r="G36" s="6">
        <f>IF($A36="","",$C$7+SUM($D$22:D36))</f>
        <v>644.00000000000011</v>
      </c>
      <c r="H36" s="6">
        <f>IF($A36="","",$C$7+SUM($E$22:E36))</f>
        <v>585.85</v>
      </c>
      <c r="I36" s="4" t="str">
        <f t="shared" si="5"/>
        <v>Vigilar</v>
      </c>
    </row>
    <row r="37" spans="1:12" ht="21.95" customHeight="1" x14ac:dyDescent="0.25">
      <c r="A37" s="4">
        <f t="shared" si="0"/>
        <v>21</v>
      </c>
      <c r="B37" s="5">
        <f t="shared" si="1"/>
        <v>46259</v>
      </c>
      <c r="C37" s="5">
        <f t="shared" si="2"/>
        <v>46265</v>
      </c>
      <c r="D37" s="6">
        <f t="shared" si="3"/>
        <v>35.6</v>
      </c>
      <c r="E37" s="6">
        <f>IF($A37="","",SUMIFS(Registro!$H$5:$H$80,Registro!$B$5:$B$80,$A37))</f>
        <v>0</v>
      </c>
      <c r="F37" s="6">
        <f t="shared" si="4"/>
        <v>-35.6</v>
      </c>
      <c r="G37" s="6">
        <f>IF($A37="","",$C$7+SUM($D$22:D37))</f>
        <v>679.60000000000014</v>
      </c>
      <c r="H37" s="6">
        <f>IF($A37="","",$C$7+SUM($E$22:E37))</f>
        <v>585.85</v>
      </c>
      <c r="I37" s="4" t="str">
        <f t="shared" si="5"/>
        <v>Recuperar</v>
      </c>
    </row>
    <row r="38" spans="1:12" ht="21.95" customHeight="1" x14ac:dyDescent="0.25">
      <c r="A38" s="4">
        <f t="shared" si="0"/>
        <v>22</v>
      </c>
      <c r="B38" s="5">
        <f t="shared" si="1"/>
        <v>46266</v>
      </c>
      <c r="C38" s="5">
        <f t="shared" si="2"/>
        <v>46272</v>
      </c>
      <c r="D38" s="6">
        <f t="shared" si="3"/>
        <v>35.6</v>
      </c>
      <c r="E38" s="6">
        <f>IF($A38="","",SUMIFS(Registro!$H$5:$H$80,Registro!$B$5:$B$80,$A38))</f>
        <v>0</v>
      </c>
      <c r="F38" s="6">
        <f t="shared" si="4"/>
        <v>-35.6</v>
      </c>
      <c r="G38" s="6">
        <f>IF($A38="","",$C$7+SUM($D$22:D38))</f>
        <v>715.20000000000016</v>
      </c>
      <c r="H38" s="6">
        <f>IF($A38="","",$C$7+SUM($E$22:E38))</f>
        <v>585.85</v>
      </c>
      <c r="I38" s="4" t="str">
        <f t="shared" si="5"/>
        <v>Recuperar</v>
      </c>
    </row>
    <row r="39" spans="1:12" ht="21.95" customHeight="1" x14ac:dyDescent="0.25">
      <c r="A39" s="4">
        <f t="shared" si="0"/>
        <v>23</v>
      </c>
      <c r="B39" s="5">
        <f t="shared" si="1"/>
        <v>46273</v>
      </c>
      <c r="C39" s="5">
        <f t="shared" si="2"/>
        <v>46279</v>
      </c>
      <c r="D39" s="6">
        <f t="shared" si="3"/>
        <v>35.6</v>
      </c>
      <c r="E39" s="6">
        <f>IF($A39="","",SUMIFS(Registro!$H$5:$H$80,Registro!$B$5:$B$80,$A39))</f>
        <v>0</v>
      </c>
      <c r="F39" s="6">
        <f t="shared" si="4"/>
        <v>-35.6</v>
      </c>
      <c r="G39" s="6">
        <f>IF($A39="","",$C$7+SUM($D$22:D39))</f>
        <v>750.80000000000018</v>
      </c>
      <c r="H39" s="6">
        <f>IF($A39="","",$C$7+SUM($E$22:E39))</f>
        <v>585.85</v>
      </c>
      <c r="I39" s="4" t="str">
        <f t="shared" si="5"/>
        <v>Recuperar</v>
      </c>
    </row>
    <row r="40" spans="1:12" ht="21.95" customHeight="1" x14ac:dyDescent="0.25">
      <c r="A40" s="4">
        <f t="shared" si="0"/>
        <v>24</v>
      </c>
      <c r="B40" s="5">
        <f t="shared" si="1"/>
        <v>46280</v>
      </c>
      <c r="C40" s="5">
        <f t="shared" si="2"/>
        <v>46286</v>
      </c>
      <c r="D40" s="6">
        <f t="shared" si="3"/>
        <v>35.6</v>
      </c>
      <c r="E40" s="6">
        <f>IF($A40="","",SUMIFS(Registro!$H$5:$H$80,Registro!$B$5:$B$80,$A40))</f>
        <v>0</v>
      </c>
      <c r="F40" s="6">
        <f t="shared" si="4"/>
        <v>-35.6</v>
      </c>
      <c r="G40" s="6">
        <f>IF($A40="","",$C$7+SUM($D$22:D40))</f>
        <v>786.4000000000002</v>
      </c>
      <c r="H40" s="6">
        <f>IF($A40="","",$C$7+SUM($E$22:E40))</f>
        <v>585.85</v>
      </c>
      <c r="I40" s="4" t="str">
        <f t="shared" si="5"/>
        <v>Recuperar</v>
      </c>
    </row>
    <row r="41" spans="1:12" ht="21.95" customHeight="1" x14ac:dyDescent="0.25">
      <c r="A41" s="4">
        <f t="shared" si="0"/>
        <v>25</v>
      </c>
      <c r="B41" s="5">
        <f t="shared" si="1"/>
        <v>46287</v>
      </c>
      <c r="C41" s="5">
        <f t="shared" si="2"/>
        <v>46287</v>
      </c>
      <c r="D41" s="6">
        <f t="shared" si="3"/>
        <v>35.6</v>
      </c>
      <c r="E41" s="6">
        <f>IF($A41="","",SUMIFS(Registro!$H$5:$H$80,Registro!$B$5:$B$80,$A41))</f>
        <v>0</v>
      </c>
      <c r="F41" s="6">
        <f t="shared" si="4"/>
        <v>-35.6</v>
      </c>
      <c r="G41" s="6">
        <f>IF($A41="","",$C$7+SUM($D$22:D41))</f>
        <v>822.00000000000023</v>
      </c>
      <c r="H41" s="6">
        <f>IF($A41="","",$C$7+SUM($E$22:E41))</f>
        <v>585.85</v>
      </c>
      <c r="I41" s="4" t="str">
        <f t="shared" si="5"/>
        <v>Recuperar</v>
      </c>
    </row>
    <row r="42" spans="1:12" ht="21.95" customHeight="1" x14ac:dyDescent="0.25">
      <c r="A42" s="4" t="str">
        <f t="shared" si="0"/>
        <v/>
      </c>
      <c r="B42" s="5" t="str">
        <f t="shared" si="1"/>
        <v/>
      </c>
      <c r="C42" s="5" t="str">
        <f t="shared" si="2"/>
        <v/>
      </c>
      <c r="D42" s="6" t="str">
        <f t="shared" si="3"/>
        <v/>
      </c>
      <c r="E42" s="6" t="str">
        <f>IF($A42="","",SUMIFS(Registro!$H$5:$H$80,Registro!$B$5:$B$80,$A42))</f>
        <v/>
      </c>
      <c r="F42" s="6" t="str">
        <f t="shared" si="4"/>
        <v/>
      </c>
      <c r="G42" s="6" t="str">
        <f>IF($A42="","",$C$7+SUM($D$22:D42))</f>
        <v/>
      </c>
      <c r="H42" s="6" t="str">
        <f>IF($A42="","",$C$7+SUM($E$22:E42))</f>
        <v/>
      </c>
      <c r="I42" s="4" t="str">
        <f t="shared" si="5"/>
        <v/>
      </c>
    </row>
    <row r="43" spans="1:12" ht="21.95" customHeight="1" x14ac:dyDescent="0.25">
      <c r="A43" s="4" t="str">
        <f t="shared" si="0"/>
        <v/>
      </c>
      <c r="B43" s="5" t="str">
        <f t="shared" si="1"/>
        <v/>
      </c>
      <c r="C43" s="5" t="str">
        <f t="shared" si="2"/>
        <v/>
      </c>
      <c r="D43" s="6" t="str">
        <f t="shared" si="3"/>
        <v/>
      </c>
      <c r="E43" s="6" t="str">
        <f>IF($A43="","",SUMIFS(Registro!$H$5:$H$80,Registro!$B$5:$B$80,$A43))</f>
        <v/>
      </c>
      <c r="F43" s="6" t="str">
        <f t="shared" si="4"/>
        <v/>
      </c>
      <c r="G43" s="6" t="str">
        <f>IF($A43="","",$C$7+SUM($D$22:D43))</f>
        <v/>
      </c>
      <c r="H43" s="6" t="str">
        <f>IF($A43="","",$C$7+SUM($E$22:E43))</f>
        <v/>
      </c>
      <c r="I43" s="4" t="str">
        <f t="shared" si="5"/>
        <v/>
      </c>
    </row>
    <row r="44" spans="1:12" ht="21.95" customHeight="1" x14ac:dyDescent="0.25">
      <c r="A44" s="4" t="str">
        <f t="shared" si="0"/>
        <v/>
      </c>
      <c r="B44" s="5" t="str">
        <f t="shared" si="1"/>
        <v/>
      </c>
      <c r="C44" s="5" t="str">
        <f t="shared" si="2"/>
        <v/>
      </c>
      <c r="D44" s="6" t="str">
        <f t="shared" si="3"/>
        <v/>
      </c>
      <c r="E44" s="6" t="str">
        <f>IF($A44="","",SUMIFS(Registro!$H$5:$H$80,Registro!$B$5:$B$80,$A44))</f>
        <v/>
      </c>
      <c r="F44" s="6" t="str">
        <f t="shared" si="4"/>
        <v/>
      </c>
      <c r="G44" s="6" t="str">
        <f>IF($A44="","",$C$7+SUM($D$22:D44))</f>
        <v/>
      </c>
      <c r="H44" s="6" t="str">
        <f>IF($A44="","",$C$7+SUM($E$22:E44))</f>
        <v/>
      </c>
      <c r="I44" s="4" t="str">
        <f t="shared" si="5"/>
        <v/>
      </c>
    </row>
    <row r="45" spans="1:12" ht="21.95" customHeight="1" x14ac:dyDescent="0.25">
      <c r="A45" s="4" t="str">
        <f t="shared" si="0"/>
        <v/>
      </c>
      <c r="B45" s="5" t="str">
        <f t="shared" si="1"/>
        <v/>
      </c>
      <c r="C45" s="5" t="str">
        <f t="shared" si="2"/>
        <v/>
      </c>
      <c r="D45" s="6" t="str">
        <f t="shared" si="3"/>
        <v/>
      </c>
      <c r="E45" s="6" t="str">
        <f>IF($A45="","",SUMIFS(Registro!$H$5:$H$80,Registro!$B$5:$B$80,$A45))</f>
        <v/>
      </c>
      <c r="F45" s="6" t="str">
        <f t="shared" si="4"/>
        <v/>
      </c>
      <c r="G45" s="6" t="str">
        <f>IF($A45="","",$C$7+SUM($D$22:D45))</f>
        <v/>
      </c>
      <c r="H45" s="6" t="str">
        <f>IF($A45="","",$C$7+SUM($E$22:E45))</f>
        <v/>
      </c>
      <c r="I45" s="4" t="str">
        <f t="shared" si="5"/>
        <v/>
      </c>
    </row>
    <row r="46" spans="1:12" ht="21.95" customHeight="1" x14ac:dyDescent="0.25">
      <c r="A46" s="4" t="str">
        <f t="shared" si="0"/>
        <v/>
      </c>
      <c r="B46" s="5" t="str">
        <f t="shared" si="1"/>
        <v/>
      </c>
      <c r="C46" s="5" t="str">
        <f t="shared" si="2"/>
        <v/>
      </c>
      <c r="D46" s="6" t="str">
        <f t="shared" si="3"/>
        <v/>
      </c>
      <c r="E46" s="6" t="str">
        <f>IF($A46="","",SUMIFS(Registro!$H$5:$H$80,Registro!$B$5:$B$80,$A46))</f>
        <v/>
      </c>
      <c r="F46" s="6" t="str">
        <f t="shared" si="4"/>
        <v/>
      </c>
      <c r="G46" s="6" t="str">
        <f>IF($A46="","",$C$7+SUM($D$22:D46))</f>
        <v/>
      </c>
      <c r="H46" s="6" t="str">
        <f>IF($A46="","",$C$7+SUM($E$22:E46))</f>
        <v/>
      </c>
      <c r="I46" s="4" t="str">
        <f t="shared" si="5"/>
        <v/>
      </c>
    </row>
    <row r="47" spans="1:12" ht="21.95" customHeight="1" x14ac:dyDescent="0.25">
      <c r="A47" s="4" t="str">
        <f t="shared" si="0"/>
        <v/>
      </c>
      <c r="B47" s="5" t="str">
        <f t="shared" si="1"/>
        <v/>
      </c>
      <c r="C47" s="5" t="str">
        <f t="shared" si="2"/>
        <v/>
      </c>
      <c r="D47" s="6" t="str">
        <f t="shared" si="3"/>
        <v/>
      </c>
      <c r="E47" s="6" t="str">
        <f>IF($A47="","",SUMIFS(Registro!$H$5:$H$80,Registro!$B$5:$B$80,$A47))</f>
        <v/>
      </c>
      <c r="F47" s="6" t="str">
        <f t="shared" si="4"/>
        <v/>
      </c>
      <c r="G47" s="6" t="str">
        <f>IF($A47="","",$C$7+SUM($D$22:D47))</f>
        <v/>
      </c>
      <c r="H47" s="6" t="str">
        <f>IF($A47="","",$C$7+SUM($E$22:E47))</f>
        <v/>
      </c>
      <c r="I47" s="4" t="str">
        <f t="shared" si="5"/>
        <v/>
      </c>
    </row>
    <row r="48" spans="1:12" ht="21.95" customHeight="1" x14ac:dyDescent="0.25"/>
    <row r="49" spans="1:9" ht="21.95" customHeight="1" x14ac:dyDescent="0.25"/>
    <row r="50" spans="1:9" ht="21.95" customHeight="1" x14ac:dyDescent="0.25">
      <c r="A50" s="22" t="s">
        <v>36</v>
      </c>
      <c r="B50" s="23"/>
      <c r="C50" s="23"/>
      <c r="D50" s="23"/>
      <c r="E50" s="23"/>
      <c r="F50" s="23"/>
      <c r="G50" s="23"/>
      <c r="H50" s="23"/>
      <c r="I50" s="19"/>
    </row>
    <row r="51" spans="1:9" ht="21.95" customHeight="1" x14ac:dyDescent="0.25">
      <c r="A51" s="20"/>
      <c r="B51" s="24"/>
      <c r="C51" s="24"/>
      <c r="D51" s="24"/>
      <c r="E51" s="24"/>
      <c r="F51" s="24"/>
      <c r="G51" s="24"/>
      <c r="H51" s="24"/>
      <c r="I51" s="21"/>
    </row>
    <row r="52" spans="1:9" ht="21.95" customHeight="1" x14ac:dyDescent="0.25"/>
    <row r="53" spans="1:9" ht="21.95" customHeight="1" x14ac:dyDescent="0.25"/>
    <row r="54" spans="1:9" ht="21.95" customHeight="1" x14ac:dyDescent="0.25"/>
    <row r="55" spans="1:9" ht="21.95" customHeight="1" x14ac:dyDescent="0.25"/>
    <row r="56" spans="1:9" ht="21.95" customHeight="1" x14ac:dyDescent="0.25"/>
    <row r="57" spans="1:9" ht="21.95" customHeight="1" x14ac:dyDescent="0.25"/>
    <row r="58" spans="1:9" ht="21.95" customHeight="1" x14ac:dyDescent="0.25"/>
    <row r="59" spans="1:9" ht="21.95" customHeight="1" x14ac:dyDescent="0.25"/>
    <row r="60" spans="1:9" ht="21.95" customHeight="1" x14ac:dyDescent="0.25"/>
    <row r="61" spans="1:9" ht="21.95" customHeight="1" x14ac:dyDescent="0.25"/>
    <row r="62" spans="1:9" ht="21.95" customHeight="1" x14ac:dyDescent="0.25"/>
    <row r="63" spans="1:9" ht="21.95" customHeight="1" x14ac:dyDescent="0.25"/>
    <row r="64" spans="1:9" ht="21.95" customHeight="1" x14ac:dyDescent="0.25"/>
    <row r="65" ht="21.95" customHeight="1" x14ac:dyDescent="0.25"/>
    <row r="66" ht="21.95" customHeight="1" x14ac:dyDescent="0.25"/>
    <row r="67" ht="21.95" customHeight="1" x14ac:dyDescent="0.25"/>
    <row r="68" ht="21.95" customHeight="1" x14ac:dyDescent="0.25"/>
    <row r="69" ht="21.95" customHeight="1" x14ac:dyDescent="0.25"/>
    <row r="70" ht="21.95" customHeight="1" x14ac:dyDescent="0.25"/>
    <row r="71" ht="21.95" customHeight="1" x14ac:dyDescent="0.25"/>
    <row r="72" ht="21.95" customHeight="1" x14ac:dyDescent="0.25"/>
    <row r="73" ht="21.95" customHeight="1" x14ac:dyDescent="0.25"/>
    <row r="74" ht="21.95" customHeight="1" x14ac:dyDescent="0.25"/>
    <row r="75" ht="21.95" customHeight="1" x14ac:dyDescent="0.25"/>
    <row r="76" ht="21.95" customHeight="1" x14ac:dyDescent="0.25"/>
    <row r="77" ht="21.95" customHeight="1" x14ac:dyDescent="0.25"/>
    <row r="78" ht="21.95" customHeight="1" x14ac:dyDescent="0.25"/>
    <row r="79" ht="21.95" customHeight="1" x14ac:dyDescent="0.25"/>
  </sheetData>
  <mergeCells count="24">
    <mergeCell ref="A1:R1"/>
    <mergeCell ref="A4:F4"/>
    <mergeCell ref="N4:P4"/>
    <mergeCell ref="Q4:R4"/>
    <mergeCell ref="G8:R9"/>
    <mergeCell ref="A5:B5"/>
    <mergeCell ref="A6:B6"/>
    <mergeCell ref="A7:B7"/>
    <mergeCell ref="A8:B8"/>
    <mergeCell ref="A9:B9"/>
    <mergeCell ref="A20:I20"/>
    <mergeCell ref="Q5:R6"/>
    <mergeCell ref="A50:I51"/>
    <mergeCell ref="K4:M4"/>
    <mergeCell ref="A2:R2"/>
    <mergeCell ref="G5:I6"/>
    <mergeCell ref="K5:M6"/>
    <mergeCell ref="K20:R20"/>
    <mergeCell ref="G4:I4"/>
    <mergeCell ref="N5:P6"/>
    <mergeCell ref="A10:B10"/>
    <mergeCell ref="A11:B11"/>
    <mergeCell ref="A12:B12"/>
    <mergeCell ref="A13:B13"/>
  </mergeCells>
  <conditionalFormatting sqref="F22:F47">
    <cfRule type="cellIs" dxfId="7" priority="1" operator="lessThan">
      <formula>0</formula>
    </cfRule>
    <cfRule type="cellIs" dxfId="6" priority="2" operator="greaterThanOrEqual">
      <formula>0</formula>
    </cfRule>
  </conditionalFormatting>
  <conditionalFormatting sqref="I22:I47">
    <cfRule type="expression" dxfId="5" priority="3">
      <formula>$I22="En plazo"</formula>
    </cfRule>
    <cfRule type="expression" dxfId="4" priority="4">
      <formula>$I22="Vigilar"</formula>
    </cfRule>
    <cfRule type="expression" dxfId="3" priority="5">
      <formula>$I22="Recuperar"</formula>
    </cfRule>
  </conditionalFormatting>
  <conditionalFormatting sqref="K21:R25">
    <cfRule type="expression" dxfId="2" priority="81">
      <formula>K21&lt;=$G$5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9" customWidth="1"/>
    <col min="3" max="3" width="14" customWidth="1"/>
    <col min="4" max="4" width="18" customWidth="1"/>
    <col min="5" max="5" width="14" customWidth="1"/>
    <col min="6" max="6" width="28" customWidth="1"/>
    <col min="7" max="8" width="12" customWidth="1"/>
    <col min="9" max="9" width="18" customWidth="1"/>
  </cols>
  <sheetData>
    <row r="1" spans="1:9" ht="27.95" customHeight="1" x14ac:dyDescent="0.25">
      <c r="A1" s="31" t="s">
        <v>37</v>
      </c>
      <c r="B1" s="16"/>
      <c r="C1" s="16"/>
      <c r="D1" s="16"/>
      <c r="E1" s="16"/>
      <c r="F1" s="16"/>
      <c r="G1" s="16"/>
      <c r="H1" s="16"/>
      <c r="I1" s="17"/>
    </row>
    <row r="2" spans="1:9" ht="21" customHeight="1" x14ac:dyDescent="0.25">
      <c r="A2" s="32" t="s">
        <v>38</v>
      </c>
      <c r="B2" s="16"/>
      <c r="C2" s="16"/>
      <c r="D2" s="16"/>
      <c r="E2" s="16"/>
      <c r="F2" s="16"/>
      <c r="G2" s="16"/>
      <c r="H2" s="16"/>
      <c r="I2" s="17"/>
    </row>
    <row r="3" spans="1:9" ht="21" customHeight="1" x14ac:dyDescent="0.25"/>
    <row r="4" spans="1:9" ht="21" customHeight="1" x14ac:dyDescent="0.25">
      <c r="A4" s="7" t="s">
        <v>39</v>
      </c>
      <c r="B4" s="7" t="s">
        <v>19</v>
      </c>
      <c r="C4" s="7" t="s">
        <v>40</v>
      </c>
      <c r="D4" s="7" t="s">
        <v>41</v>
      </c>
      <c r="E4" s="7" t="s">
        <v>42</v>
      </c>
      <c r="F4" s="7" t="s">
        <v>43</v>
      </c>
      <c r="G4" s="7" t="s">
        <v>44</v>
      </c>
      <c r="H4" s="7" t="s">
        <v>45</v>
      </c>
      <c r="I4" s="7" t="s">
        <v>46</v>
      </c>
    </row>
    <row r="5" spans="1:9" ht="21" customHeight="1" x14ac:dyDescent="0.25">
      <c r="A5" s="9">
        <v>46119</v>
      </c>
      <c r="B5" s="10">
        <f>IF(A5="","",MAX(1,MIN('Plan 1000€'!$C$10,INT((A5-'Plan 1000€'!$C$8)/7)+1)))</f>
        <v>1</v>
      </c>
      <c r="C5" s="11" t="s">
        <v>47</v>
      </c>
      <c r="D5" s="11" t="s">
        <v>30</v>
      </c>
      <c r="E5" s="11" t="s">
        <v>48</v>
      </c>
      <c r="F5" s="11" t="s">
        <v>49</v>
      </c>
      <c r="G5" s="12">
        <v>35</v>
      </c>
      <c r="H5" s="13">
        <f t="shared" ref="H5:H36" si="0">IF(C5="","",IF(C5="Retirada",-G5,G5))</f>
        <v>35</v>
      </c>
      <c r="I5" s="11" t="s">
        <v>50</v>
      </c>
    </row>
    <row r="6" spans="1:9" ht="21" customHeight="1" x14ac:dyDescent="0.25">
      <c r="A6" s="9">
        <v>46124</v>
      </c>
      <c r="B6" s="10">
        <f>IF(A6="","",MAX(1,MIN('Plan 1000€'!$C$10,INT((A6-'Plan 1000€'!$C$8)/7)+1)))</f>
        <v>1</v>
      </c>
      <c r="C6" s="11" t="s">
        <v>47</v>
      </c>
      <c r="D6" s="11" t="s">
        <v>35</v>
      </c>
      <c r="E6" s="11" t="s">
        <v>51</v>
      </c>
      <c r="F6" s="11" t="s">
        <v>52</v>
      </c>
      <c r="G6" s="12">
        <v>8.4</v>
      </c>
      <c r="H6" s="13">
        <f t="shared" si="0"/>
        <v>8.4</v>
      </c>
      <c r="I6" s="11" t="s">
        <v>53</v>
      </c>
    </row>
    <row r="7" spans="1:9" ht="21" customHeight="1" x14ac:dyDescent="0.25">
      <c r="A7" s="9">
        <v>46130</v>
      </c>
      <c r="B7" s="10">
        <f>IF(A7="","",MAX(1,MIN('Plan 1000€'!$C$10,INT((A7-'Plan 1000€'!$C$8)/7)+1)))</f>
        <v>2</v>
      </c>
      <c r="C7" s="11" t="s">
        <v>47</v>
      </c>
      <c r="D7" s="11" t="s">
        <v>31</v>
      </c>
      <c r="E7" s="11" t="s">
        <v>54</v>
      </c>
      <c r="F7" s="11" t="s">
        <v>55</v>
      </c>
      <c r="G7" s="12">
        <v>55</v>
      </c>
      <c r="H7" s="13">
        <f t="shared" si="0"/>
        <v>55</v>
      </c>
      <c r="I7" s="11" t="s">
        <v>53</v>
      </c>
    </row>
    <row r="8" spans="1:9" ht="21" customHeight="1" x14ac:dyDescent="0.25">
      <c r="A8" s="9">
        <v>46136</v>
      </c>
      <c r="B8" s="10">
        <f>IF(A8="","",MAX(1,MIN('Plan 1000€'!$C$10,INT((A8-'Plan 1000€'!$C$8)/7)+1)))</f>
        <v>3</v>
      </c>
      <c r="C8" s="11" t="s">
        <v>47</v>
      </c>
      <c r="D8" s="11" t="s">
        <v>33</v>
      </c>
      <c r="E8" s="11" t="s">
        <v>56</v>
      </c>
      <c r="F8" s="11" t="s">
        <v>57</v>
      </c>
      <c r="G8" s="12">
        <v>26</v>
      </c>
      <c r="H8" s="13">
        <f t="shared" si="0"/>
        <v>26</v>
      </c>
      <c r="I8" s="11" t="s">
        <v>53</v>
      </c>
    </row>
    <row r="9" spans="1:9" ht="21" customHeight="1" x14ac:dyDescent="0.25">
      <c r="A9" s="9">
        <v>46144</v>
      </c>
      <c r="B9" s="10">
        <f>IF(A9="","",MAX(1,MIN('Plan 1000€'!$C$10,INT((A9-'Plan 1000€'!$C$8)/7)+1)))</f>
        <v>4</v>
      </c>
      <c r="C9" s="11" t="s">
        <v>47</v>
      </c>
      <c r="D9" s="11" t="s">
        <v>32</v>
      </c>
      <c r="E9" s="11" t="s">
        <v>48</v>
      </c>
      <c r="F9" s="11" t="s">
        <v>58</v>
      </c>
      <c r="G9" s="12">
        <v>60</v>
      </c>
      <c r="H9" s="13">
        <f t="shared" si="0"/>
        <v>60</v>
      </c>
      <c r="I9" s="11" t="s">
        <v>53</v>
      </c>
    </row>
    <row r="10" spans="1:9" ht="21" customHeight="1" x14ac:dyDescent="0.25">
      <c r="A10" s="9">
        <v>46148</v>
      </c>
      <c r="B10" s="10">
        <f>IF(A10="","",MAX(1,MIN('Plan 1000€'!$C$10,INT((A10-'Plan 1000€'!$C$8)/7)+1)))</f>
        <v>5</v>
      </c>
      <c r="C10" s="11" t="s">
        <v>59</v>
      </c>
      <c r="D10" s="11" t="s">
        <v>30</v>
      </c>
      <c r="E10" s="11" t="s">
        <v>56</v>
      </c>
      <c r="F10" s="11" t="s">
        <v>60</v>
      </c>
      <c r="G10" s="12">
        <v>24</v>
      </c>
      <c r="H10" s="13">
        <f t="shared" si="0"/>
        <v>-24</v>
      </c>
      <c r="I10" s="11" t="s">
        <v>61</v>
      </c>
    </row>
    <row r="11" spans="1:9" ht="21" customHeight="1" x14ac:dyDescent="0.25">
      <c r="A11" s="9">
        <v>46153</v>
      </c>
      <c r="B11" s="10">
        <f>IF(A11="","",MAX(1,MIN('Plan 1000€'!$C$10,INT((A11-'Plan 1000€'!$C$8)/7)+1)))</f>
        <v>5</v>
      </c>
      <c r="C11" s="11" t="s">
        <v>47</v>
      </c>
      <c r="D11" s="11" t="s">
        <v>30</v>
      </c>
      <c r="E11" s="11" t="s">
        <v>48</v>
      </c>
      <c r="F11" s="11" t="s">
        <v>62</v>
      </c>
      <c r="G11" s="12">
        <v>40</v>
      </c>
      <c r="H11" s="13">
        <f t="shared" si="0"/>
        <v>40</v>
      </c>
      <c r="I11" s="11" t="s">
        <v>53</v>
      </c>
    </row>
    <row r="12" spans="1:9" ht="21" customHeight="1" x14ac:dyDescent="0.25">
      <c r="A12" s="9">
        <v>46161</v>
      </c>
      <c r="B12" s="10">
        <f>IF(A12="","",MAX(1,MIN('Plan 1000€'!$C$10,INT((A12-'Plan 1000€'!$C$8)/7)+1)))</f>
        <v>7</v>
      </c>
      <c r="C12" s="11" t="s">
        <v>47</v>
      </c>
      <c r="D12" s="11" t="s">
        <v>34</v>
      </c>
      <c r="E12" s="11" t="s">
        <v>54</v>
      </c>
      <c r="F12" s="11" t="s">
        <v>63</v>
      </c>
      <c r="G12" s="12">
        <v>30</v>
      </c>
      <c r="H12" s="13">
        <f t="shared" si="0"/>
        <v>30</v>
      </c>
      <c r="I12" s="11" t="s">
        <v>53</v>
      </c>
    </row>
    <row r="13" spans="1:9" ht="21" customHeight="1" x14ac:dyDescent="0.25">
      <c r="A13" s="9">
        <v>46169</v>
      </c>
      <c r="B13" s="10">
        <f>IF(A13="","",MAX(1,MIN('Plan 1000€'!$C$10,INT((A13-'Plan 1000€'!$C$8)/7)+1)))</f>
        <v>8</v>
      </c>
      <c r="C13" s="11" t="s">
        <v>47</v>
      </c>
      <c r="D13" s="11" t="s">
        <v>33</v>
      </c>
      <c r="E13" s="11" t="s">
        <v>56</v>
      </c>
      <c r="F13" s="11" t="s">
        <v>64</v>
      </c>
      <c r="G13" s="12">
        <v>22</v>
      </c>
      <c r="H13" s="13">
        <f t="shared" si="0"/>
        <v>22</v>
      </c>
      <c r="I13" s="11" t="s">
        <v>53</v>
      </c>
    </row>
    <row r="14" spans="1:9" ht="21" customHeight="1" x14ac:dyDescent="0.25">
      <c r="A14" s="9">
        <v>46176</v>
      </c>
      <c r="B14" s="10">
        <f>IF(A14="","",MAX(1,MIN('Plan 1000€'!$C$10,INT((A14-'Plan 1000€'!$C$8)/7)+1)))</f>
        <v>9</v>
      </c>
      <c r="C14" s="11" t="s">
        <v>47</v>
      </c>
      <c r="D14" s="11" t="s">
        <v>32</v>
      </c>
      <c r="E14" s="11" t="s">
        <v>48</v>
      </c>
      <c r="F14" s="11" t="s">
        <v>65</v>
      </c>
      <c r="G14" s="12">
        <v>75</v>
      </c>
      <c r="H14" s="13">
        <f t="shared" si="0"/>
        <v>75</v>
      </c>
      <c r="I14" s="11" t="s">
        <v>53</v>
      </c>
    </row>
    <row r="15" spans="1:9" ht="21" customHeight="1" x14ac:dyDescent="0.25">
      <c r="A15" s="9">
        <v>46182</v>
      </c>
      <c r="B15" s="10">
        <f>IF(A15="","",MAX(1,MIN('Plan 1000€'!$C$10,INT((A15-'Plan 1000€'!$C$8)/7)+1)))</f>
        <v>10</v>
      </c>
      <c r="C15" s="11" t="s">
        <v>47</v>
      </c>
      <c r="D15" s="11" t="s">
        <v>30</v>
      </c>
      <c r="E15" s="11" t="s">
        <v>48</v>
      </c>
      <c r="F15" s="11" t="s">
        <v>62</v>
      </c>
      <c r="G15" s="12">
        <v>40</v>
      </c>
      <c r="H15" s="13">
        <f t="shared" si="0"/>
        <v>40</v>
      </c>
      <c r="I15" s="11" t="s">
        <v>53</v>
      </c>
    </row>
    <row r="16" spans="1:9" ht="21" customHeight="1" x14ac:dyDescent="0.25">
      <c r="A16" s="9">
        <v>46189</v>
      </c>
      <c r="B16" s="10">
        <f>IF(A16="","",MAX(1,MIN('Plan 1000€'!$C$10,INT((A16-'Plan 1000€'!$C$8)/7)+1)))</f>
        <v>11</v>
      </c>
      <c r="C16" s="11" t="s">
        <v>47</v>
      </c>
      <c r="D16" s="11" t="s">
        <v>31</v>
      </c>
      <c r="E16" s="11" t="s">
        <v>54</v>
      </c>
      <c r="F16" s="11" t="s">
        <v>66</v>
      </c>
      <c r="G16" s="12">
        <v>48</v>
      </c>
      <c r="H16" s="13">
        <f t="shared" si="0"/>
        <v>48</v>
      </c>
      <c r="I16" s="11" t="s">
        <v>53</v>
      </c>
    </row>
    <row r="17" spans="1:9" ht="21" customHeight="1" x14ac:dyDescent="0.25">
      <c r="A17" s="9">
        <v>46196</v>
      </c>
      <c r="B17" s="10">
        <f>IF(A17="","",MAX(1,MIN('Plan 1000€'!$C$10,INT((A17-'Plan 1000€'!$C$8)/7)+1)))</f>
        <v>12</v>
      </c>
      <c r="C17" s="11" t="s">
        <v>47</v>
      </c>
      <c r="D17" s="11" t="s">
        <v>35</v>
      </c>
      <c r="E17" s="11" t="s">
        <v>51</v>
      </c>
      <c r="F17" s="11" t="s">
        <v>67</v>
      </c>
      <c r="G17" s="12">
        <v>10.35</v>
      </c>
      <c r="H17" s="13">
        <f t="shared" si="0"/>
        <v>10.35</v>
      </c>
      <c r="I17" s="11" t="s">
        <v>53</v>
      </c>
    </row>
    <row r="18" spans="1:9" ht="21" customHeight="1" x14ac:dyDescent="0.25">
      <c r="A18" s="9">
        <v>46204</v>
      </c>
      <c r="B18" s="10">
        <f>IF(A18="","",MAX(1,MIN('Plan 1000€'!$C$10,INT((A18-'Plan 1000€'!$C$8)/7)+1)))</f>
        <v>13</v>
      </c>
      <c r="C18" s="11" t="s">
        <v>47</v>
      </c>
      <c r="D18" s="11" t="s">
        <v>30</v>
      </c>
      <c r="E18" s="11" t="s">
        <v>48</v>
      </c>
      <c r="F18" s="11" t="s">
        <v>62</v>
      </c>
      <c r="G18" s="12">
        <v>40</v>
      </c>
      <c r="H18" s="13">
        <f t="shared" si="0"/>
        <v>40</v>
      </c>
      <c r="I18" s="11" t="s">
        <v>53</v>
      </c>
    </row>
    <row r="19" spans="1:9" ht="21" customHeight="1" x14ac:dyDescent="0.25">
      <c r="A19" s="9">
        <v>46212</v>
      </c>
      <c r="B19" s="10">
        <f>IF(A19="","",MAX(1,MIN('Plan 1000€'!$C$10,INT((A19-'Plan 1000€'!$C$8)/7)+1)))</f>
        <v>14</v>
      </c>
      <c r="C19" s="11" t="s">
        <v>47</v>
      </c>
      <c r="D19" s="11" t="s">
        <v>33</v>
      </c>
      <c r="E19" s="11" t="s">
        <v>68</v>
      </c>
      <c r="F19" s="11" t="s">
        <v>69</v>
      </c>
      <c r="G19" s="12">
        <v>18.5</v>
      </c>
      <c r="H19" s="13">
        <f t="shared" si="0"/>
        <v>18.5</v>
      </c>
      <c r="I19" s="11" t="s">
        <v>53</v>
      </c>
    </row>
    <row r="20" spans="1:9" ht="21" customHeight="1" x14ac:dyDescent="0.25">
      <c r="A20" s="9">
        <v>46218</v>
      </c>
      <c r="B20" s="10">
        <f>IF(A20="","",MAX(1,MIN('Plan 1000€'!$C$10,INT((A20-'Plan 1000€'!$C$8)/7)+1)))</f>
        <v>15</v>
      </c>
      <c r="C20" s="11" t="s">
        <v>47</v>
      </c>
      <c r="D20" s="11" t="s">
        <v>32</v>
      </c>
      <c r="E20" s="11" t="s">
        <v>54</v>
      </c>
      <c r="F20" s="11" t="s">
        <v>70</v>
      </c>
      <c r="G20" s="12">
        <v>82</v>
      </c>
      <c r="H20" s="13">
        <f t="shared" si="0"/>
        <v>82</v>
      </c>
      <c r="I20" s="11" t="s">
        <v>53</v>
      </c>
    </row>
    <row r="21" spans="1:9" ht="21" customHeight="1" x14ac:dyDescent="0.25">
      <c r="A21" s="9">
        <v>46226</v>
      </c>
      <c r="B21" s="10">
        <f>IF(A21="","",MAX(1,MIN('Plan 1000€'!$C$10,INT((A21-'Plan 1000€'!$C$8)/7)+1)))</f>
        <v>16</v>
      </c>
      <c r="C21" s="11" t="s">
        <v>47</v>
      </c>
      <c r="D21" s="11" t="s">
        <v>34</v>
      </c>
      <c r="E21" s="11" t="s">
        <v>48</v>
      </c>
      <c r="F21" s="11" t="s">
        <v>71</v>
      </c>
      <c r="G21" s="12">
        <v>17</v>
      </c>
      <c r="H21" s="13">
        <f t="shared" si="0"/>
        <v>17</v>
      </c>
      <c r="I21" s="11" t="s">
        <v>53</v>
      </c>
    </row>
    <row r="22" spans="1:9" ht="21" customHeight="1" x14ac:dyDescent="0.25">
      <c r="A22" s="9">
        <v>46238</v>
      </c>
      <c r="B22" s="10">
        <f>IF(A22="","",MAX(1,MIN('Plan 1000€'!$C$10,INT((A22-'Plan 1000€'!$C$8)/7)+1)))</f>
        <v>18</v>
      </c>
      <c r="C22" s="11" t="s">
        <v>47</v>
      </c>
      <c r="D22" s="11" t="s">
        <v>30</v>
      </c>
      <c r="E22" s="11" t="s">
        <v>48</v>
      </c>
      <c r="F22" s="11" t="s">
        <v>62</v>
      </c>
      <c r="G22" s="12">
        <v>40</v>
      </c>
      <c r="H22" s="13">
        <f t="shared" si="0"/>
        <v>40</v>
      </c>
      <c r="I22" s="11" t="s">
        <v>53</v>
      </c>
    </row>
    <row r="23" spans="1:9" ht="21" customHeight="1" x14ac:dyDescent="0.25">
      <c r="A23" s="9">
        <v>46247</v>
      </c>
      <c r="B23" s="10">
        <f>IF(A23="","",MAX(1,MIN('Plan 1000€'!$C$10,INT((A23-'Plan 1000€'!$C$8)/7)+1)))</f>
        <v>19</v>
      </c>
      <c r="C23" s="11" t="s">
        <v>47</v>
      </c>
      <c r="D23" s="11" t="s">
        <v>31</v>
      </c>
      <c r="E23" s="11" t="s">
        <v>54</v>
      </c>
      <c r="F23" s="11" t="s">
        <v>72</v>
      </c>
      <c r="G23" s="12">
        <v>32</v>
      </c>
      <c r="H23" s="13">
        <f t="shared" si="0"/>
        <v>32</v>
      </c>
      <c r="I23" s="11" t="s">
        <v>53</v>
      </c>
    </row>
    <row r="24" spans="1:9" ht="21" customHeight="1" x14ac:dyDescent="0.25">
      <c r="A24" s="9">
        <v>46255</v>
      </c>
      <c r="B24" s="10">
        <f>IF(A24="","",MAX(1,MIN('Plan 1000€'!$C$10,INT((A24-'Plan 1000€'!$C$8)/7)+1)))</f>
        <v>20</v>
      </c>
      <c r="C24" s="11" t="s">
        <v>47</v>
      </c>
      <c r="D24" s="11" t="s">
        <v>33</v>
      </c>
      <c r="E24" s="11" t="s">
        <v>56</v>
      </c>
      <c r="F24" s="11" t="s">
        <v>73</v>
      </c>
      <c r="G24" s="12">
        <v>21</v>
      </c>
      <c r="H24" s="13">
        <f t="shared" si="0"/>
        <v>21</v>
      </c>
      <c r="I24" s="11" t="s">
        <v>53</v>
      </c>
    </row>
    <row r="25" spans="1:9" ht="21" customHeight="1" x14ac:dyDescent="0.25">
      <c r="A25" s="9"/>
      <c r="B25" s="10" t="str">
        <f>IF(A25="","",MAX(1,MIN('Plan 1000€'!$C$10,INT((A25-'Plan 1000€'!$C$8)/7)+1)))</f>
        <v/>
      </c>
      <c r="C25" s="11"/>
      <c r="D25" s="11"/>
      <c r="E25" s="11"/>
      <c r="F25" s="11"/>
      <c r="G25" s="12"/>
      <c r="H25" s="13" t="str">
        <f t="shared" si="0"/>
        <v/>
      </c>
      <c r="I25" s="11"/>
    </row>
    <row r="26" spans="1:9" ht="21" customHeight="1" x14ac:dyDescent="0.25">
      <c r="A26" s="9"/>
      <c r="B26" s="10" t="str">
        <f>IF(A26="","",MAX(1,MIN('Plan 1000€'!$C$10,INT((A26-'Plan 1000€'!$C$8)/7)+1)))</f>
        <v/>
      </c>
      <c r="C26" s="11"/>
      <c r="D26" s="11"/>
      <c r="E26" s="11"/>
      <c r="F26" s="11"/>
      <c r="G26" s="12"/>
      <c r="H26" s="13" t="str">
        <f t="shared" si="0"/>
        <v/>
      </c>
      <c r="I26" s="11"/>
    </row>
    <row r="27" spans="1:9" ht="21" customHeight="1" x14ac:dyDescent="0.25">
      <c r="A27" s="9"/>
      <c r="B27" s="10" t="str">
        <f>IF(A27="","",MAX(1,MIN('Plan 1000€'!$C$10,INT((A27-'Plan 1000€'!$C$8)/7)+1)))</f>
        <v/>
      </c>
      <c r="C27" s="11"/>
      <c r="D27" s="11"/>
      <c r="E27" s="11"/>
      <c r="F27" s="11"/>
      <c r="G27" s="12"/>
      <c r="H27" s="13" t="str">
        <f t="shared" si="0"/>
        <v/>
      </c>
      <c r="I27" s="11"/>
    </row>
    <row r="28" spans="1:9" ht="21" customHeight="1" x14ac:dyDescent="0.25">
      <c r="A28" s="9"/>
      <c r="B28" s="10" t="str">
        <f>IF(A28="","",MAX(1,MIN('Plan 1000€'!$C$10,INT((A28-'Plan 1000€'!$C$8)/7)+1)))</f>
        <v/>
      </c>
      <c r="C28" s="11"/>
      <c r="D28" s="11"/>
      <c r="E28" s="11"/>
      <c r="F28" s="11"/>
      <c r="G28" s="12"/>
      <c r="H28" s="13" t="str">
        <f t="shared" si="0"/>
        <v/>
      </c>
      <c r="I28" s="11"/>
    </row>
    <row r="29" spans="1:9" ht="21" customHeight="1" x14ac:dyDescent="0.25">
      <c r="A29" s="9"/>
      <c r="B29" s="10" t="str">
        <f>IF(A29="","",MAX(1,MIN('Plan 1000€'!$C$10,INT((A29-'Plan 1000€'!$C$8)/7)+1)))</f>
        <v/>
      </c>
      <c r="C29" s="11"/>
      <c r="D29" s="11"/>
      <c r="E29" s="11"/>
      <c r="F29" s="11"/>
      <c r="G29" s="12"/>
      <c r="H29" s="13" t="str">
        <f t="shared" si="0"/>
        <v/>
      </c>
      <c r="I29" s="11"/>
    </row>
    <row r="30" spans="1:9" ht="21" customHeight="1" x14ac:dyDescent="0.25">
      <c r="A30" s="9"/>
      <c r="B30" s="10" t="str">
        <f>IF(A30="","",MAX(1,MIN('Plan 1000€'!$C$10,INT((A30-'Plan 1000€'!$C$8)/7)+1)))</f>
        <v/>
      </c>
      <c r="C30" s="11"/>
      <c r="D30" s="11"/>
      <c r="E30" s="11"/>
      <c r="F30" s="11"/>
      <c r="G30" s="12"/>
      <c r="H30" s="13" t="str">
        <f t="shared" si="0"/>
        <v/>
      </c>
      <c r="I30" s="11"/>
    </row>
    <row r="31" spans="1:9" ht="21" customHeight="1" x14ac:dyDescent="0.25">
      <c r="A31" s="9"/>
      <c r="B31" s="10" t="str">
        <f>IF(A31="","",MAX(1,MIN('Plan 1000€'!$C$10,INT((A31-'Plan 1000€'!$C$8)/7)+1)))</f>
        <v/>
      </c>
      <c r="C31" s="11"/>
      <c r="D31" s="11"/>
      <c r="E31" s="11"/>
      <c r="F31" s="11"/>
      <c r="G31" s="12"/>
      <c r="H31" s="13" t="str">
        <f t="shared" si="0"/>
        <v/>
      </c>
      <c r="I31" s="11"/>
    </row>
    <row r="32" spans="1:9" ht="21" customHeight="1" x14ac:dyDescent="0.25">
      <c r="A32" s="9"/>
      <c r="B32" s="10" t="str">
        <f>IF(A32="","",MAX(1,MIN('Plan 1000€'!$C$10,INT((A32-'Plan 1000€'!$C$8)/7)+1)))</f>
        <v/>
      </c>
      <c r="C32" s="11"/>
      <c r="D32" s="11"/>
      <c r="E32" s="11"/>
      <c r="F32" s="11"/>
      <c r="G32" s="12"/>
      <c r="H32" s="13" t="str">
        <f t="shared" si="0"/>
        <v/>
      </c>
      <c r="I32" s="11"/>
    </row>
    <row r="33" spans="1:9" ht="21" customHeight="1" x14ac:dyDescent="0.25">
      <c r="A33" s="9"/>
      <c r="B33" s="10" t="str">
        <f>IF(A33="","",MAX(1,MIN('Plan 1000€'!$C$10,INT((A33-'Plan 1000€'!$C$8)/7)+1)))</f>
        <v/>
      </c>
      <c r="C33" s="11"/>
      <c r="D33" s="11"/>
      <c r="E33" s="11"/>
      <c r="F33" s="11"/>
      <c r="G33" s="12"/>
      <c r="H33" s="13" t="str">
        <f t="shared" si="0"/>
        <v/>
      </c>
      <c r="I33" s="11"/>
    </row>
    <row r="34" spans="1:9" ht="21" customHeight="1" x14ac:dyDescent="0.25">
      <c r="A34" s="9"/>
      <c r="B34" s="10" t="str">
        <f>IF(A34="","",MAX(1,MIN('Plan 1000€'!$C$10,INT((A34-'Plan 1000€'!$C$8)/7)+1)))</f>
        <v/>
      </c>
      <c r="C34" s="11"/>
      <c r="D34" s="11"/>
      <c r="E34" s="11"/>
      <c r="F34" s="11"/>
      <c r="G34" s="12"/>
      <c r="H34" s="13" t="str">
        <f t="shared" si="0"/>
        <v/>
      </c>
      <c r="I34" s="11"/>
    </row>
    <row r="35" spans="1:9" ht="21" customHeight="1" x14ac:dyDescent="0.25">
      <c r="A35" s="9"/>
      <c r="B35" s="10" t="str">
        <f>IF(A35="","",MAX(1,MIN('Plan 1000€'!$C$10,INT((A35-'Plan 1000€'!$C$8)/7)+1)))</f>
        <v/>
      </c>
      <c r="C35" s="11"/>
      <c r="D35" s="11"/>
      <c r="E35" s="11"/>
      <c r="F35" s="11"/>
      <c r="G35" s="12"/>
      <c r="H35" s="13" t="str">
        <f t="shared" si="0"/>
        <v/>
      </c>
      <c r="I35" s="11"/>
    </row>
    <row r="36" spans="1:9" ht="21" customHeight="1" x14ac:dyDescent="0.25">
      <c r="A36" s="9"/>
      <c r="B36" s="10" t="str">
        <f>IF(A36="","",MAX(1,MIN('Plan 1000€'!$C$10,INT((A36-'Plan 1000€'!$C$8)/7)+1)))</f>
        <v/>
      </c>
      <c r="C36" s="11"/>
      <c r="D36" s="11"/>
      <c r="E36" s="11"/>
      <c r="F36" s="11"/>
      <c r="G36" s="12"/>
      <c r="H36" s="13" t="str">
        <f t="shared" si="0"/>
        <v/>
      </c>
      <c r="I36" s="11"/>
    </row>
    <row r="37" spans="1:9" ht="21" customHeight="1" x14ac:dyDescent="0.25">
      <c r="A37" s="9"/>
      <c r="B37" s="10" t="str">
        <f>IF(A37="","",MAX(1,MIN('Plan 1000€'!$C$10,INT((A37-'Plan 1000€'!$C$8)/7)+1)))</f>
        <v/>
      </c>
      <c r="C37" s="11"/>
      <c r="D37" s="11"/>
      <c r="E37" s="11"/>
      <c r="F37" s="11"/>
      <c r="G37" s="12"/>
      <c r="H37" s="13" t="str">
        <f t="shared" ref="H37:H68" si="1">IF(C37="","",IF(C37="Retirada",-G37,G37))</f>
        <v/>
      </c>
      <c r="I37" s="11"/>
    </row>
    <row r="38" spans="1:9" ht="21" customHeight="1" x14ac:dyDescent="0.25">
      <c r="A38" s="9"/>
      <c r="B38" s="10" t="str">
        <f>IF(A38="","",MAX(1,MIN('Plan 1000€'!$C$10,INT((A38-'Plan 1000€'!$C$8)/7)+1)))</f>
        <v/>
      </c>
      <c r="C38" s="11"/>
      <c r="D38" s="11"/>
      <c r="E38" s="11"/>
      <c r="F38" s="11"/>
      <c r="G38" s="12"/>
      <c r="H38" s="13" t="str">
        <f t="shared" si="1"/>
        <v/>
      </c>
      <c r="I38" s="11"/>
    </row>
    <row r="39" spans="1:9" ht="21" customHeight="1" x14ac:dyDescent="0.25">
      <c r="A39" s="9"/>
      <c r="B39" s="10" t="str">
        <f>IF(A39="","",MAX(1,MIN('Plan 1000€'!$C$10,INT((A39-'Plan 1000€'!$C$8)/7)+1)))</f>
        <v/>
      </c>
      <c r="C39" s="11"/>
      <c r="D39" s="11"/>
      <c r="E39" s="11"/>
      <c r="F39" s="11"/>
      <c r="G39" s="12"/>
      <c r="H39" s="13" t="str">
        <f t="shared" si="1"/>
        <v/>
      </c>
      <c r="I39" s="11"/>
    </row>
    <row r="40" spans="1:9" ht="21" customHeight="1" x14ac:dyDescent="0.25">
      <c r="A40" s="9"/>
      <c r="B40" s="10" t="str">
        <f>IF(A40="","",MAX(1,MIN('Plan 1000€'!$C$10,INT((A40-'Plan 1000€'!$C$8)/7)+1)))</f>
        <v/>
      </c>
      <c r="C40" s="11"/>
      <c r="D40" s="11"/>
      <c r="E40" s="11"/>
      <c r="F40" s="11"/>
      <c r="G40" s="12"/>
      <c r="H40" s="13" t="str">
        <f t="shared" si="1"/>
        <v/>
      </c>
      <c r="I40" s="11"/>
    </row>
    <row r="41" spans="1:9" ht="21" customHeight="1" x14ac:dyDescent="0.25">
      <c r="A41" s="9"/>
      <c r="B41" s="10" t="str">
        <f>IF(A41="","",MAX(1,MIN('Plan 1000€'!$C$10,INT((A41-'Plan 1000€'!$C$8)/7)+1)))</f>
        <v/>
      </c>
      <c r="C41" s="11"/>
      <c r="D41" s="11"/>
      <c r="E41" s="11"/>
      <c r="F41" s="11"/>
      <c r="G41" s="12"/>
      <c r="H41" s="13" t="str">
        <f t="shared" si="1"/>
        <v/>
      </c>
      <c r="I41" s="11"/>
    </row>
    <row r="42" spans="1:9" ht="21" customHeight="1" x14ac:dyDescent="0.25">
      <c r="A42" s="9"/>
      <c r="B42" s="10" t="str">
        <f>IF(A42="","",MAX(1,MIN('Plan 1000€'!$C$10,INT((A42-'Plan 1000€'!$C$8)/7)+1)))</f>
        <v/>
      </c>
      <c r="C42" s="11"/>
      <c r="D42" s="11"/>
      <c r="E42" s="11"/>
      <c r="F42" s="11"/>
      <c r="G42" s="12"/>
      <c r="H42" s="13" t="str">
        <f t="shared" si="1"/>
        <v/>
      </c>
      <c r="I42" s="11"/>
    </row>
    <row r="43" spans="1:9" ht="21" customHeight="1" x14ac:dyDescent="0.25">
      <c r="A43" s="9"/>
      <c r="B43" s="10" t="str">
        <f>IF(A43="","",MAX(1,MIN('Plan 1000€'!$C$10,INT((A43-'Plan 1000€'!$C$8)/7)+1)))</f>
        <v/>
      </c>
      <c r="C43" s="11"/>
      <c r="D43" s="11"/>
      <c r="E43" s="11"/>
      <c r="F43" s="11"/>
      <c r="G43" s="12"/>
      <c r="H43" s="13" t="str">
        <f t="shared" si="1"/>
        <v/>
      </c>
      <c r="I43" s="11"/>
    </row>
    <row r="44" spans="1:9" ht="21" customHeight="1" x14ac:dyDescent="0.25">
      <c r="A44" s="9"/>
      <c r="B44" s="10" t="str">
        <f>IF(A44="","",MAX(1,MIN('Plan 1000€'!$C$10,INT((A44-'Plan 1000€'!$C$8)/7)+1)))</f>
        <v/>
      </c>
      <c r="C44" s="11"/>
      <c r="D44" s="11"/>
      <c r="E44" s="11"/>
      <c r="F44" s="11"/>
      <c r="G44" s="12"/>
      <c r="H44" s="13" t="str">
        <f t="shared" si="1"/>
        <v/>
      </c>
      <c r="I44" s="11"/>
    </row>
    <row r="45" spans="1:9" ht="21" customHeight="1" x14ac:dyDescent="0.25">
      <c r="A45" s="9"/>
      <c r="B45" s="10" t="str">
        <f>IF(A45="","",MAX(1,MIN('Plan 1000€'!$C$10,INT((A45-'Plan 1000€'!$C$8)/7)+1)))</f>
        <v/>
      </c>
      <c r="C45" s="11"/>
      <c r="D45" s="11"/>
      <c r="E45" s="11"/>
      <c r="F45" s="11"/>
      <c r="G45" s="12"/>
      <c r="H45" s="13" t="str">
        <f t="shared" si="1"/>
        <v/>
      </c>
      <c r="I45" s="11"/>
    </row>
    <row r="46" spans="1:9" ht="21" customHeight="1" x14ac:dyDescent="0.25">
      <c r="A46" s="9"/>
      <c r="B46" s="10" t="str">
        <f>IF(A46="","",MAX(1,MIN('Plan 1000€'!$C$10,INT((A46-'Plan 1000€'!$C$8)/7)+1)))</f>
        <v/>
      </c>
      <c r="C46" s="11"/>
      <c r="D46" s="11"/>
      <c r="E46" s="11"/>
      <c r="F46" s="11"/>
      <c r="G46" s="12"/>
      <c r="H46" s="13" t="str">
        <f t="shared" si="1"/>
        <v/>
      </c>
      <c r="I46" s="11"/>
    </row>
    <row r="47" spans="1:9" ht="21" customHeight="1" x14ac:dyDescent="0.25">
      <c r="A47" s="9"/>
      <c r="B47" s="10" t="str">
        <f>IF(A47="","",MAX(1,MIN('Plan 1000€'!$C$10,INT((A47-'Plan 1000€'!$C$8)/7)+1)))</f>
        <v/>
      </c>
      <c r="C47" s="11"/>
      <c r="D47" s="11"/>
      <c r="E47" s="11"/>
      <c r="F47" s="11"/>
      <c r="G47" s="12"/>
      <c r="H47" s="13" t="str">
        <f t="shared" si="1"/>
        <v/>
      </c>
      <c r="I47" s="11"/>
    </row>
    <row r="48" spans="1:9" ht="21" customHeight="1" x14ac:dyDescent="0.25">
      <c r="A48" s="9"/>
      <c r="B48" s="10" t="str">
        <f>IF(A48="","",MAX(1,MIN('Plan 1000€'!$C$10,INT((A48-'Plan 1000€'!$C$8)/7)+1)))</f>
        <v/>
      </c>
      <c r="C48" s="11"/>
      <c r="D48" s="11"/>
      <c r="E48" s="11"/>
      <c r="F48" s="11"/>
      <c r="G48" s="12"/>
      <c r="H48" s="13" t="str">
        <f t="shared" si="1"/>
        <v/>
      </c>
      <c r="I48" s="11"/>
    </row>
    <row r="49" spans="1:9" ht="21" customHeight="1" x14ac:dyDescent="0.25">
      <c r="A49" s="9"/>
      <c r="B49" s="10" t="str">
        <f>IF(A49="","",MAX(1,MIN('Plan 1000€'!$C$10,INT((A49-'Plan 1000€'!$C$8)/7)+1)))</f>
        <v/>
      </c>
      <c r="C49" s="11"/>
      <c r="D49" s="11"/>
      <c r="E49" s="11"/>
      <c r="F49" s="11"/>
      <c r="G49" s="12"/>
      <c r="H49" s="13" t="str">
        <f t="shared" si="1"/>
        <v/>
      </c>
      <c r="I49" s="11"/>
    </row>
    <row r="50" spans="1:9" ht="21" customHeight="1" x14ac:dyDescent="0.25">
      <c r="A50" s="9"/>
      <c r="B50" s="10" t="str">
        <f>IF(A50="","",MAX(1,MIN('Plan 1000€'!$C$10,INT((A50-'Plan 1000€'!$C$8)/7)+1)))</f>
        <v/>
      </c>
      <c r="C50" s="11"/>
      <c r="D50" s="11"/>
      <c r="E50" s="11"/>
      <c r="F50" s="11"/>
      <c r="G50" s="12"/>
      <c r="H50" s="13" t="str">
        <f t="shared" si="1"/>
        <v/>
      </c>
      <c r="I50" s="11"/>
    </row>
    <row r="51" spans="1:9" ht="21" customHeight="1" x14ac:dyDescent="0.25">
      <c r="A51" s="9"/>
      <c r="B51" s="10" t="str">
        <f>IF(A51="","",MAX(1,MIN('Plan 1000€'!$C$10,INT((A51-'Plan 1000€'!$C$8)/7)+1)))</f>
        <v/>
      </c>
      <c r="C51" s="11"/>
      <c r="D51" s="11"/>
      <c r="E51" s="11"/>
      <c r="F51" s="11"/>
      <c r="G51" s="12"/>
      <c r="H51" s="13" t="str">
        <f t="shared" si="1"/>
        <v/>
      </c>
      <c r="I51" s="11"/>
    </row>
    <row r="52" spans="1:9" ht="21" customHeight="1" x14ac:dyDescent="0.25">
      <c r="A52" s="9"/>
      <c r="B52" s="10" t="str">
        <f>IF(A52="","",MAX(1,MIN('Plan 1000€'!$C$10,INT((A52-'Plan 1000€'!$C$8)/7)+1)))</f>
        <v/>
      </c>
      <c r="C52" s="11"/>
      <c r="D52" s="11"/>
      <c r="E52" s="11"/>
      <c r="F52" s="11"/>
      <c r="G52" s="12"/>
      <c r="H52" s="13" t="str">
        <f t="shared" si="1"/>
        <v/>
      </c>
      <c r="I52" s="11"/>
    </row>
    <row r="53" spans="1:9" ht="21" customHeight="1" x14ac:dyDescent="0.25">
      <c r="A53" s="9"/>
      <c r="B53" s="10" t="str">
        <f>IF(A53="","",MAX(1,MIN('Plan 1000€'!$C$10,INT((A53-'Plan 1000€'!$C$8)/7)+1)))</f>
        <v/>
      </c>
      <c r="C53" s="11"/>
      <c r="D53" s="11"/>
      <c r="E53" s="11"/>
      <c r="F53" s="11"/>
      <c r="G53" s="12"/>
      <c r="H53" s="13" t="str">
        <f t="shared" si="1"/>
        <v/>
      </c>
      <c r="I53" s="11"/>
    </row>
    <row r="54" spans="1:9" ht="21" customHeight="1" x14ac:dyDescent="0.25">
      <c r="A54" s="9"/>
      <c r="B54" s="10" t="str">
        <f>IF(A54="","",MAX(1,MIN('Plan 1000€'!$C$10,INT((A54-'Plan 1000€'!$C$8)/7)+1)))</f>
        <v/>
      </c>
      <c r="C54" s="11"/>
      <c r="D54" s="11"/>
      <c r="E54" s="11"/>
      <c r="F54" s="11"/>
      <c r="G54" s="12"/>
      <c r="H54" s="13" t="str">
        <f t="shared" si="1"/>
        <v/>
      </c>
      <c r="I54" s="11"/>
    </row>
    <row r="55" spans="1:9" ht="21" customHeight="1" x14ac:dyDescent="0.25">
      <c r="A55" s="9"/>
      <c r="B55" s="10" t="str">
        <f>IF(A55="","",MAX(1,MIN('Plan 1000€'!$C$10,INT((A55-'Plan 1000€'!$C$8)/7)+1)))</f>
        <v/>
      </c>
      <c r="C55" s="11"/>
      <c r="D55" s="11"/>
      <c r="E55" s="11"/>
      <c r="F55" s="11"/>
      <c r="G55" s="12"/>
      <c r="H55" s="13" t="str">
        <f t="shared" si="1"/>
        <v/>
      </c>
      <c r="I55" s="11"/>
    </row>
    <row r="56" spans="1:9" ht="21" customHeight="1" x14ac:dyDescent="0.25">
      <c r="A56" s="9"/>
      <c r="B56" s="10" t="str">
        <f>IF(A56="","",MAX(1,MIN('Plan 1000€'!$C$10,INT((A56-'Plan 1000€'!$C$8)/7)+1)))</f>
        <v/>
      </c>
      <c r="C56" s="11"/>
      <c r="D56" s="11"/>
      <c r="E56" s="11"/>
      <c r="F56" s="11"/>
      <c r="G56" s="12"/>
      <c r="H56" s="13" t="str">
        <f t="shared" si="1"/>
        <v/>
      </c>
      <c r="I56" s="11"/>
    </row>
    <row r="57" spans="1:9" ht="21" customHeight="1" x14ac:dyDescent="0.25">
      <c r="A57" s="9"/>
      <c r="B57" s="10" t="str">
        <f>IF(A57="","",MAX(1,MIN('Plan 1000€'!$C$10,INT((A57-'Plan 1000€'!$C$8)/7)+1)))</f>
        <v/>
      </c>
      <c r="C57" s="11"/>
      <c r="D57" s="11"/>
      <c r="E57" s="11"/>
      <c r="F57" s="11"/>
      <c r="G57" s="12"/>
      <c r="H57" s="13" t="str">
        <f t="shared" si="1"/>
        <v/>
      </c>
      <c r="I57" s="11"/>
    </row>
    <row r="58" spans="1:9" ht="21" customHeight="1" x14ac:dyDescent="0.25">
      <c r="A58" s="9"/>
      <c r="B58" s="10" t="str">
        <f>IF(A58="","",MAX(1,MIN('Plan 1000€'!$C$10,INT((A58-'Plan 1000€'!$C$8)/7)+1)))</f>
        <v/>
      </c>
      <c r="C58" s="11"/>
      <c r="D58" s="11"/>
      <c r="E58" s="11"/>
      <c r="F58" s="11"/>
      <c r="G58" s="12"/>
      <c r="H58" s="13" t="str">
        <f t="shared" si="1"/>
        <v/>
      </c>
      <c r="I58" s="11"/>
    </row>
    <row r="59" spans="1:9" ht="21" customHeight="1" x14ac:dyDescent="0.25">
      <c r="A59" s="9"/>
      <c r="B59" s="10" t="str">
        <f>IF(A59="","",MAX(1,MIN('Plan 1000€'!$C$10,INT((A59-'Plan 1000€'!$C$8)/7)+1)))</f>
        <v/>
      </c>
      <c r="C59" s="11"/>
      <c r="D59" s="11"/>
      <c r="E59" s="11"/>
      <c r="F59" s="11"/>
      <c r="G59" s="12"/>
      <c r="H59" s="13" t="str">
        <f t="shared" si="1"/>
        <v/>
      </c>
      <c r="I59" s="11"/>
    </row>
    <row r="60" spans="1:9" ht="21" customHeight="1" x14ac:dyDescent="0.25">
      <c r="A60" s="9"/>
      <c r="B60" s="10" t="str">
        <f>IF(A60="","",MAX(1,MIN('Plan 1000€'!$C$10,INT((A60-'Plan 1000€'!$C$8)/7)+1)))</f>
        <v/>
      </c>
      <c r="C60" s="11"/>
      <c r="D60" s="11"/>
      <c r="E60" s="11"/>
      <c r="F60" s="11"/>
      <c r="G60" s="12"/>
      <c r="H60" s="13" t="str">
        <f t="shared" si="1"/>
        <v/>
      </c>
      <c r="I60" s="11"/>
    </row>
    <row r="61" spans="1:9" ht="21" customHeight="1" x14ac:dyDescent="0.25">
      <c r="A61" s="9"/>
      <c r="B61" s="10" t="str">
        <f>IF(A61="","",MAX(1,MIN('Plan 1000€'!$C$10,INT((A61-'Plan 1000€'!$C$8)/7)+1)))</f>
        <v/>
      </c>
      <c r="C61" s="11"/>
      <c r="D61" s="11"/>
      <c r="E61" s="11"/>
      <c r="F61" s="11"/>
      <c r="G61" s="12"/>
      <c r="H61" s="13" t="str">
        <f t="shared" si="1"/>
        <v/>
      </c>
      <c r="I61" s="11"/>
    </row>
    <row r="62" spans="1:9" ht="21" customHeight="1" x14ac:dyDescent="0.25">
      <c r="A62" s="9"/>
      <c r="B62" s="10" t="str">
        <f>IF(A62="","",MAX(1,MIN('Plan 1000€'!$C$10,INT((A62-'Plan 1000€'!$C$8)/7)+1)))</f>
        <v/>
      </c>
      <c r="C62" s="11"/>
      <c r="D62" s="11"/>
      <c r="E62" s="11"/>
      <c r="F62" s="11"/>
      <c r="G62" s="12"/>
      <c r="H62" s="13" t="str">
        <f t="shared" si="1"/>
        <v/>
      </c>
      <c r="I62" s="11"/>
    </row>
    <row r="63" spans="1:9" ht="21" customHeight="1" x14ac:dyDescent="0.25">
      <c r="A63" s="9"/>
      <c r="B63" s="10" t="str">
        <f>IF(A63="","",MAX(1,MIN('Plan 1000€'!$C$10,INT((A63-'Plan 1000€'!$C$8)/7)+1)))</f>
        <v/>
      </c>
      <c r="C63" s="11"/>
      <c r="D63" s="11"/>
      <c r="E63" s="11"/>
      <c r="F63" s="11"/>
      <c r="G63" s="12"/>
      <c r="H63" s="13" t="str">
        <f t="shared" si="1"/>
        <v/>
      </c>
      <c r="I63" s="11"/>
    </row>
    <row r="64" spans="1:9" ht="21" customHeight="1" x14ac:dyDescent="0.25">
      <c r="A64" s="9"/>
      <c r="B64" s="10" t="str">
        <f>IF(A64="","",MAX(1,MIN('Plan 1000€'!$C$10,INT((A64-'Plan 1000€'!$C$8)/7)+1)))</f>
        <v/>
      </c>
      <c r="C64" s="11"/>
      <c r="D64" s="11"/>
      <c r="E64" s="11"/>
      <c r="F64" s="11"/>
      <c r="G64" s="12"/>
      <c r="H64" s="13" t="str">
        <f t="shared" si="1"/>
        <v/>
      </c>
      <c r="I64" s="11"/>
    </row>
    <row r="65" spans="1:9" ht="21" customHeight="1" x14ac:dyDescent="0.25">
      <c r="A65" s="9"/>
      <c r="B65" s="10" t="str">
        <f>IF(A65="","",MAX(1,MIN('Plan 1000€'!$C$10,INT((A65-'Plan 1000€'!$C$8)/7)+1)))</f>
        <v/>
      </c>
      <c r="C65" s="11"/>
      <c r="D65" s="11"/>
      <c r="E65" s="11"/>
      <c r="F65" s="11"/>
      <c r="G65" s="12"/>
      <c r="H65" s="13" t="str">
        <f t="shared" si="1"/>
        <v/>
      </c>
      <c r="I65" s="11"/>
    </row>
    <row r="66" spans="1:9" ht="21" customHeight="1" x14ac:dyDescent="0.25">
      <c r="A66" s="9"/>
      <c r="B66" s="10" t="str">
        <f>IF(A66="","",MAX(1,MIN('Plan 1000€'!$C$10,INT((A66-'Plan 1000€'!$C$8)/7)+1)))</f>
        <v/>
      </c>
      <c r="C66" s="11"/>
      <c r="D66" s="11"/>
      <c r="E66" s="11"/>
      <c r="F66" s="11"/>
      <c r="G66" s="12"/>
      <c r="H66" s="13" t="str">
        <f t="shared" si="1"/>
        <v/>
      </c>
      <c r="I66" s="11"/>
    </row>
    <row r="67" spans="1:9" ht="21" customHeight="1" x14ac:dyDescent="0.25">
      <c r="A67" s="9"/>
      <c r="B67" s="10" t="str">
        <f>IF(A67="","",MAX(1,MIN('Plan 1000€'!$C$10,INT((A67-'Plan 1000€'!$C$8)/7)+1)))</f>
        <v/>
      </c>
      <c r="C67" s="11"/>
      <c r="D67" s="11"/>
      <c r="E67" s="11"/>
      <c r="F67" s="11"/>
      <c r="G67" s="12"/>
      <c r="H67" s="13" t="str">
        <f t="shared" si="1"/>
        <v/>
      </c>
      <c r="I67" s="11"/>
    </row>
    <row r="68" spans="1:9" ht="21" customHeight="1" x14ac:dyDescent="0.25">
      <c r="A68" s="9"/>
      <c r="B68" s="10" t="str">
        <f>IF(A68="","",MAX(1,MIN('Plan 1000€'!$C$10,INT((A68-'Plan 1000€'!$C$8)/7)+1)))</f>
        <v/>
      </c>
      <c r="C68" s="11"/>
      <c r="D68" s="11"/>
      <c r="E68" s="11"/>
      <c r="F68" s="11"/>
      <c r="G68" s="12"/>
      <c r="H68" s="13" t="str">
        <f t="shared" si="1"/>
        <v/>
      </c>
      <c r="I68" s="11"/>
    </row>
    <row r="69" spans="1:9" ht="21" customHeight="1" x14ac:dyDescent="0.25">
      <c r="A69" s="9"/>
      <c r="B69" s="10" t="str">
        <f>IF(A69="","",MAX(1,MIN('Plan 1000€'!$C$10,INT((A69-'Plan 1000€'!$C$8)/7)+1)))</f>
        <v/>
      </c>
      <c r="C69" s="11"/>
      <c r="D69" s="11"/>
      <c r="E69" s="11"/>
      <c r="F69" s="11"/>
      <c r="G69" s="12"/>
      <c r="H69" s="13" t="str">
        <f t="shared" ref="H69:H100" si="2">IF(C69="","",IF(C69="Retirada",-G69,G69))</f>
        <v/>
      </c>
      <c r="I69" s="11"/>
    </row>
    <row r="70" spans="1:9" ht="21" customHeight="1" x14ac:dyDescent="0.25">
      <c r="A70" s="9"/>
      <c r="B70" s="10" t="str">
        <f>IF(A70="","",MAX(1,MIN('Plan 1000€'!$C$10,INT((A70-'Plan 1000€'!$C$8)/7)+1)))</f>
        <v/>
      </c>
      <c r="C70" s="11"/>
      <c r="D70" s="11"/>
      <c r="E70" s="11"/>
      <c r="F70" s="11"/>
      <c r="G70" s="12"/>
      <c r="H70" s="13" t="str">
        <f t="shared" si="2"/>
        <v/>
      </c>
      <c r="I70" s="11"/>
    </row>
    <row r="71" spans="1:9" ht="21" customHeight="1" x14ac:dyDescent="0.25">
      <c r="A71" s="9"/>
      <c r="B71" s="10" t="str">
        <f>IF(A71="","",MAX(1,MIN('Plan 1000€'!$C$10,INT((A71-'Plan 1000€'!$C$8)/7)+1)))</f>
        <v/>
      </c>
      <c r="C71" s="11"/>
      <c r="D71" s="11"/>
      <c r="E71" s="11"/>
      <c r="F71" s="11"/>
      <c r="G71" s="12"/>
      <c r="H71" s="13" t="str">
        <f t="shared" si="2"/>
        <v/>
      </c>
      <c r="I71" s="11"/>
    </row>
    <row r="72" spans="1:9" ht="21" customHeight="1" x14ac:dyDescent="0.25">
      <c r="A72" s="9"/>
      <c r="B72" s="10" t="str">
        <f>IF(A72="","",MAX(1,MIN('Plan 1000€'!$C$10,INT((A72-'Plan 1000€'!$C$8)/7)+1)))</f>
        <v/>
      </c>
      <c r="C72" s="11"/>
      <c r="D72" s="11"/>
      <c r="E72" s="11"/>
      <c r="F72" s="11"/>
      <c r="G72" s="12"/>
      <c r="H72" s="13" t="str">
        <f t="shared" si="2"/>
        <v/>
      </c>
      <c r="I72" s="11"/>
    </row>
    <row r="73" spans="1:9" ht="21" customHeight="1" x14ac:dyDescent="0.25">
      <c r="A73" s="9"/>
      <c r="B73" s="10" t="str">
        <f>IF(A73="","",MAX(1,MIN('Plan 1000€'!$C$10,INT((A73-'Plan 1000€'!$C$8)/7)+1)))</f>
        <v/>
      </c>
      <c r="C73" s="11"/>
      <c r="D73" s="11"/>
      <c r="E73" s="11"/>
      <c r="F73" s="11"/>
      <c r="G73" s="12"/>
      <c r="H73" s="13" t="str">
        <f t="shared" si="2"/>
        <v/>
      </c>
      <c r="I73" s="11"/>
    </row>
    <row r="74" spans="1:9" ht="21" customHeight="1" x14ac:dyDescent="0.25">
      <c r="A74" s="9"/>
      <c r="B74" s="10" t="str">
        <f>IF(A74="","",MAX(1,MIN('Plan 1000€'!$C$10,INT((A74-'Plan 1000€'!$C$8)/7)+1)))</f>
        <v/>
      </c>
      <c r="C74" s="11"/>
      <c r="D74" s="11"/>
      <c r="E74" s="11"/>
      <c r="F74" s="11"/>
      <c r="G74" s="12"/>
      <c r="H74" s="13" t="str">
        <f t="shared" si="2"/>
        <v/>
      </c>
      <c r="I74" s="11"/>
    </row>
    <row r="75" spans="1:9" ht="21" customHeight="1" x14ac:dyDescent="0.25">
      <c r="A75" s="9"/>
      <c r="B75" s="10" t="str">
        <f>IF(A75="","",MAX(1,MIN('Plan 1000€'!$C$10,INT((A75-'Plan 1000€'!$C$8)/7)+1)))</f>
        <v/>
      </c>
      <c r="C75" s="11"/>
      <c r="D75" s="11"/>
      <c r="E75" s="11"/>
      <c r="F75" s="11"/>
      <c r="G75" s="12"/>
      <c r="H75" s="13" t="str">
        <f t="shared" si="2"/>
        <v/>
      </c>
      <c r="I75" s="11"/>
    </row>
    <row r="76" spans="1:9" ht="21" customHeight="1" x14ac:dyDescent="0.25">
      <c r="A76" s="9"/>
      <c r="B76" s="10" t="str">
        <f>IF(A76="","",MAX(1,MIN('Plan 1000€'!$C$10,INT((A76-'Plan 1000€'!$C$8)/7)+1)))</f>
        <v/>
      </c>
      <c r="C76" s="11"/>
      <c r="D76" s="11"/>
      <c r="E76" s="11"/>
      <c r="F76" s="11"/>
      <c r="G76" s="12"/>
      <c r="H76" s="13" t="str">
        <f t="shared" si="2"/>
        <v/>
      </c>
      <c r="I76" s="11"/>
    </row>
    <row r="77" spans="1:9" ht="21" customHeight="1" x14ac:dyDescent="0.25">
      <c r="A77" s="9"/>
      <c r="B77" s="10" t="str">
        <f>IF(A77="","",MAX(1,MIN('Plan 1000€'!$C$10,INT((A77-'Plan 1000€'!$C$8)/7)+1)))</f>
        <v/>
      </c>
      <c r="C77" s="11"/>
      <c r="D77" s="11"/>
      <c r="E77" s="11"/>
      <c r="F77" s="11"/>
      <c r="G77" s="12"/>
      <c r="H77" s="13" t="str">
        <f t="shared" si="2"/>
        <v/>
      </c>
      <c r="I77" s="11"/>
    </row>
    <row r="78" spans="1:9" ht="21" customHeight="1" x14ac:dyDescent="0.25">
      <c r="A78" s="9"/>
      <c r="B78" s="10" t="str">
        <f>IF(A78="","",MAX(1,MIN('Plan 1000€'!$C$10,INT((A78-'Plan 1000€'!$C$8)/7)+1)))</f>
        <v/>
      </c>
      <c r="C78" s="11"/>
      <c r="D78" s="11"/>
      <c r="E78" s="11"/>
      <c r="F78" s="11"/>
      <c r="G78" s="12"/>
      <c r="H78" s="13" t="str">
        <f t="shared" si="2"/>
        <v/>
      </c>
      <c r="I78" s="11"/>
    </row>
    <row r="79" spans="1:9" ht="21" customHeight="1" x14ac:dyDescent="0.25">
      <c r="A79" s="9"/>
      <c r="B79" s="10" t="str">
        <f>IF(A79="","",MAX(1,MIN('Plan 1000€'!$C$10,INT((A79-'Plan 1000€'!$C$8)/7)+1)))</f>
        <v/>
      </c>
      <c r="C79" s="11"/>
      <c r="D79" s="11"/>
      <c r="E79" s="11"/>
      <c r="F79" s="11"/>
      <c r="G79" s="12"/>
      <c r="H79" s="13" t="str">
        <f t="shared" si="2"/>
        <v/>
      </c>
      <c r="I79" s="11"/>
    </row>
    <row r="80" spans="1:9" ht="21" customHeight="1" x14ac:dyDescent="0.25">
      <c r="A80" s="9"/>
      <c r="B80" s="10" t="str">
        <f>IF(A80="","",MAX(1,MIN('Plan 1000€'!$C$10,INT((A80-'Plan 1000€'!$C$8)/7)+1)))</f>
        <v/>
      </c>
      <c r="C80" s="11"/>
      <c r="D80" s="11"/>
      <c r="E80" s="11"/>
      <c r="F80" s="11"/>
      <c r="G80" s="12"/>
      <c r="H80" s="13" t="str">
        <f t="shared" si="2"/>
        <v/>
      </c>
      <c r="I80" s="11"/>
    </row>
    <row r="81" spans="6:8" ht="21" customHeight="1" x14ac:dyDescent="0.25"/>
    <row r="82" spans="6:8" ht="21" customHeight="1" x14ac:dyDescent="0.25">
      <c r="F82" s="1" t="s">
        <v>74</v>
      </c>
      <c r="H82" s="14">
        <f>SUM(H5:H80)</f>
        <v>676.25</v>
      </c>
    </row>
    <row r="83" spans="6:8" ht="21" customHeight="1" x14ac:dyDescent="0.25"/>
    <row r="84" spans="6:8" ht="21" customHeight="1" x14ac:dyDescent="0.25"/>
  </sheetData>
  <mergeCells count="2">
    <mergeCell ref="A1:I1"/>
    <mergeCell ref="A2:I2"/>
  </mergeCells>
  <conditionalFormatting sqref="H5:H80">
    <cfRule type="cellIs" dxfId="1" priority="1" operator="lessThan">
      <formula>0</formula>
    </cfRule>
    <cfRule type="cellIs" dxfId="0" priority="2" operator="greaterThanOrEqual">
      <formula>0</formula>
    </cfRule>
  </conditionalFormatting>
  <dataValidations count="3">
    <dataValidation type="list" allowBlank="1" sqref="C5:C80" xr:uid="{00000000-0002-0000-0100-000000000000}">
      <formula1>"Aportación,Retirada"</formula1>
    </dataValidation>
    <dataValidation type="list" allowBlank="1" sqref="D5:D80" xr:uid="{00000000-0002-0000-0100-000001000000}">
      <formula1>"Aportación fija,Venta ocasional,Proyecto extra,Ocio reducido,Reembolso,Redondeo"</formula1>
    </dataValidation>
    <dataValidation type="list" allowBlank="1" sqref="E5:E80" xr:uid="{00000000-0002-0000-0100-000002000000}">
      <formula1>"Transferencia,Efectivo,Tarjeta,Bizum,Redondeo automático"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Plan 1000€</vt:lpstr>
      <vt:lpstr>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2026-04-08T08:40:21Z</dcterms:modified>
</cp:coreProperties>
</file>