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3.xml" ContentType="application/vnd.openxmlformats-officedocument.drawing+xml"/>
  <Override PartName="/xl/tables/table3.xml" ContentType="application/vnd.openxmlformats-officedocument.spreadsheetml.table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marketing\"/>
    </mc:Choice>
  </mc:AlternateContent>
  <xr:revisionPtr revIDLastSave="0" documentId="8_{2354770E-C7D6-493E-B5A3-2FB91A29D49D}" xr6:coauthVersionLast="47" xr6:coauthVersionMax="47" xr10:uidLastSave="{00000000-0000-0000-0000-000000000000}"/>
  <bookViews>
    <workbookView xWindow="22932" yWindow="-108" windowWidth="23256" windowHeight="12456" xr2:uid="{00000000-000D-0000-FFFF-FFFF00000000}"/>
  </bookViews>
  <sheets>
    <sheet name="Resumen" sheetId="1" r:id="rId1"/>
    <sheet name="Plan_Anual" sheetId="2" r:id="rId2"/>
    <sheet name="Presupuesto" sheetId="3" r:id="rId3"/>
    <sheet name="KPIs" sheetId="4" r:id="rId4"/>
    <sheet name="Listas" sheetId="5" r:id="rId5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53" i="4" l="1"/>
  <c r="O53" i="4"/>
  <c r="M53" i="4"/>
  <c r="L53" i="4"/>
  <c r="S53" i="4" s="1"/>
  <c r="P52" i="4"/>
  <c r="O52" i="4"/>
  <c r="M52" i="4"/>
  <c r="L52" i="4"/>
  <c r="S52" i="4" s="1"/>
  <c r="P51" i="4"/>
  <c r="O51" i="4"/>
  <c r="M51" i="4"/>
  <c r="L51" i="4"/>
  <c r="N51" i="4" s="1"/>
  <c r="P50" i="4"/>
  <c r="O50" i="4"/>
  <c r="M50" i="4"/>
  <c r="L50" i="4"/>
  <c r="S50" i="4" s="1"/>
  <c r="P49" i="4"/>
  <c r="O49" i="4"/>
  <c r="M49" i="4"/>
  <c r="L49" i="4"/>
  <c r="S49" i="4" s="1"/>
  <c r="P48" i="4"/>
  <c r="O48" i="4"/>
  <c r="M48" i="4"/>
  <c r="L48" i="4"/>
  <c r="S48" i="4" s="1"/>
  <c r="P47" i="4"/>
  <c r="O47" i="4"/>
  <c r="M47" i="4"/>
  <c r="L47" i="4"/>
  <c r="S47" i="4" s="1"/>
  <c r="P46" i="4"/>
  <c r="O46" i="4"/>
  <c r="M46" i="4"/>
  <c r="L46" i="4"/>
  <c r="N46" i="4" s="1"/>
  <c r="P45" i="4"/>
  <c r="O45" i="4"/>
  <c r="M45" i="4"/>
  <c r="L45" i="4"/>
  <c r="S45" i="4" s="1"/>
  <c r="P44" i="4"/>
  <c r="O44" i="4"/>
  <c r="M44" i="4"/>
  <c r="L44" i="4"/>
  <c r="S44" i="4" s="1"/>
  <c r="P43" i="4"/>
  <c r="O43" i="4"/>
  <c r="M43" i="4"/>
  <c r="L43" i="4"/>
  <c r="S43" i="4" s="1"/>
  <c r="P42" i="4"/>
  <c r="O42" i="4"/>
  <c r="M42" i="4"/>
  <c r="L42" i="4"/>
  <c r="S42" i="4" s="1"/>
  <c r="P41" i="4"/>
  <c r="O41" i="4"/>
  <c r="M41" i="4"/>
  <c r="L41" i="4"/>
  <c r="N41" i="4" s="1"/>
  <c r="P40" i="4"/>
  <c r="O40" i="4"/>
  <c r="M40" i="4"/>
  <c r="L40" i="4"/>
  <c r="S40" i="4" s="1"/>
  <c r="P39" i="4"/>
  <c r="O39" i="4"/>
  <c r="M39" i="4"/>
  <c r="L39" i="4"/>
  <c r="S39" i="4" s="1"/>
  <c r="P38" i="4"/>
  <c r="O38" i="4"/>
  <c r="M38" i="4"/>
  <c r="L38" i="4"/>
  <c r="S38" i="4" s="1"/>
  <c r="P37" i="4"/>
  <c r="O37" i="4"/>
  <c r="M37" i="4"/>
  <c r="L37" i="4"/>
  <c r="S37" i="4" s="1"/>
  <c r="P36" i="4"/>
  <c r="O36" i="4"/>
  <c r="M36" i="4"/>
  <c r="L36" i="4"/>
  <c r="N36" i="4" s="1"/>
  <c r="P35" i="4"/>
  <c r="O35" i="4"/>
  <c r="M35" i="4"/>
  <c r="L35" i="4"/>
  <c r="S35" i="4" s="1"/>
  <c r="P34" i="4"/>
  <c r="O34" i="4"/>
  <c r="M34" i="4"/>
  <c r="L34" i="4"/>
  <c r="S34" i="4" s="1"/>
  <c r="P33" i="4"/>
  <c r="O33" i="4"/>
  <c r="M33" i="4"/>
  <c r="L33" i="4"/>
  <c r="S33" i="4" s="1"/>
  <c r="P32" i="4"/>
  <c r="O32" i="4"/>
  <c r="M32" i="4"/>
  <c r="L32" i="4"/>
  <c r="S32" i="4" s="1"/>
  <c r="P31" i="4"/>
  <c r="O31" i="4"/>
  <c r="M31" i="4"/>
  <c r="L31" i="4"/>
  <c r="N31" i="4" s="1"/>
  <c r="P30" i="4"/>
  <c r="O30" i="4"/>
  <c r="M30" i="4"/>
  <c r="L30" i="4"/>
  <c r="S30" i="4" s="1"/>
  <c r="P29" i="4"/>
  <c r="O29" i="4"/>
  <c r="M29" i="4"/>
  <c r="L29" i="4"/>
  <c r="S29" i="4" s="1"/>
  <c r="P28" i="4"/>
  <c r="O28" i="4"/>
  <c r="M28" i="4"/>
  <c r="L28" i="4"/>
  <c r="S28" i="4" s="1"/>
  <c r="P27" i="4"/>
  <c r="O27" i="4"/>
  <c r="M27" i="4"/>
  <c r="L27" i="4"/>
  <c r="S27" i="4" s="1"/>
  <c r="P26" i="4"/>
  <c r="O26" i="4"/>
  <c r="M26" i="4"/>
  <c r="L26" i="4"/>
  <c r="N26" i="4" s="1"/>
  <c r="P25" i="4"/>
  <c r="O25" i="4"/>
  <c r="M25" i="4"/>
  <c r="L25" i="4"/>
  <c r="S25" i="4" s="1"/>
  <c r="P24" i="4"/>
  <c r="O24" i="4"/>
  <c r="M24" i="4"/>
  <c r="L24" i="4"/>
  <c r="S24" i="4" s="1"/>
  <c r="P23" i="4"/>
  <c r="O23" i="4"/>
  <c r="M23" i="4"/>
  <c r="L23" i="4"/>
  <c r="S23" i="4" s="1"/>
  <c r="Y22" i="4"/>
  <c r="Z22" i="4" s="1"/>
  <c r="W22" i="4"/>
  <c r="Q22" i="4"/>
  <c r="P22" i="4"/>
  <c r="O22" i="4"/>
  <c r="M22" i="4"/>
  <c r="L22" i="4"/>
  <c r="S22" i="4" s="1"/>
  <c r="Y21" i="4"/>
  <c r="Z21" i="4" s="1"/>
  <c r="W21" i="4"/>
  <c r="R21" i="4"/>
  <c r="P21" i="4"/>
  <c r="O21" i="4"/>
  <c r="N21" i="4"/>
  <c r="M21" i="4"/>
  <c r="L21" i="4"/>
  <c r="S21" i="4" s="1"/>
  <c r="Y20" i="4"/>
  <c r="Z20" i="4" s="1"/>
  <c r="W20" i="4"/>
  <c r="S20" i="4"/>
  <c r="P20" i="4"/>
  <c r="O20" i="4"/>
  <c r="M20" i="4"/>
  <c r="L20" i="4"/>
  <c r="R20" i="4" s="1"/>
  <c r="Z19" i="4"/>
  <c r="Y19" i="4"/>
  <c r="W19" i="4"/>
  <c r="P19" i="4"/>
  <c r="O19" i="4"/>
  <c r="M19" i="4"/>
  <c r="L19" i="4"/>
  <c r="S19" i="4" s="1"/>
  <c r="Y18" i="4"/>
  <c r="W18" i="4"/>
  <c r="Q18" i="4"/>
  <c r="P18" i="4"/>
  <c r="O18" i="4"/>
  <c r="M18" i="4"/>
  <c r="L18" i="4"/>
  <c r="S18" i="4" s="1"/>
  <c r="Y17" i="4"/>
  <c r="W17" i="4"/>
  <c r="R17" i="4"/>
  <c r="Q17" i="4"/>
  <c r="P17" i="4"/>
  <c r="O17" i="4"/>
  <c r="N17" i="4"/>
  <c r="M17" i="4"/>
  <c r="L17" i="4"/>
  <c r="S17" i="4" s="1"/>
  <c r="AG16" i="4"/>
  <c r="AH16" i="4" s="1"/>
  <c r="AF16" i="4"/>
  <c r="AE16" i="4"/>
  <c r="AD16" i="4"/>
  <c r="Z16" i="4"/>
  <c r="Y16" i="4"/>
  <c r="W16" i="4"/>
  <c r="P16" i="4"/>
  <c r="O16" i="4"/>
  <c r="M16" i="4"/>
  <c r="L16" i="4"/>
  <c r="N16" i="4" s="1"/>
  <c r="AG15" i="4"/>
  <c r="AH15" i="4" s="1"/>
  <c r="AF15" i="4"/>
  <c r="AE15" i="4"/>
  <c r="AD15" i="4"/>
  <c r="Y15" i="4"/>
  <c r="Z15" i="4" s="1"/>
  <c r="W15" i="4"/>
  <c r="R15" i="4"/>
  <c r="P15" i="4"/>
  <c r="O15" i="4"/>
  <c r="N15" i="4"/>
  <c r="M15" i="4"/>
  <c r="L15" i="4"/>
  <c r="S15" i="4" s="1"/>
  <c r="AG14" i="4"/>
  <c r="AH14" i="4" s="1"/>
  <c r="AF14" i="4"/>
  <c r="AE14" i="4"/>
  <c r="AD14" i="4"/>
  <c r="Y14" i="4"/>
  <c r="Z14" i="4" s="1"/>
  <c r="W14" i="4"/>
  <c r="R14" i="4"/>
  <c r="P14" i="4"/>
  <c r="O14" i="4"/>
  <c r="M14" i="4"/>
  <c r="L14" i="4"/>
  <c r="S14" i="4" s="1"/>
  <c r="AH13" i="4"/>
  <c r="AG13" i="4"/>
  <c r="AF13" i="4"/>
  <c r="AE13" i="4"/>
  <c r="AD13" i="4"/>
  <c r="Y13" i="4"/>
  <c r="Z13" i="4" s="1"/>
  <c r="W13" i="4"/>
  <c r="S13" i="4"/>
  <c r="R13" i="4"/>
  <c r="Q13" i="4"/>
  <c r="P13" i="4"/>
  <c r="O13" i="4"/>
  <c r="N13" i="4"/>
  <c r="M13" i="4"/>
  <c r="L13" i="4"/>
  <c r="AG12" i="4"/>
  <c r="AH12" i="4" s="1"/>
  <c r="AF12" i="4"/>
  <c r="AE12" i="4"/>
  <c r="AD12" i="4"/>
  <c r="Z12" i="4"/>
  <c r="Y12" i="4"/>
  <c r="W12" i="4"/>
  <c r="S12" i="4"/>
  <c r="R12" i="4"/>
  <c r="Q12" i="4"/>
  <c r="P12" i="4"/>
  <c r="O12" i="4"/>
  <c r="N12" i="4"/>
  <c r="M12" i="4"/>
  <c r="L12" i="4"/>
  <c r="AG11" i="4"/>
  <c r="AH11" i="4" s="1"/>
  <c r="AF11" i="4"/>
  <c r="AE11" i="4"/>
  <c r="AD11" i="4"/>
  <c r="Y11" i="4"/>
  <c r="Z11" i="4" s="1"/>
  <c r="W11" i="4"/>
  <c r="P11" i="4"/>
  <c r="O11" i="4"/>
  <c r="M11" i="4"/>
  <c r="L11" i="4"/>
  <c r="S11" i="4" s="1"/>
  <c r="L53" i="3"/>
  <c r="M53" i="3" s="1"/>
  <c r="K53" i="3"/>
  <c r="J53" i="3"/>
  <c r="M52" i="3"/>
  <c r="L52" i="3"/>
  <c r="K52" i="3"/>
  <c r="J52" i="3"/>
  <c r="M51" i="3"/>
  <c r="L51" i="3"/>
  <c r="K51" i="3"/>
  <c r="J51" i="3"/>
  <c r="M50" i="3"/>
  <c r="L50" i="3"/>
  <c r="K50" i="3"/>
  <c r="J50" i="3"/>
  <c r="M49" i="3"/>
  <c r="L49" i="3"/>
  <c r="K49" i="3"/>
  <c r="J49" i="3"/>
  <c r="Y22" i="3" s="1"/>
  <c r="L48" i="3"/>
  <c r="M48" i="3" s="1"/>
  <c r="K48" i="3"/>
  <c r="J48" i="3"/>
  <c r="M47" i="3"/>
  <c r="L47" i="3"/>
  <c r="K47" i="3"/>
  <c r="Z21" i="3" s="1"/>
  <c r="J47" i="3"/>
  <c r="M46" i="3"/>
  <c r="L46" i="3"/>
  <c r="K46" i="3"/>
  <c r="J46" i="3"/>
  <c r="M45" i="3"/>
  <c r="L45" i="3"/>
  <c r="K45" i="3"/>
  <c r="J45" i="3"/>
  <c r="M44" i="3"/>
  <c r="L44" i="3"/>
  <c r="K44" i="3"/>
  <c r="J44" i="3"/>
  <c r="Y21" i="3" s="1"/>
  <c r="L43" i="3"/>
  <c r="M43" i="3" s="1"/>
  <c r="K43" i="3"/>
  <c r="J43" i="3"/>
  <c r="M42" i="3"/>
  <c r="L42" i="3"/>
  <c r="K42" i="3"/>
  <c r="J42" i="3"/>
  <c r="M41" i="3"/>
  <c r="L41" i="3"/>
  <c r="K41" i="3"/>
  <c r="J41" i="3"/>
  <c r="M40" i="3"/>
  <c r="L40" i="3"/>
  <c r="K40" i="3"/>
  <c r="Z19" i="3" s="1"/>
  <c r="J40" i="3"/>
  <c r="M39" i="3"/>
  <c r="L39" i="3"/>
  <c r="K39" i="3"/>
  <c r="J39" i="3"/>
  <c r="L38" i="3"/>
  <c r="M38" i="3" s="1"/>
  <c r="K38" i="3"/>
  <c r="J38" i="3"/>
  <c r="M37" i="3"/>
  <c r="L37" i="3"/>
  <c r="K37" i="3"/>
  <c r="Z16" i="3" s="1"/>
  <c r="J37" i="3"/>
  <c r="M36" i="3"/>
  <c r="L36" i="3"/>
  <c r="K36" i="3"/>
  <c r="Z18" i="3" s="1"/>
  <c r="J36" i="3"/>
  <c r="M35" i="3"/>
  <c r="L35" i="3"/>
  <c r="K35" i="3"/>
  <c r="J35" i="3"/>
  <c r="M34" i="3"/>
  <c r="L34" i="3"/>
  <c r="K34" i="3"/>
  <c r="J34" i="3"/>
  <c r="L33" i="3"/>
  <c r="M33" i="3" s="1"/>
  <c r="K33" i="3"/>
  <c r="J33" i="3"/>
  <c r="M32" i="3"/>
  <c r="L32" i="3"/>
  <c r="K32" i="3"/>
  <c r="J32" i="3"/>
  <c r="M31" i="3"/>
  <c r="L31" i="3"/>
  <c r="K31" i="3"/>
  <c r="J31" i="3"/>
  <c r="M30" i="3"/>
  <c r="L30" i="3"/>
  <c r="K30" i="3"/>
  <c r="J30" i="3"/>
  <c r="M29" i="3"/>
  <c r="L29" i="3"/>
  <c r="K29" i="3"/>
  <c r="J29" i="3"/>
  <c r="L28" i="3"/>
  <c r="M28" i="3" s="1"/>
  <c r="K28" i="3"/>
  <c r="J28" i="3"/>
  <c r="M27" i="3"/>
  <c r="L27" i="3"/>
  <c r="K27" i="3"/>
  <c r="J27" i="3"/>
  <c r="M26" i="3"/>
  <c r="L26" i="3"/>
  <c r="K26" i="3"/>
  <c r="J26" i="3"/>
  <c r="M25" i="3"/>
  <c r="L25" i="3"/>
  <c r="K25" i="3"/>
  <c r="Z20" i="3" s="1"/>
  <c r="J25" i="3"/>
  <c r="M24" i="3"/>
  <c r="L24" i="3"/>
  <c r="K24" i="3"/>
  <c r="J24" i="3"/>
  <c r="Y19" i="3" s="1"/>
  <c r="L23" i="3"/>
  <c r="M23" i="3" s="1"/>
  <c r="K23" i="3"/>
  <c r="J23" i="3"/>
  <c r="Z22" i="3"/>
  <c r="AA22" i="3" s="1"/>
  <c r="M22" i="3"/>
  <c r="L22" i="3"/>
  <c r="K22" i="3"/>
  <c r="J22" i="3"/>
  <c r="M21" i="3"/>
  <c r="L21" i="3"/>
  <c r="K21" i="3"/>
  <c r="J21" i="3"/>
  <c r="Y16" i="3" s="1"/>
  <c r="Y20" i="3"/>
  <c r="M20" i="3"/>
  <c r="L20" i="3"/>
  <c r="K20" i="3"/>
  <c r="Z15" i="3" s="1"/>
  <c r="J20" i="3"/>
  <c r="M19" i="3"/>
  <c r="L19" i="3"/>
  <c r="K19" i="3"/>
  <c r="J19" i="3"/>
  <c r="Y18" i="3"/>
  <c r="L18" i="3"/>
  <c r="M18" i="3" s="1"/>
  <c r="K18" i="3"/>
  <c r="J18" i="3"/>
  <c r="AB17" i="3"/>
  <c r="Z17" i="3"/>
  <c r="AA17" i="3" s="1"/>
  <c r="Y17" i="3"/>
  <c r="M17" i="3"/>
  <c r="L17" i="3"/>
  <c r="K17" i="3"/>
  <c r="Z14" i="3" s="1"/>
  <c r="J17" i="3"/>
  <c r="Y14" i="3" s="1"/>
  <c r="U16" i="3"/>
  <c r="R16" i="3"/>
  <c r="T16" i="3" s="1"/>
  <c r="Q16" i="3"/>
  <c r="L16" i="3"/>
  <c r="M16" i="3" s="1"/>
  <c r="K16" i="3"/>
  <c r="Z13" i="3" s="1"/>
  <c r="J16" i="3"/>
  <c r="Y13" i="3" s="1"/>
  <c r="Y15" i="3"/>
  <c r="R15" i="3"/>
  <c r="U15" i="3" s="1"/>
  <c r="Q15" i="3"/>
  <c r="M15" i="3"/>
  <c r="L15" i="3"/>
  <c r="K15" i="3"/>
  <c r="Z12" i="3" s="1"/>
  <c r="J15" i="3"/>
  <c r="S14" i="3"/>
  <c r="R14" i="3"/>
  <c r="Q14" i="3"/>
  <c r="U14" i="3" s="1"/>
  <c r="L14" i="3"/>
  <c r="M14" i="3" s="1"/>
  <c r="K14" i="3"/>
  <c r="J14" i="3"/>
  <c r="R13" i="3"/>
  <c r="U13" i="3" s="1"/>
  <c r="Q13" i="3"/>
  <c r="M13" i="3"/>
  <c r="L13" i="3"/>
  <c r="K13" i="3"/>
  <c r="J13" i="3"/>
  <c r="R12" i="3"/>
  <c r="T12" i="3" s="1"/>
  <c r="Q12" i="3"/>
  <c r="U12" i="3" s="1"/>
  <c r="L12" i="3"/>
  <c r="M12" i="3" s="1"/>
  <c r="K12" i="3"/>
  <c r="J12" i="3"/>
  <c r="Y12" i="3" s="1"/>
  <c r="Y11" i="3"/>
  <c r="R11" i="3"/>
  <c r="T13" i="3" s="1"/>
  <c r="Q11" i="3"/>
  <c r="M11" i="3"/>
  <c r="L11" i="3"/>
  <c r="K11" i="3"/>
  <c r="Z11" i="3" s="1"/>
  <c r="J11" i="3"/>
  <c r="B9" i="3"/>
  <c r="B8" i="3"/>
  <c r="B7" i="3"/>
  <c r="B5" i="3"/>
  <c r="AF21" i="2"/>
  <c r="AE21" i="2"/>
  <c r="AD21" i="2"/>
  <c r="AC21" i="2"/>
  <c r="AB21" i="2"/>
  <c r="AA21" i="2"/>
  <c r="Z21" i="2"/>
  <c r="Y21" i="2"/>
  <c r="X21" i="2"/>
  <c r="W21" i="2"/>
  <c r="V21" i="2"/>
  <c r="U21" i="2"/>
  <c r="Q21" i="2"/>
  <c r="P21" i="2"/>
  <c r="N21" i="2"/>
  <c r="S21" i="2" s="1"/>
  <c r="M21" i="2"/>
  <c r="O21" i="2" s="1"/>
  <c r="C21" i="2"/>
  <c r="B21" i="2"/>
  <c r="AF20" i="2"/>
  <c r="AE20" i="2"/>
  <c r="AD20" i="2"/>
  <c r="AC20" i="2"/>
  <c r="AB20" i="2"/>
  <c r="AA20" i="2"/>
  <c r="Z20" i="2"/>
  <c r="Y20" i="2"/>
  <c r="X20" i="2"/>
  <c r="W20" i="2"/>
  <c r="V20" i="2"/>
  <c r="U20" i="2"/>
  <c r="S20" i="2"/>
  <c r="Q20" i="2"/>
  <c r="P20" i="2"/>
  <c r="N20" i="2"/>
  <c r="R20" i="2" s="1"/>
  <c r="M20" i="2"/>
  <c r="O20" i="2" s="1"/>
  <c r="C20" i="2"/>
  <c r="B20" i="2"/>
  <c r="AF19" i="2"/>
  <c r="AE19" i="2"/>
  <c r="AD19" i="2"/>
  <c r="AC19" i="2"/>
  <c r="AB19" i="2"/>
  <c r="AA19" i="2"/>
  <c r="Z19" i="2"/>
  <c r="Y19" i="2"/>
  <c r="X19" i="2"/>
  <c r="W19" i="2"/>
  <c r="V19" i="2"/>
  <c r="U19" i="2"/>
  <c r="Q19" i="2"/>
  <c r="S19" i="2" s="1"/>
  <c r="P19" i="2"/>
  <c r="N19" i="2"/>
  <c r="R19" i="2" s="1"/>
  <c r="M19" i="2"/>
  <c r="O19" i="2" s="1"/>
  <c r="C19" i="2"/>
  <c r="B19" i="2"/>
  <c r="AF18" i="2"/>
  <c r="AE18" i="2"/>
  <c r="AD18" i="2"/>
  <c r="AC18" i="2"/>
  <c r="AB18" i="2"/>
  <c r="AA18" i="2"/>
  <c r="Z18" i="2"/>
  <c r="Y18" i="2"/>
  <c r="X18" i="2"/>
  <c r="W18" i="2"/>
  <c r="V18" i="2"/>
  <c r="U18" i="2"/>
  <c r="Q18" i="2"/>
  <c r="S18" i="2" s="1"/>
  <c r="P18" i="2"/>
  <c r="N18" i="2"/>
  <c r="R18" i="2" s="1"/>
  <c r="M18" i="2"/>
  <c r="O18" i="2" s="1"/>
  <c r="C18" i="2"/>
  <c r="B18" i="2"/>
  <c r="AF17" i="2"/>
  <c r="AE17" i="2"/>
  <c r="AD17" i="2"/>
  <c r="AC17" i="2"/>
  <c r="AB17" i="2"/>
  <c r="AA17" i="2"/>
  <c r="Z17" i="2"/>
  <c r="Y17" i="2"/>
  <c r="X17" i="2"/>
  <c r="W17" i="2"/>
  <c r="V17" i="2"/>
  <c r="U17" i="2"/>
  <c r="Q17" i="2"/>
  <c r="S17" i="2" s="1"/>
  <c r="P17" i="2"/>
  <c r="N17" i="2"/>
  <c r="R17" i="2" s="1"/>
  <c r="M17" i="2"/>
  <c r="O17" i="2" s="1"/>
  <c r="C17" i="2"/>
  <c r="B17" i="2"/>
  <c r="AF16" i="2"/>
  <c r="AE16" i="2"/>
  <c r="AD16" i="2"/>
  <c r="AC16" i="2"/>
  <c r="AB16" i="2"/>
  <c r="AA16" i="2"/>
  <c r="Z16" i="2"/>
  <c r="Y16" i="2"/>
  <c r="X16" i="2"/>
  <c r="W16" i="2"/>
  <c r="V16" i="2"/>
  <c r="U16" i="2"/>
  <c r="Q16" i="2"/>
  <c r="S16" i="2" s="1"/>
  <c r="P16" i="2"/>
  <c r="N16" i="2"/>
  <c r="R16" i="2" s="1"/>
  <c r="M16" i="2"/>
  <c r="O16" i="2" s="1"/>
  <c r="C16" i="2"/>
  <c r="B16" i="2"/>
  <c r="AF15" i="2"/>
  <c r="AE15" i="2"/>
  <c r="AD15" i="2"/>
  <c r="AC15" i="2"/>
  <c r="AB15" i="2"/>
  <c r="AA15" i="2"/>
  <c r="Z15" i="2"/>
  <c r="Y15" i="2"/>
  <c r="X15" i="2"/>
  <c r="W15" i="2"/>
  <c r="V15" i="2"/>
  <c r="U15" i="2"/>
  <c r="Q15" i="2"/>
  <c r="S15" i="2" s="1"/>
  <c r="P15" i="2"/>
  <c r="N15" i="2"/>
  <c r="R15" i="2" s="1"/>
  <c r="M15" i="2"/>
  <c r="O15" i="2" s="1"/>
  <c r="C15" i="2"/>
  <c r="B15" i="2"/>
  <c r="AF14" i="2"/>
  <c r="AE14" i="2"/>
  <c r="AD14" i="2"/>
  <c r="AC14" i="2"/>
  <c r="AB14" i="2"/>
  <c r="AA14" i="2"/>
  <c r="Z14" i="2"/>
  <c r="Y14" i="2"/>
  <c r="X14" i="2"/>
  <c r="W14" i="2"/>
  <c r="V14" i="2"/>
  <c r="U14" i="2"/>
  <c r="Q14" i="2"/>
  <c r="S14" i="2" s="1"/>
  <c r="P14" i="2"/>
  <c r="N14" i="2"/>
  <c r="R14" i="2" s="1"/>
  <c r="M14" i="2"/>
  <c r="O14" i="2" s="1"/>
  <c r="C14" i="2"/>
  <c r="B14" i="2"/>
  <c r="AF13" i="2"/>
  <c r="AE13" i="2"/>
  <c r="AD13" i="2"/>
  <c r="AC13" i="2"/>
  <c r="AB13" i="2"/>
  <c r="AA13" i="2"/>
  <c r="Z13" i="2"/>
  <c r="Y13" i="2"/>
  <c r="X13" i="2"/>
  <c r="W13" i="2"/>
  <c r="V13" i="2"/>
  <c r="U13" i="2"/>
  <c r="Q13" i="2"/>
  <c r="S13" i="2" s="1"/>
  <c r="P13" i="2"/>
  <c r="N13" i="2"/>
  <c r="R13" i="2" s="1"/>
  <c r="M13" i="2"/>
  <c r="O13" i="2" s="1"/>
  <c r="C13" i="2"/>
  <c r="B13" i="2"/>
  <c r="AF12" i="2"/>
  <c r="AE12" i="2"/>
  <c r="AD12" i="2"/>
  <c r="AC12" i="2"/>
  <c r="AB12" i="2"/>
  <c r="AA12" i="2"/>
  <c r="Z12" i="2"/>
  <c r="Y12" i="2"/>
  <c r="X12" i="2"/>
  <c r="W12" i="2"/>
  <c r="V12" i="2"/>
  <c r="U12" i="2"/>
  <c r="Q12" i="2"/>
  <c r="S12" i="2" s="1"/>
  <c r="P12" i="2"/>
  <c r="N12" i="2"/>
  <c r="R12" i="2" s="1"/>
  <c r="M12" i="2"/>
  <c r="O12" i="2" s="1"/>
  <c r="C12" i="2"/>
  <c r="B12" i="2"/>
  <c r="AF11" i="2"/>
  <c r="AE11" i="2"/>
  <c r="AD11" i="2"/>
  <c r="AC11" i="2"/>
  <c r="AB11" i="2"/>
  <c r="AA11" i="2"/>
  <c r="Z11" i="2"/>
  <c r="Y11" i="2"/>
  <c r="X11" i="2"/>
  <c r="W11" i="2"/>
  <c r="V11" i="2"/>
  <c r="U11" i="2"/>
  <c r="Q11" i="2"/>
  <c r="S11" i="2" s="1"/>
  <c r="P11" i="2"/>
  <c r="N11" i="2"/>
  <c r="R11" i="2" s="1"/>
  <c r="M11" i="2"/>
  <c r="O11" i="2" s="1"/>
  <c r="C11" i="2"/>
  <c r="B11" i="2"/>
  <c r="AF10" i="2"/>
  <c r="AE10" i="2"/>
  <c r="AD10" i="2"/>
  <c r="AC10" i="2"/>
  <c r="AB10" i="2"/>
  <c r="AA10" i="2"/>
  <c r="Z10" i="2"/>
  <c r="Y10" i="2"/>
  <c r="X10" i="2"/>
  <c r="W10" i="2"/>
  <c r="V10" i="2"/>
  <c r="U10" i="2"/>
  <c r="Q10" i="2"/>
  <c r="S10" i="2" s="1"/>
  <c r="P10" i="2"/>
  <c r="N10" i="2"/>
  <c r="R10" i="2" s="1"/>
  <c r="M10" i="2"/>
  <c r="O10" i="2" s="1"/>
  <c r="C10" i="2"/>
  <c r="B10" i="2"/>
  <c r="AF9" i="2"/>
  <c r="AE9" i="2"/>
  <c r="AD9" i="2"/>
  <c r="AC9" i="2"/>
  <c r="AB9" i="2"/>
  <c r="AA9" i="2"/>
  <c r="Z9" i="2"/>
  <c r="Y9" i="2"/>
  <c r="X9" i="2"/>
  <c r="W9" i="2"/>
  <c r="V9" i="2"/>
  <c r="U9" i="2"/>
  <c r="Q9" i="2"/>
  <c r="S9" i="2" s="1"/>
  <c r="P9" i="2"/>
  <c r="N9" i="2"/>
  <c r="R9" i="2" s="1"/>
  <c r="M9" i="2"/>
  <c r="O9" i="2" s="1"/>
  <c r="C9" i="2"/>
  <c r="B9" i="2"/>
  <c r="AF8" i="2"/>
  <c r="AE8" i="2"/>
  <c r="AD8" i="2"/>
  <c r="AC8" i="2"/>
  <c r="AB8" i="2"/>
  <c r="AA8" i="2"/>
  <c r="Z8" i="2"/>
  <c r="Y8" i="2"/>
  <c r="X8" i="2"/>
  <c r="W8" i="2"/>
  <c r="V8" i="2"/>
  <c r="U8" i="2"/>
  <c r="Q8" i="2"/>
  <c r="S8" i="2" s="1"/>
  <c r="P8" i="2"/>
  <c r="N8" i="2"/>
  <c r="R8" i="2" s="1"/>
  <c r="M8" i="2"/>
  <c r="O8" i="2" s="1"/>
  <c r="C8" i="2"/>
  <c r="B8" i="2"/>
  <c r="AF7" i="2"/>
  <c r="AE7" i="2"/>
  <c r="AD7" i="2"/>
  <c r="AC7" i="2"/>
  <c r="AB7" i="2"/>
  <c r="AA7" i="2"/>
  <c r="Z7" i="2"/>
  <c r="Y7" i="2"/>
  <c r="X7" i="2"/>
  <c r="W7" i="2"/>
  <c r="V7" i="2"/>
  <c r="U7" i="2"/>
  <c r="Q7" i="2"/>
  <c r="S7" i="2" s="1"/>
  <c r="P7" i="2"/>
  <c r="N7" i="2"/>
  <c r="R7" i="2" s="1"/>
  <c r="M7" i="2"/>
  <c r="O7" i="2" s="1"/>
  <c r="C7" i="2"/>
  <c r="B7" i="2"/>
  <c r="AF6" i="2"/>
  <c r="AE6" i="2"/>
  <c r="AD6" i="2"/>
  <c r="AC6" i="2"/>
  <c r="AB6" i="2"/>
  <c r="AA6" i="2"/>
  <c r="Z6" i="2"/>
  <c r="Y6" i="2"/>
  <c r="X6" i="2"/>
  <c r="W6" i="2"/>
  <c r="V6" i="2"/>
  <c r="U6" i="2"/>
  <c r="Q6" i="2"/>
  <c r="S6" i="2" s="1"/>
  <c r="P6" i="2"/>
  <c r="N6" i="2"/>
  <c r="R6" i="2" s="1"/>
  <c r="M6" i="2"/>
  <c r="O6" i="2" s="1"/>
  <c r="C6" i="2"/>
  <c r="B6" i="2"/>
  <c r="G33" i="1"/>
  <c r="F33" i="1"/>
  <c r="G32" i="1"/>
  <c r="F32" i="1"/>
  <c r="G31" i="1"/>
  <c r="F31" i="1"/>
  <c r="G30" i="1"/>
  <c r="F30" i="1"/>
  <c r="G29" i="1"/>
  <c r="F29" i="1"/>
  <c r="G28" i="1"/>
  <c r="F28" i="1"/>
  <c r="L20" i="1"/>
  <c r="I20" i="1"/>
  <c r="L16" i="1"/>
  <c r="I16" i="1"/>
  <c r="L12" i="1"/>
  <c r="I12" i="1"/>
  <c r="X11" i="4" l="1"/>
  <c r="X18" i="4"/>
  <c r="X12" i="4"/>
  <c r="V12" i="4"/>
  <c r="X19" i="4"/>
  <c r="V19" i="4"/>
  <c r="AB13" i="3"/>
  <c r="AA13" i="3"/>
  <c r="AA15" i="3"/>
  <c r="AB15" i="3"/>
  <c r="X13" i="4"/>
  <c r="V13" i="4"/>
  <c r="X14" i="4"/>
  <c r="V14" i="4"/>
  <c r="X16" i="4"/>
  <c r="V16" i="4"/>
  <c r="X15" i="4"/>
  <c r="AB19" i="3"/>
  <c r="AA19" i="3"/>
  <c r="AB20" i="3"/>
  <c r="AA20" i="3"/>
  <c r="X20" i="4"/>
  <c r="AB18" i="3"/>
  <c r="AA18" i="3"/>
  <c r="AB14" i="3"/>
  <c r="AA14" i="3"/>
  <c r="AB21" i="3"/>
  <c r="AA21" i="3"/>
  <c r="AB16" i="3"/>
  <c r="AA16" i="3"/>
  <c r="X17" i="4"/>
  <c r="AB11" i="3"/>
  <c r="AA11" i="3"/>
  <c r="X22" i="4"/>
  <c r="V22" i="4"/>
  <c r="AB22" i="3"/>
  <c r="AB12" i="3"/>
  <c r="AA12" i="3"/>
  <c r="X21" i="4"/>
  <c r="V21" i="4"/>
  <c r="Q16" i="4"/>
  <c r="V20" i="4"/>
  <c r="N22" i="4"/>
  <c r="Q26" i="4"/>
  <c r="Q31" i="4"/>
  <c r="Q36" i="4"/>
  <c r="Q41" i="4"/>
  <c r="Q46" i="4"/>
  <c r="Q51" i="4"/>
  <c r="S11" i="3"/>
  <c r="T14" i="3"/>
  <c r="N14" i="4"/>
  <c r="R16" i="4"/>
  <c r="V17" i="4"/>
  <c r="N19" i="4"/>
  <c r="N24" i="4"/>
  <c r="R26" i="4"/>
  <c r="N29" i="4"/>
  <c r="R31" i="4"/>
  <c r="N34" i="4"/>
  <c r="R36" i="4"/>
  <c r="N39" i="4"/>
  <c r="R41" i="4"/>
  <c r="N44" i="4"/>
  <c r="R46" i="4"/>
  <c r="N49" i="4"/>
  <c r="R51" i="4"/>
  <c r="T11" i="3"/>
  <c r="Q15" i="4"/>
  <c r="S16" i="4"/>
  <c r="S26" i="4"/>
  <c r="S31" i="4"/>
  <c r="S36" i="4"/>
  <c r="S41" i="4"/>
  <c r="S46" i="4"/>
  <c r="S51" i="4"/>
  <c r="U11" i="3"/>
  <c r="Q14" i="4"/>
  <c r="Q19" i="4"/>
  <c r="R22" i="4"/>
  <c r="Q24" i="4"/>
  <c r="Q29" i="4"/>
  <c r="Q34" i="4"/>
  <c r="Q39" i="4"/>
  <c r="Q44" i="4"/>
  <c r="Q49" i="4"/>
  <c r="V15" i="4"/>
  <c r="Z17" i="4"/>
  <c r="R19" i="4"/>
  <c r="R24" i="4"/>
  <c r="N27" i="4"/>
  <c r="R29" i="4"/>
  <c r="N32" i="4"/>
  <c r="R34" i="4"/>
  <c r="N37" i="4"/>
  <c r="R39" i="4"/>
  <c r="N42" i="4"/>
  <c r="R44" i="4"/>
  <c r="N47" i="4"/>
  <c r="R49" i="4"/>
  <c r="N52" i="4"/>
  <c r="S16" i="3"/>
  <c r="S13" i="3"/>
  <c r="N11" i="4"/>
  <c r="N18" i="4"/>
  <c r="Q27" i="4"/>
  <c r="Q32" i="4"/>
  <c r="Q37" i="4"/>
  <c r="Q42" i="4"/>
  <c r="Q47" i="4"/>
  <c r="Q52" i="4"/>
  <c r="N25" i="4"/>
  <c r="R27" i="4"/>
  <c r="N30" i="4"/>
  <c r="R32" i="4"/>
  <c r="N35" i="4"/>
  <c r="R37" i="4"/>
  <c r="N40" i="4"/>
  <c r="R42" i="4"/>
  <c r="N45" i="4"/>
  <c r="R47" i="4"/>
  <c r="N50" i="4"/>
  <c r="R52" i="4"/>
  <c r="Q11" i="4"/>
  <c r="Q21" i="4"/>
  <c r="B6" i="3"/>
  <c r="R11" i="4"/>
  <c r="R18" i="4"/>
  <c r="Q25" i="4"/>
  <c r="Q30" i="4"/>
  <c r="Q35" i="4"/>
  <c r="Q40" i="4"/>
  <c r="Q45" i="4"/>
  <c r="Q50" i="4"/>
  <c r="S15" i="3"/>
  <c r="V11" i="4"/>
  <c r="N23" i="4"/>
  <c r="R25" i="4"/>
  <c r="N28" i="4"/>
  <c r="R30" i="4"/>
  <c r="N33" i="4"/>
  <c r="R35" i="4"/>
  <c r="N38" i="4"/>
  <c r="R40" i="4"/>
  <c r="N43" i="4"/>
  <c r="R45" i="4"/>
  <c r="N48" i="4"/>
  <c r="R50" i="4"/>
  <c r="N53" i="4"/>
  <c r="S12" i="3"/>
  <c r="T15" i="3"/>
  <c r="V18" i="4"/>
  <c r="N20" i="4"/>
  <c r="R21" i="2"/>
  <c r="Q23" i="4"/>
  <c r="Q28" i="4"/>
  <c r="Q33" i="4"/>
  <c r="Q38" i="4"/>
  <c r="Q43" i="4"/>
  <c r="Q48" i="4"/>
  <c r="Q53" i="4"/>
  <c r="Q20" i="4"/>
  <c r="R23" i="4"/>
  <c r="R28" i="4"/>
  <c r="R33" i="4"/>
  <c r="R38" i="4"/>
  <c r="R43" i="4"/>
  <c r="R48" i="4"/>
  <c r="R53" i="4"/>
  <c r="Z18" i="4"/>
</calcChain>
</file>

<file path=xl/sharedStrings.xml><?xml version="1.0" encoding="utf-8"?>
<sst xmlns="http://schemas.openxmlformats.org/spreadsheetml/2006/main" count="846" uniqueCount="250">
  <si>
    <t>Plantilla de plan de marketing</t>
  </si>
  <si>
    <t>Editable en Excel (ES). Celdas azules = inputs/objetivos; negro = cálculo; gris = texto fijo.</t>
  </si>
  <si>
    <t>Ficha del plan</t>
  </si>
  <si>
    <t>Objetivos anuales</t>
  </si>
  <si>
    <t>Empresa</t>
  </si>
  <si>
    <t>Taller Nimbo</t>
  </si>
  <si>
    <t>Presupuesto aprobado (bruto)</t>
  </si>
  <si>
    <t>Oferta principal</t>
  </si>
  <si>
    <t>Kits creativos de cerámica en casa + talleres presenciales</t>
  </si>
  <si>
    <t>Leads objetivo</t>
  </si>
  <si>
    <t>Periodo</t>
  </si>
  <si>
    <t>Plan anual 2026</t>
  </si>
  <si>
    <t>Clientes objetivo</t>
  </si>
  <si>
    <t>Responsable</t>
  </si>
  <si>
    <t>Clara Mena</t>
  </si>
  <si>
    <t>Ingresos atribuidos objetivo</t>
  </si>
  <si>
    <t>Propuesta de valor</t>
  </si>
  <si>
    <t>Experiencias creativas accesibles para desconectar, aprender y regalar.</t>
  </si>
  <si>
    <t>Ticket medio objetivo</t>
  </si>
  <si>
    <t>Público principal</t>
  </si>
  <si>
    <t>Profesionales urbanos de 28-45 años interesados en bienestar creativo y ocio experiencial.</t>
  </si>
  <si>
    <t>ROAS objetivo</t>
  </si>
  <si>
    <t>Segmento secundario</t>
  </si>
  <si>
    <t>Equipos de RR. HH. que buscan afterworks y talleres corporativos.</t>
  </si>
  <si>
    <t>Real bruto ejecutado</t>
  </si>
  <si>
    <t>Restante vs aprobado</t>
  </si>
  <si>
    <t>Objetivos SMART de ejemplo</t>
  </si>
  <si>
    <t>Objetivo</t>
  </si>
  <si>
    <t>Métrica</t>
  </si>
  <si>
    <t>Meta</t>
  </si>
  <si>
    <t>Plazo</t>
  </si>
  <si>
    <t>Estado</t>
  </si>
  <si>
    <t>Leads reales</t>
  </si>
  <si>
    <t>Clientes reales</t>
  </si>
  <si>
    <t>Aumentar ventas de kits directos</t>
  </si>
  <si>
    <t>Ingresos atribuidos</t>
  </si>
  <si>
    <t>31/12/2026</t>
  </si>
  <si>
    <t>En marcha</t>
  </si>
  <si>
    <t>Mejorar captación cualificada</t>
  </si>
  <si>
    <t>Leads</t>
  </si>
  <si>
    <t>Mario Uceda</t>
  </si>
  <si>
    <t>Activar línea B2B</t>
  </si>
  <si>
    <t>Clientes empresa</t>
  </si>
  <si>
    <t>Paula Sanz</t>
  </si>
  <si>
    <t>Subir recurrencia CRM</t>
  </si>
  <si>
    <t>% clientes repetidores</t>
  </si>
  <si>
    <t>Laura Serra</t>
  </si>
  <si>
    <t>ROAS real</t>
  </si>
  <si>
    <t>Mix de canales</t>
  </si>
  <si>
    <t>Claves de uso</t>
  </si>
  <si>
    <t>Canal</t>
  </si>
  <si>
    <t>Rol en el embudo</t>
  </si>
  <si>
    <t>CPL objetivo</t>
  </si>
  <si>
    <t>% presupuesto real</t>
  </si>
  <si>
    <t>Ejecución vs plan</t>
  </si>
  <si>
    <t>1) Duplica filas en Presupuesto y KPIs para nuevas campañas.</t>
  </si>
  <si>
    <t>Social Ads</t>
  </si>
  <si>
    <t>Captación y aceleración estacional</t>
  </si>
  <si>
    <t>2) En Plan_Anual filtra por canal, responsable o estado.</t>
  </si>
  <si>
    <t>Google Ads</t>
  </si>
  <si>
    <t>Captación con intención alta</t>
  </si>
  <si>
    <t>3) Los resúmenes se actualizan automáticamente con SUMIFS.</t>
  </si>
  <si>
    <t>SEO/Contenido</t>
  </si>
  <si>
    <t>Demanda orgánica y autoridad</t>
  </si>
  <si>
    <t>4) Los ejemplos son ficticios y se pueden sustituir por tus datos.</t>
  </si>
  <si>
    <t>Email/CRM</t>
  </si>
  <si>
    <t>Conversión y repetición</t>
  </si>
  <si>
    <t>Colaboraciones</t>
  </si>
  <si>
    <t>Afinidad, confianza y alcance</t>
  </si>
  <si>
    <t>Eventos</t>
  </si>
  <si>
    <t>Prueba física y B2B</t>
  </si>
  <si>
    <t>Plan anual de acciones</t>
  </si>
  <si>
    <t>Vista operativa del plan. Los importes y resultados se alimentan automáticamente desde Presupuesto y KPIs.</t>
  </si>
  <si>
    <t>ID</t>
  </si>
  <si>
    <t>Trimestre</t>
  </si>
  <si>
    <t>Mes inicio</t>
  </si>
  <si>
    <t>Campaña / acción</t>
  </si>
  <si>
    <t>Público</t>
  </si>
  <si>
    <t>Prioridad</t>
  </si>
  <si>
    <t>Inicio</t>
  </si>
  <si>
    <t>Fin</t>
  </si>
  <si>
    <t>Presupuesto plan</t>
  </si>
  <si>
    <t>Gasto real</t>
  </si>
  <si>
    <t>CPL real</t>
  </si>
  <si>
    <t>ROAS</t>
  </si>
  <si>
    <t>Observaciones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</si>
  <si>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</si>
  <si>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</si>
  <si>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</si>
  <si>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</si>
  <si>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</si>
  <si>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</si>
  <si>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</si>
  <si>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</si>
  <si>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</si>
  <si>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</si>
  <si>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</si>
  <si>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</si>
  <si>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C01</t>
  </si>
  <si>
    <t>Colección invierno en casa</t>
  </si>
  <si>
    <t>Impulsar ventas de kits en temporada baja</t>
  </si>
  <si>
    <t>Nuevos usuarios B2C</t>
  </si>
  <si>
    <t>Completada</t>
  </si>
  <si>
    <t>Alta</t>
  </si>
  <si>
    <t>Creatividades centradas en bienestar en casa</t>
  </si>
  <si>
    <t>C02</t>
  </si>
  <si>
    <t>Guía regalo creativo San Valentín</t>
  </si>
  <si>
    <t>Captar tráfico orgánico de intención regalo</t>
  </si>
  <si>
    <t>Parejas y compradores de regalo</t>
  </si>
  <si>
    <t>Iván Rojo</t>
  </si>
  <si>
    <t>Media</t>
  </si>
  <si>
    <t>Artículo evergreen + landing de packs</t>
  </si>
  <si>
    <t>C03</t>
  </si>
  <si>
    <t>Búsquedas talleres cerámica Madrid</t>
  </si>
  <si>
    <t>Captar demanda de alta intención local</t>
  </si>
  <si>
    <t>Usuarios con búsqueda activa</t>
  </si>
  <si>
    <t>Optimización continua de keywords locales</t>
  </si>
  <si>
    <t>C04</t>
  </si>
  <si>
    <t>Recuperación de carritos kits</t>
  </si>
  <si>
    <t>Recuperar carritos e incrementar repetición</t>
  </si>
  <si>
    <t>Base CRM activa</t>
  </si>
  <si>
    <t>Automatización always-on</t>
  </si>
  <si>
    <t>C05</t>
  </si>
  <si>
    <t>Microcreadores deco slow living</t>
  </si>
  <si>
    <t>Ganar alcance cualificado con afinidad de marca</t>
  </si>
  <si>
    <t>Audiencias de lifestyle y decoración</t>
  </si>
  <si>
    <t>Se priorizaron perfiles pequeños con alta interacción</t>
  </si>
  <si>
    <t>C06</t>
  </si>
  <si>
    <t>Pop-up primavera Lavapiés</t>
  </si>
  <si>
    <t>Generar prueba física y contenido UGC</t>
  </si>
  <si>
    <t>Público local Madrid</t>
  </si>
  <si>
    <t>Evento de 1 día con reserva previa</t>
  </si>
  <si>
    <t>C07</t>
  </si>
  <si>
    <t>Campaña Día de la Madre</t>
  </si>
  <si>
    <t>Acelerar ventas de packs regalo</t>
  </si>
  <si>
    <t>Compradores estacionales</t>
  </si>
  <si>
    <t>Mayor peso en video vertical</t>
  </si>
  <si>
    <t>C08</t>
  </si>
  <si>
    <t>SEO intención local verano</t>
  </si>
  <si>
    <t>Captar búsquedas de talleres vacacionales</t>
  </si>
  <si>
    <t>Usuarios buscando planes de verano</t>
  </si>
  <si>
    <t>Cluster de páginas locales y agenda</t>
  </si>
  <si>
    <t>C09</t>
  </si>
  <si>
    <t>Workshops verano</t>
  </si>
  <si>
    <t>Llenar plazas de talleres de julio y agosto</t>
  </si>
  <si>
    <t>Familias y ocio urbano</t>
  </si>
  <si>
    <t>Campañas Search + Performance Max</t>
  </si>
  <si>
    <t>C10</t>
  </si>
  <si>
    <t>Afterwork corporativo septiembre</t>
  </si>
  <si>
    <t>Abrir línea B2B para empresas</t>
  </si>
  <si>
    <t>Responsables de people/office</t>
  </si>
  <si>
    <t>Apoyo con demo privada</t>
  </si>
  <si>
    <t>C11</t>
  </si>
  <si>
    <t>Alianza coworkings creativos</t>
  </si>
  <si>
    <t>Captar grupos y talleres recurrentes</t>
  </si>
  <si>
    <t>Coworkings y comunidades creativas</t>
  </si>
  <si>
    <t>Acuerdos de co-promoción y trial</t>
  </si>
  <si>
    <t>C12</t>
  </si>
  <si>
    <t>Lanzamiento kits otoño</t>
  </si>
  <si>
    <t>Introducir nuevos kits de edición limitada</t>
  </si>
  <si>
    <t>Clientes recurrentes y lookalikes</t>
  </si>
  <si>
    <t>Mejor resultado en Meta que en TikTok</t>
  </si>
  <si>
    <t>C13</t>
  </si>
  <si>
    <t>Newsletter Black Friday VIP</t>
  </si>
  <si>
    <t>Maximizar conversión de base caliente</t>
  </si>
  <si>
    <t>Clientes y suscriptores VIP</t>
  </si>
  <si>
    <t>Oferta escalonada por segmento</t>
  </si>
  <si>
    <t>C14</t>
  </si>
  <si>
    <t>Regalos experiencia Navidad</t>
  </si>
  <si>
    <t>Captar demanda pico de gifting</t>
  </si>
  <si>
    <t>Compradores navideños</t>
  </si>
  <si>
    <t>Foco en términos 'regalo experiencia'</t>
  </si>
  <si>
    <t>C15</t>
  </si>
  <si>
    <t>Calendario editorial navideño</t>
  </si>
  <si>
    <t>Sostener tráfico orgánico y autoridad</t>
  </si>
  <si>
    <t>Audiencias de búsqueda informacional</t>
  </si>
  <si>
    <t>Contenido de inspiración + guía de regalos</t>
  </si>
  <si>
    <t>C16</t>
  </si>
  <si>
    <t>Mercadillo diseño navideño</t>
  </si>
  <si>
    <t>Cierre de año con ventas y captación local</t>
  </si>
  <si>
    <t>Compradores presenciales y regalo</t>
  </si>
  <si>
    <t>Incluyó demostraciones en vivo</t>
  </si>
  <si>
    <t>Presupuesto: detalle + control</t>
  </si>
  <si>
    <t>Registro detallado por campaña y mes. La parte derecha resume por canal y por mes.</t>
  </si>
  <si>
    <t>Controles</t>
  </si>
  <si>
    <t>Resumen por canal</t>
  </si>
  <si>
    <t>Resumen mensual</t>
  </si>
  <si>
    <t>Plan bruto total</t>
  </si>
  <si>
    <t>Real bruto total</t>
  </si>
  <si>
    <t>Desviación vs aprobado</t>
  </si>
  <si>
    <t>% ejecución sobre aprobado</t>
  </si>
  <si>
    <t>Mes</t>
  </si>
  <si>
    <t>Mes #</t>
  </si>
  <si>
    <t>Campaña</t>
  </si>
  <si>
    <t>Tipo inversión</t>
  </si>
  <si>
    <t>Plan neto</t>
  </si>
  <si>
    <t>Real neto</t>
  </si>
  <si>
    <t>IVA</t>
  </si>
  <si>
    <t>Plan bruto</t>
  </si>
  <si>
    <t>Real bruto</t>
  </si>
  <si>
    <t>Variación</t>
  </si>
  <si>
    <t>Notas</t>
  </si>
  <si>
    <t>% mix real</t>
  </si>
  <si>
    <t>Ejecución</t>
  </si>
  <si>
    <t>% ejecución</t>
  </si>
  <si>
    <t>Enero</t>
  </si>
  <si>
    <t>Paid media</t>
  </si>
  <si>
    <t>Febrero</t>
  </si>
  <si>
    <t>Contenido</t>
  </si>
  <si>
    <t>Marzo</t>
  </si>
  <si>
    <t>Abril</t>
  </si>
  <si>
    <t>Mayo</t>
  </si>
  <si>
    <t>Junio</t>
  </si>
  <si>
    <t>Julio</t>
  </si>
  <si>
    <t>CRM</t>
  </si>
  <si>
    <t>Agosto</t>
  </si>
  <si>
    <t>Septiembre</t>
  </si>
  <si>
    <t>Octubre</t>
  </si>
  <si>
    <t>Noviembre</t>
  </si>
  <si>
    <t>Diciembre</t>
  </si>
  <si>
    <t>Partnerships</t>
  </si>
  <si>
    <t>Experiencial</t>
  </si>
  <si>
    <t>KPIs y dashboard</t>
  </si>
  <si>
    <t>Detalle por campaña-mes + resúmenes mensuales y por canal. El gasto se trae automáticamente desde Presupuesto.</t>
  </si>
  <si>
    <t>Objetivo canal</t>
  </si>
  <si>
    <t>Impresiones</t>
  </si>
  <si>
    <t>Clics</t>
  </si>
  <si>
    <t>Sesiones</t>
  </si>
  <si>
    <t>Clientes</t>
  </si>
  <si>
    <t>Gasto neto</t>
  </si>
  <si>
    <t>CTR</t>
  </si>
  <si>
    <t>CPC</t>
  </si>
  <si>
    <t>Tasa visita→lead</t>
  </si>
  <si>
    <t>Tasa lead→cliente</t>
  </si>
  <si>
    <t>CPL</t>
  </si>
  <si>
    <t>CAC</t>
  </si>
  <si>
    <t>Leads obj.</t>
  </si>
  <si>
    <t>Leads real</t>
  </si>
  <si>
    <t>Ingresos obj.</t>
  </si>
  <si>
    <t>Ingresos real</t>
  </si>
  <si>
    <t>Gasto</t>
  </si>
  <si>
    <t>Ingresos</t>
  </si>
  <si>
    <t>Captación</t>
  </si>
  <si>
    <t>Consideración</t>
  </si>
  <si>
    <t>Conversión</t>
  </si>
  <si>
    <t>Awareness</t>
  </si>
  <si>
    <t>Rol</t>
  </si>
  <si>
    <t>Planificada</t>
  </si>
  <si>
    <t>Baja</t>
  </si>
  <si>
    <t>Pausada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</si>
</sst>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\ [$€-C0A]"/>
    <numFmt numFmtId="165" formatCode="0.0\x"/>
    <numFmt numFmtId="166" formatCode="#,##0\ [$€-C0A];[Red]\(#,##0\)\ [$€-C0A]"/>
    <numFmt numFmtId="167" formatCode="0.0%"/>
  </numFmts>
  <fonts count="14" x14ac:knownFonts="1">
    <font>
      <sz val="11"/>
      <color theme="1"/>
      <name val="Calibri"/>
      <family val="2"/>
      <scheme val="minor"/>
    </font>
    <font>
      <b/>
      <sz val="18"/>
      <color rgb="FFFFFFFF"/>
      <name val="Calibri"/>
    </font>
    <font>
      <i/>
      <sz val="9"/>
      <color rgb="FF374151"/>
      <name val="Calibri"/>
    </font>
    <font>
      <b/>
      <sz val="11"/>
      <color rgb="FFFFFFFF"/>
      <name val="Calibri"/>
    </font>
    <font>
      <b/>
      <sz val="10"/>
      <color rgb="FF374151"/>
      <name val="Calibri"/>
    </font>
    <font>
      <sz val="10"/>
      <color rgb="FF1D4ED8"/>
      <name val="Calibri"/>
    </font>
    <font>
      <sz val="10"/>
      <color rgb="FF374151"/>
      <name val="Calibri"/>
    </font>
    <font>
      <b/>
      <sz val="9"/>
      <color rgb="FFFFFFFF"/>
      <name val="Calibri"/>
    </font>
    <font>
      <b/>
      <sz val="16"/>
      <color rgb="FFFFFFFF"/>
      <name val="Calibri"/>
    </font>
    <font>
      <sz val="10"/>
      <color rgb="FF000000"/>
      <name val="Calibri"/>
    </font>
    <font>
      <b/>
      <sz val="9"/>
      <color rgb="FF1F4E78"/>
      <name val="Calibri"/>
    </font>
    <font>
      <sz val="11"/>
      <color theme="1"/>
      <name val="Calibri"/>
      <family val="2"/>
      <scheme val="minor"/>
    </font>
    <font>
      <b/>
      <sz val="25"/>
      <color rgb="FFFFFFFF"/>
      <name val="Calibri"/>
      <family val="2"/>
    </font>
    <font>
      <sz val="25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1F4E78"/>
      </patternFill>
    </fill>
    <fill>
      <patternFill patternType="solid">
        <fgColor rgb="FF0F766E"/>
      </patternFill>
    </fill>
    <fill>
      <patternFill patternType="solid">
        <fgColor rgb="FFF3F4F6"/>
      </patternFill>
    </fill>
    <fill>
      <patternFill patternType="solid">
        <fgColor rgb="FFEAF3FF"/>
      </patternFill>
    </fill>
    <fill>
      <patternFill patternType="solid">
        <fgColor rgb="FFFFFFFF"/>
      </patternFill>
    </fill>
    <fill>
      <patternFill patternType="solid">
        <fgColor rgb="FF6D28D9"/>
      </patternFill>
    </fill>
    <fill>
      <patternFill patternType="solid">
        <fgColor rgb="FF374151"/>
      </patternFill>
    </fill>
  </fills>
  <borders count="3">
    <border>
      <left/>
      <right/>
      <top/>
      <bottom/>
      <diagonal/>
    </border>
    <border>
      <left style="thin">
        <color rgb="FFD1D5DB"/>
      </left>
      <right style="thin">
        <color rgb="FFD1D5DB"/>
      </right>
      <top style="thin">
        <color rgb="FFD1D5DB"/>
      </top>
      <bottom style="thin">
        <color rgb="FFD1D5DB"/>
      </bottom>
      <diagonal/>
    </border>
    <border>
      <left style="thin">
        <color rgb="FFD1D5DB"/>
      </left>
      <right/>
      <top/>
      <bottom/>
      <diagonal/>
    </border>
  </borders>
  <cellStyleXfs count="2">
    <xf numFmtId="0" fontId="0" fillId="0" borderId="0"/>
    <xf numFmtId="0" fontId="11" fillId="0" borderId="0"/>
  </cellStyleXfs>
  <cellXfs count="59">
    <xf numFmtId="0" fontId="0" fillId="0" borderId="0" xfId="0"/>
    <xf numFmtId="0" fontId="2" fillId="0" borderId="0" xfId="1" applyFont="1"/>
    <xf numFmtId="0" fontId="4" fillId="4" borderId="1" xfId="1" applyFont="1" applyFill="1" applyBorder="1" applyAlignment="1">
      <alignment horizontal="left"/>
    </xf>
    <xf numFmtId="0" fontId="6" fillId="6" borderId="1" xfId="1" applyFont="1" applyFill="1" applyBorder="1" applyAlignment="1">
      <alignment vertical="center" wrapText="1"/>
    </xf>
    <xf numFmtId="0" fontId="7" fillId="8" borderId="1" xfId="1" applyFont="1" applyFill="1" applyBorder="1" applyAlignment="1">
      <alignment horizontal="center"/>
    </xf>
    <xf numFmtId="0" fontId="4" fillId="4" borderId="1" xfId="1" applyFont="1" applyFill="1" applyBorder="1" applyAlignment="1">
      <alignment horizontal="center"/>
    </xf>
    <xf numFmtId="164" fontId="6" fillId="6" borderId="1" xfId="1" applyNumberFormat="1" applyFont="1" applyFill="1" applyBorder="1" applyAlignment="1">
      <alignment vertical="center" wrapText="1"/>
    </xf>
    <xf numFmtId="3" fontId="6" fillId="6" borderId="1" xfId="1" applyNumberFormat="1" applyFont="1" applyFill="1" applyBorder="1" applyAlignment="1">
      <alignment vertical="center" wrapText="1"/>
    </xf>
    <xf numFmtId="167" fontId="6" fillId="6" borderId="1" xfId="1" applyNumberFormat="1" applyFont="1" applyFill="1" applyBorder="1" applyAlignment="1">
      <alignment vertical="center" wrapText="1"/>
    </xf>
    <xf numFmtId="165" fontId="6" fillId="6" borderId="1" xfId="1" applyNumberFormat="1" applyFont="1" applyFill="1" applyBorder="1" applyAlignment="1">
      <alignment vertical="center" wrapText="1"/>
    </xf>
    <xf numFmtId="167" fontId="9" fillId="6" borderId="1" xfId="1" applyNumberFormat="1" applyFont="1" applyFill="1" applyBorder="1" applyAlignment="1">
      <alignment vertical="center" wrapText="1"/>
    </xf>
    <xf numFmtId="0" fontId="4" fillId="4" borderId="1" xfId="1" applyFont="1" applyFill="1" applyBorder="1" applyAlignment="1">
      <alignment horizontal="center" wrapText="1"/>
    </xf>
    <xf numFmtId="0" fontId="9" fillId="6" borderId="1" xfId="1" applyFont="1" applyFill="1" applyBorder="1" applyAlignment="1">
      <alignment vertical="center" wrapText="1"/>
    </xf>
    <xf numFmtId="14" fontId="6" fillId="6" borderId="1" xfId="1" applyNumberFormat="1" applyFont="1" applyFill="1" applyBorder="1" applyAlignment="1">
      <alignment vertical="center" wrapText="1"/>
    </xf>
    <xf numFmtId="164" fontId="9" fillId="6" borderId="1" xfId="1" applyNumberFormat="1" applyFont="1" applyFill="1" applyBorder="1" applyAlignment="1">
      <alignment vertical="center" wrapText="1"/>
    </xf>
    <xf numFmtId="165" fontId="9" fillId="6" borderId="1" xfId="1" applyNumberFormat="1" applyFont="1" applyFill="1" applyBorder="1" applyAlignment="1">
      <alignment vertical="center" wrapText="1"/>
    </xf>
    <xf numFmtId="0" fontId="10" fillId="6" borderId="1" xfId="1" applyFont="1" applyFill="1" applyBorder="1" applyAlignment="1">
      <alignment horizontal="center"/>
    </xf>
    <xf numFmtId="166" fontId="9" fillId="6" borderId="1" xfId="1" applyNumberFormat="1" applyFont="1" applyFill="1" applyBorder="1" applyAlignment="1">
      <alignment vertical="center" wrapText="1"/>
    </xf>
    <xf numFmtId="0" fontId="6" fillId="6" borderId="1" xfId="1" applyFont="1" applyFill="1" applyBorder="1" applyAlignment="1">
      <alignment horizontal="center"/>
    </xf>
    <xf numFmtId="164" fontId="9" fillId="6" borderId="1" xfId="1" applyNumberFormat="1" applyFont="1" applyFill="1" applyBorder="1" applyAlignment="1">
      <alignment horizontal="center"/>
    </xf>
    <xf numFmtId="166" fontId="9" fillId="6" borderId="1" xfId="1" applyNumberFormat="1" applyFont="1" applyFill="1" applyBorder="1" applyAlignment="1">
      <alignment horizontal="center"/>
    </xf>
    <xf numFmtId="167" fontId="9" fillId="6" borderId="1" xfId="1" applyNumberFormat="1" applyFont="1" applyFill="1" applyBorder="1" applyAlignment="1">
      <alignment horizontal="center"/>
    </xf>
    <xf numFmtId="0" fontId="6" fillId="6" borderId="1" xfId="1" applyFont="1" applyFill="1" applyBorder="1" applyAlignment="1">
      <alignment horizontal="center" wrapText="1"/>
    </xf>
    <xf numFmtId="3" fontId="6" fillId="6" borderId="1" xfId="1" applyNumberFormat="1" applyFont="1" applyFill="1" applyBorder="1" applyAlignment="1">
      <alignment horizontal="center" wrapText="1"/>
    </xf>
    <xf numFmtId="164" fontId="6" fillId="6" borderId="1" xfId="1" applyNumberFormat="1" applyFont="1" applyFill="1" applyBorder="1" applyAlignment="1">
      <alignment horizontal="center" wrapText="1"/>
    </xf>
    <xf numFmtId="164" fontId="9" fillId="6" borderId="1" xfId="1" applyNumberFormat="1" applyFont="1" applyFill="1" applyBorder="1" applyAlignment="1">
      <alignment horizontal="center" wrapText="1"/>
    </xf>
    <xf numFmtId="167" fontId="9" fillId="6" borderId="1" xfId="1" applyNumberFormat="1" applyFont="1" applyFill="1" applyBorder="1" applyAlignment="1">
      <alignment horizontal="center" wrapText="1"/>
    </xf>
    <xf numFmtId="165" fontId="9" fillId="6" borderId="1" xfId="1" applyNumberFormat="1" applyFont="1" applyFill="1" applyBorder="1" applyAlignment="1">
      <alignment horizontal="center" wrapText="1"/>
    </xf>
    <xf numFmtId="3" fontId="9" fillId="6" borderId="1" xfId="1" applyNumberFormat="1" applyFont="1" applyFill="1" applyBorder="1" applyAlignment="1">
      <alignment horizontal="center"/>
    </xf>
    <xf numFmtId="165" fontId="9" fillId="6" borderId="1" xfId="1" applyNumberFormat="1" applyFont="1" applyFill="1" applyBorder="1" applyAlignment="1">
      <alignment horizontal="center"/>
    </xf>
    <xf numFmtId="0" fontId="5" fillId="5" borderId="1" xfId="1" applyFont="1" applyFill="1" applyBorder="1" applyAlignment="1">
      <alignment vertical="center" wrapText="1"/>
    </xf>
    <xf numFmtId="0" fontId="0" fillId="5" borderId="1" xfId="1" applyFont="1" applyFill="1" applyBorder="1"/>
    <xf numFmtId="0" fontId="3" fillId="2" borderId="1" xfId="1" applyFont="1" applyFill="1" applyBorder="1" applyAlignment="1">
      <alignment horizontal="left"/>
    </xf>
    <xf numFmtId="0" fontId="0" fillId="0" borderId="0" xfId="0"/>
    <xf numFmtId="0" fontId="7" fillId="8" borderId="1" xfId="1" applyFont="1" applyFill="1" applyBorder="1" applyAlignment="1">
      <alignment horizontal="center"/>
    </xf>
    <xf numFmtId="3" fontId="8" fillId="7" borderId="1" xfId="1" applyNumberFormat="1" applyFont="1" applyFill="1" applyBorder="1" applyAlignment="1">
      <alignment horizontal="center" vertical="center"/>
    </xf>
    <xf numFmtId="164" fontId="8" fillId="3" borderId="1" xfId="1" applyNumberFormat="1" applyFont="1" applyFill="1" applyBorder="1" applyAlignment="1">
      <alignment horizontal="center" vertical="center"/>
    </xf>
    <xf numFmtId="0" fontId="6" fillId="6" borderId="1" xfId="1" applyFont="1" applyFill="1" applyBorder="1" applyAlignment="1">
      <alignment vertical="center" wrapText="1"/>
    </xf>
    <xf numFmtId="0" fontId="0" fillId="6" borderId="1" xfId="1" applyFont="1" applyFill="1" applyBorder="1"/>
    <xf numFmtId="164" fontId="5" fillId="5" borderId="1" xfId="1" applyNumberFormat="1" applyFont="1" applyFill="1" applyBorder="1" applyAlignment="1">
      <alignment horizontal="right"/>
    </xf>
    <xf numFmtId="166" fontId="8" fillId="3" borderId="1" xfId="1" applyNumberFormat="1" applyFont="1" applyFill="1" applyBorder="1" applyAlignment="1">
      <alignment horizontal="center" vertical="center"/>
    </xf>
    <xf numFmtId="164" fontId="8" fillId="2" borderId="1" xfId="1" applyNumberFormat="1" applyFont="1" applyFill="1" applyBorder="1" applyAlignment="1">
      <alignment horizontal="center" vertical="center"/>
    </xf>
    <xf numFmtId="165" fontId="5" fillId="5" borderId="1" xfId="1" applyNumberFormat="1" applyFont="1" applyFill="1" applyBorder="1" applyAlignment="1">
      <alignment horizontal="right"/>
    </xf>
    <xf numFmtId="0" fontId="3" fillId="3" borderId="1" xfId="1" applyFont="1" applyFill="1" applyBorder="1" applyAlignment="1">
      <alignment horizontal="left"/>
    </xf>
    <xf numFmtId="0" fontId="3" fillId="7" borderId="1" xfId="1" applyFont="1" applyFill="1" applyBorder="1" applyAlignment="1">
      <alignment horizontal="left"/>
    </xf>
    <xf numFmtId="3" fontId="5" fillId="5" borderId="1" xfId="1" applyNumberFormat="1" applyFont="1" applyFill="1" applyBorder="1" applyAlignment="1">
      <alignment horizontal="right"/>
    </xf>
    <xf numFmtId="165" fontId="8" fillId="2" borderId="1" xfId="1" applyNumberFormat="1" applyFont="1" applyFill="1" applyBorder="1" applyAlignment="1">
      <alignment horizontal="center" vertical="center"/>
    </xf>
    <xf numFmtId="0" fontId="1" fillId="2" borderId="1" xfId="1" applyFont="1" applyFill="1" applyBorder="1" applyAlignment="1">
      <alignment horizontal="left"/>
    </xf>
    <xf numFmtId="164" fontId="9" fillId="5" borderId="1" xfId="1" applyNumberFormat="1" applyFont="1" applyFill="1" applyBorder="1" applyAlignment="1">
      <alignment horizontal="right"/>
    </xf>
    <xf numFmtId="167" fontId="9" fillId="5" borderId="1" xfId="1" applyNumberFormat="1" applyFont="1" applyFill="1" applyBorder="1" applyAlignment="1">
      <alignment horizontal="right"/>
    </xf>
    <xf numFmtId="166" fontId="9" fillId="5" borderId="1" xfId="1" applyNumberFormat="1" applyFont="1" applyFill="1" applyBorder="1" applyAlignment="1">
      <alignment horizontal="right"/>
    </xf>
    <xf numFmtId="0" fontId="3" fillId="7" borderId="2" xfId="1" applyFont="1" applyFill="1" applyBorder="1" applyAlignment="1">
      <alignment horizontal="center"/>
    </xf>
    <xf numFmtId="0" fontId="3" fillId="7" borderId="0" xfId="1" applyFont="1" applyFill="1" applyBorder="1" applyAlignment="1">
      <alignment horizontal="center"/>
    </xf>
    <xf numFmtId="0" fontId="6" fillId="6" borderId="2" xfId="1" applyFont="1" applyFill="1" applyBorder="1" applyAlignment="1">
      <alignment horizontal="left" wrapText="1"/>
    </xf>
    <xf numFmtId="0" fontId="6" fillId="6" borderId="0" xfId="1" applyFont="1" applyFill="1" applyBorder="1" applyAlignment="1">
      <alignment horizontal="left" wrapText="1"/>
    </xf>
    <xf numFmtId="0" fontId="6" fillId="6" borderId="1" xfId="1" applyFont="1" applyFill="1" applyBorder="1" applyAlignment="1">
      <alignment horizontal="left" wrapText="1"/>
    </xf>
    <xf numFmtId="0" fontId="0" fillId="0" borderId="0" xfId="0" applyAlignment="1">
      <alignment horizontal="left"/>
    </xf>
    <xf numFmtId="0" fontId="12" fillId="2" borderId="1" xfId="1" applyFont="1" applyFill="1" applyBorder="1" applyAlignment="1">
      <alignment horizontal="left" vertical="center"/>
    </xf>
    <xf numFmtId="0" fontId="13" fillId="0" borderId="0" xfId="0" applyFont="1"/>
  </cellXfs>
  <cellStyles count="2">
    <cellStyle name="Normal" xfId="1" xr:uid="{00000000-0005-0000-0000-000000000000}"/>
    <cellStyle name="Standard" xfId="0" builtinId="0"/>
  </cellStyles>
  <dxfs count="18">
    <dxf>
      <fill>
        <patternFill>
          <bgColor rgb="FFDCFCE7"/>
        </patternFill>
      </fill>
    </dxf>
    <dxf>
      <fill>
        <patternFill>
          <bgColor rgb="FFFEE2E2"/>
        </patternFill>
      </fill>
    </dxf>
    <dxf>
      <fill>
        <patternFill>
          <bgColor rgb="FFBFDBFE"/>
        </patternFill>
      </fill>
    </dxf>
    <dxf>
      <fill>
        <patternFill>
          <bgColor rgb="FFBFDBFE"/>
        </patternFill>
      </fill>
    </dxf>
    <dxf>
      <fill>
        <patternFill>
          <bgColor rgb="FFBFDBFE"/>
        </patternFill>
      </fill>
    </dxf>
    <dxf>
      <fill>
        <patternFill>
          <bgColor rgb="FFBFDBFE"/>
        </patternFill>
      </fill>
    </dxf>
    <dxf>
      <fill>
        <patternFill>
          <bgColor rgb="FFBFDBFE"/>
        </patternFill>
      </fill>
    </dxf>
    <dxf>
      <fill>
        <patternFill>
          <bgColor rgb="FFBFDBFE"/>
        </patternFill>
      </fill>
    </dxf>
    <dxf>
      <fill>
        <patternFill>
          <bgColor rgb="FFBFDBFE"/>
        </patternFill>
      </fill>
    </dxf>
    <dxf>
      <fill>
        <patternFill>
          <bgColor rgb="FFBFDBFE"/>
        </patternFill>
      </fill>
    </dxf>
    <dxf>
      <fill>
        <patternFill>
          <bgColor rgb="FFBFDBFE"/>
        </patternFill>
      </fill>
    </dxf>
    <dxf>
      <fill>
        <patternFill>
          <bgColor rgb="FFBFDBFE"/>
        </patternFill>
      </fill>
    </dxf>
    <dxf>
      <fill>
        <patternFill>
          <bgColor rgb="FFBFDBFE"/>
        </patternFill>
      </fill>
    </dxf>
    <dxf>
      <fill>
        <patternFill>
          <bgColor rgb="FFBFDBFE"/>
        </patternFill>
      </fill>
    </dxf>
    <dxf>
      <fill>
        <patternFill>
          <bgColor rgb="FFFEE2E2"/>
        </patternFill>
      </fill>
    </dxf>
    <dxf>
      <fill>
        <patternFill>
          <bgColor rgb="FFFEE2E2"/>
        </patternFill>
      </fill>
    </dxf>
    <dxf>
      <fill>
        <patternFill>
          <bgColor rgb="FFFEF3C7"/>
        </patternFill>
      </fill>
    </dxf>
    <dxf>
      <fill>
        <patternFill>
          <bgColor rgb="FFDCFCE7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1"/>
  <c:style val="2"/>
  <c:chart>
    <c:title>
      <c:tx>
        <c:rich>
          <a:bodyPr/>
          <a:lstStyle/>
          <a:p>
            <a:r>
              <a:rPr lang="de-DE" sz="1200"/>
              <a:t>Peso real por canal</a:t>
            </a:r>
          </a:p>
        </c:rich>
      </c:tx>
      <c:overlay val="0"/>
    </c:title>
    <c:autoTitleDeleted val="0"/>
    <c:plotArea>
      <c:layout/>
      <c:pieChart>
        <c:varyColors val="1"/>
        <c:ser>
          <c:idx val="0"/>
          <c:order val="0"/>
          <c:tx>
            <c:strRef>
              <c:f>Presupuesto!$R$10</c:f>
              <c:strCache>
                <c:ptCount val="1"/>
                <c:pt idx="0">
                  <c:v>Real neto</c:v>
                </c:pt>
              </c:strCache>
            </c:strRef>
          </c:tx>
          <c:spPr>
            <a:ln>
              <a:prstDash val="solid"/>
            </a:ln>
          </c:spPr>
          <c:cat>
            <c:strRef>
              <c:f>Presupuesto!$P$11:$P$16</c:f>
              <c:strCache>
                <c:ptCount val="6"/>
                <c:pt idx="0">
                  <c:v>Social Ads</c:v>
                </c:pt>
                <c:pt idx="1">
                  <c:v>Google Ads</c:v>
                </c:pt>
                <c:pt idx="2">
                  <c:v>SEO/Contenido</c:v>
                </c:pt>
                <c:pt idx="3">
                  <c:v>Email/CRM</c:v>
                </c:pt>
                <c:pt idx="4">
                  <c:v>Colaboraciones</c:v>
                </c:pt>
                <c:pt idx="5">
                  <c:v>Eventos</c:v>
                </c:pt>
              </c:strCache>
            </c:strRef>
          </c:cat>
          <c:val>
            <c:numRef>
              <c:f>Presupuesto!$R$11:$R$16</c:f>
              <c:numCache>
                <c:formatCode>#,##0\ [$€-C0A]</c:formatCode>
                <c:ptCount val="6"/>
                <c:pt idx="0">
                  <c:v>18800</c:v>
                </c:pt>
                <c:pt idx="1">
                  <c:v>23100</c:v>
                </c:pt>
                <c:pt idx="2">
                  <c:v>7700</c:v>
                </c:pt>
                <c:pt idx="3">
                  <c:v>5300</c:v>
                </c:pt>
                <c:pt idx="4">
                  <c:v>9700</c:v>
                </c:pt>
                <c:pt idx="5">
                  <c:v>16600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AE8-4B78-AFDD-AE3655D337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layout>
        <c:manualLayout>
          <c:xMode val="edge"/>
          <c:yMode val="edge"/>
          <c:x val="0.72599074868116731"/>
          <c:y val="0.25503765833618625"/>
          <c:w val="0.24925677607130789"/>
          <c:h val="0.65517802122560764"/>
        </c:manualLayout>
      </c:layout>
      <c:overlay val="1"/>
      <c:txPr>
        <a:bodyPr/>
        <a:lstStyle/>
        <a:p>
          <a:pPr>
            <a:defRPr sz="700"/>
          </a:pPr>
          <a:endParaRPr lang="de-DE"/>
        </a:p>
      </c:txPr>
    </c:legend>
    <c:plotVisOnly val="1"/>
    <c:dispBlanksAs val="gap"/>
    <c:showDLblsOverMax val="1"/>
  </c:chart>
  <c:spPr>
    <a:solidFill>
      <a:schemeClr val="bg2"/>
    </a:solidFill>
  </c:spPr>
  <c:printSettings>
    <c:headerFooter/>
    <c:pageMargins b="0.78740157499999996" l="0.7" r="0.7" t="0.78740157499999996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1"/>
  <c:style val="2"/>
  <c:chart>
    <c:title>
      <c:tx>
        <c:rich>
          <a:bodyPr/>
          <a:lstStyle/>
          <a:p>
            <a:r>
              <a:rPr lang="de-DE" sz="1200"/>
              <a:t>Leads mensuales: objetivo vs real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KPIs!$V$10</c:f>
              <c:strCache>
                <c:ptCount val="1"/>
                <c:pt idx="0">
                  <c:v>Leads obj.</c:v>
                </c:pt>
              </c:strCache>
            </c:strRef>
          </c:tx>
          <c:spPr>
            <a:ln>
              <a:prstDash val="solid"/>
            </a:ln>
          </c:spPr>
          <c:marker>
            <c:symbol val="none"/>
          </c:marker>
          <c:cat>
            <c:strRef>
              <c:f>KPIs!$U$11:$U$22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KPIs!$V$11:$V$22</c:f>
              <c:numCache>
                <c:formatCode>#,##0</c:formatCode>
                <c:ptCount val="12"/>
                <c:pt idx="0">
                  <c:v>186.32911392405063</c:v>
                </c:pt>
                <c:pt idx="1">
                  <c:v>334.81012658227849</c:v>
                </c:pt>
                <c:pt idx="2">
                  <c:v>133.92405063291139</c:v>
                </c:pt>
                <c:pt idx="3">
                  <c:v>415.16455696202524</c:v>
                </c:pt>
                <c:pt idx="4">
                  <c:v>591.5949367088607</c:v>
                </c:pt>
                <c:pt idx="5">
                  <c:v>309.18987341772151</c:v>
                </c:pt>
                <c:pt idx="6">
                  <c:v>206.70886075949366</c:v>
                </c:pt>
                <c:pt idx="7">
                  <c:v>258.53164556962025</c:v>
                </c:pt>
                <c:pt idx="8">
                  <c:v>417.49367088607596</c:v>
                </c:pt>
                <c:pt idx="9">
                  <c:v>548.50632911392404</c:v>
                </c:pt>
                <c:pt idx="10">
                  <c:v>507.16455696202524</c:v>
                </c:pt>
                <c:pt idx="11">
                  <c:v>690.58227848101262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BB3-4856-B3BD-39BB814CA9E5}"/>
            </c:ext>
          </c:extLst>
        </c:ser>
        <c:ser>
          <c:idx val="1"/>
          <c:order val="1"/>
          <c:tx>
            <c:strRef>
              <c:f>KPIs!$W$10</c:f>
              <c:strCache>
                <c:ptCount val="1"/>
                <c:pt idx="0">
                  <c:v>Leads real</c:v>
                </c:pt>
              </c:strCache>
            </c:strRef>
          </c:tx>
          <c:spPr>
            <a:ln>
              <a:prstDash val="solid"/>
            </a:ln>
          </c:spPr>
          <c:marker>
            <c:symbol val="none"/>
          </c:marker>
          <c:cat>
            <c:strRef>
              <c:f>KPIs!$U$11:$U$22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KPIs!$W$11:$W$22</c:f>
              <c:numCache>
                <c:formatCode>#,##0</c:formatCode>
                <c:ptCount val="12"/>
                <c:pt idx="0">
                  <c:v>175</c:v>
                </c:pt>
                <c:pt idx="1">
                  <c:v>359</c:v>
                </c:pt>
                <c:pt idx="2">
                  <c:v>179</c:v>
                </c:pt>
                <c:pt idx="3">
                  <c:v>445</c:v>
                </c:pt>
                <c:pt idx="4">
                  <c:v>574</c:v>
                </c:pt>
                <c:pt idx="5">
                  <c:v>357</c:v>
                </c:pt>
                <c:pt idx="6">
                  <c:v>245</c:v>
                </c:pt>
                <c:pt idx="7">
                  <c:v>307</c:v>
                </c:pt>
                <c:pt idx="8">
                  <c:v>379</c:v>
                </c:pt>
                <c:pt idx="9">
                  <c:v>513</c:v>
                </c:pt>
                <c:pt idx="10">
                  <c:v>879</c:v>
                </c:pt>
                <c:pt idx="11">
                  <c:v>864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BB3-4856-B3BD-39BB814CA9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sz="700"/>
            </a:pPr>
            <a:endParaRPr lang="de-DE"/>
          </a:p>
        </c:txPr>
        <c:crossAx val="48672768"/>
        <c:crosses val="autoZero"/>
        <c:auto val="1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r>
                  <a:rPr lang="de-DE" sz="1200"/>
                  <a:t>Leads</a:t>
                </a:r>
              </a:p>
            </c:rich>
          </c:tx>
          <c:layout>
            <c:manualLayout>
              <c:xMode val="edge"/>
              <c:yMode val="edge"/>
              <c:x val="3.3738191632928474E-2"/>
              <c:y val="0.62104033520473623"/>
            </c:manualLayout>
          </c:layout>
          <c:overlay val="1"/>
        </c:title>
        <c:numFmt formatCode="#,##0" sourceLinked="1"/>
        <c:majorTickMark val="none"/>
        <c:minorTickMark val="none"/>
        <c:tickLblPos val="nextTo"/>
        <c:crossAx val="48650112"/>
        <c:crosses val="autoZero"/>
        <c:crossBetween val="between"/>
      </c:valAx>
      <c:spPr>
        <a:solidFill>
          <a:schemeClr val="bg2"/>
        </a:solidFill>
      </c:spPr>
    </c:plotArea>
    <c:legend>
      <c:legendPos val="r"/>
      <c:overlay val="1"/>
      <c:txPr>
        <a:bodyPr/>
        <a:lstStyle/>
        <a:p>
          <a:pPr>
            <a:defRPr sz="800"/>
          </a:pPr>
          <a:endParaRPr lang="de-DE"/>
        </a:p>
      </c:txPr>
    </c:legend>
    <c:plotVisOnly val="1"/>
    <c:dispBlanksAs val="gap"/>
    <c:showDLblsOverMax val="1"/>
  </c:chart>
  <c:spPr>
    <a:solidFill>
      <a:schemeClr val="bg2"/>
    </a:solidFill>
  </c:spPr>
  <c:printSettings>
    <c:headerFooter/>
    <c:pageMargins b="0.78740157499999996" l="0.7" r="0.7" t="0.78740157499999996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1"/>
  <c:style val="10"/>
  <c:chart>
    <c:title>
      <c:tx>
        <c:rich>
          <a:bodyPr/>
          <a:lstStyle/>
          <a:p>
            <a:r>
              <a:t>Plan bruto vs real bruto por mes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Presupuesto!$Y$10</c:f>
              <c:strCache>
                <c:ptCount val="1"/>
                <c:pt idx="0">
                  <c:v>Plan bruto</c:v>
                </c:pt>
              </c:strCache>
            </c:strRef>
          </c:tx>
          <c:spPr>
            <a:ln>
              <a:prstDash val="solid"/>
            </a:ln>
          </c:spPr>
          <c:invertIfNegative val="1"/>
          <c:cat>
            <c:strRef>
              <c:f>Presupuesto!$X$11:$X$22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Presupuesto!$Y$11:$Y$22</c:f>
              <c:numCache>
                <c:formatCode>#,##0\ [$€-C0A]</c:formatCode>
                <c:ptCount val="12"/>
                <c:pt idx="0">
                  <c:v>3872</c:v>
                </c:pt>
                <c:pt idx="1">
                  <c:v>6957.5</c:v>
                </c:pt>
                <c:pt idx="2">
                  <c:v>2783</c:v>
                </c:pt>
                <c:pt idx="3">
                  <c:v>8627.2999999999993</c:v>
                </c:pt>
                <c:pt idx="4">
                  <c:v>12293.599999999999</c:v>
                </c:pt>
                <c:pt idx="5">
                  <c:v>6425.1</c:v>
                </c:pt>
                <c:pt idx="6">
                  <c:v>4295.5</c:v>
                </c:pt>
                <c:pt idx="7">
                  <c:v>5372.4</c:v>
                </c:pt>
                <c:pt idx="8">
                  <c:v>8675.7000000000007</c:v>
                </c:pt>
                <c:pt idx="9">
                  <c:v>11398.199999999999</c:v>
                </c:pt>
                <c:pt idx="10">
                  <c:v>10539.099999999999</c:v>
                </c:pt>
                <c:pt idx="11">
                  <c:v>14350.599999999999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A36-49A7-B5E4-E0B37C14DFE8}"/>
            </c:ext>
          </c:extLst>
        </c:ser>
        <c:ser>
          <c:idx val="1"/>
          <c:order val="1"/>
          <c:tx>
            <c:strRef>
              <c:f>Presupuesto!$Z$10</c:f>
              <c:strCache>
                <c:ptCount val="1"/>
                <c:pt idx="0">
                  <c:v>Real bruto</c:v>
                </c:pt>
              </c:strCache>
            </c:strRef>
          </c:tx>
          <c:spPr>
            <a:ln>
              <a:prstDash val="solid"/>
            </a:ln>
          </c:spPr>
          <c:invertIfNegative val="1"/>
          <c:cat>
            <c:strRef>
              <c:f>Presupuesto!$X$11:$X$22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Presupuesto!$Z$11:$Z$22</c:f>
              <c:numCache>
                <c:formatCode>#,##0\ [$€-C0A]</c:formatCode>
                <c:ptCount val="12"/>
                <c:pt idx="0">
                  <c:v>3799.3999999999996</c:v>
                </c:pt>
                <c:pt idx="1">
                  <c:v>7078.5</c:v>
                </c:pt>
                <c:pt idx="2">
                  <c:v>2952.3999999999996</c:v>
                </c:pt>
                <c:pt idx="3">
                  <c:v>9256.5</c:v>
                </c:pt>
                <c:pt idx="4">
                  <c:v>13116.400000000001</c:v>
                </c:pt>
                <c:pt idx="5">
                  <c:v>6679.1999999999989</c:v>
                </c:pt>
                <c:pt idx="6">
                  <c:v>4380.2</c:v>
                </c:pt>
                <c:pt idx="7">
                  <c:v>5481.3</c:v>
                </c:pt>
                <c:pt idx="8">
                  <c:v>8457.9</c:v>
                </c:pt>
                <c:pt idx="9">
                  <c:v>11071.5</c:v>
                </c:pt>
                <c:pt idx="10">
                  <c:v>10902.099999999999</c:v>
                </c:pt>
                <c:pt idx="11">
                  <c:v>15076.599999999999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A36-49A7-B5E4-E0B37C14DF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48672768"/>
        <c:crosses val="autoZero"/>
        <c:auto val="1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r>
                  <a:t>€</a:t>
                </a:r>
              </a:p>
            </c:rich>
          </c:tx>
          <c:overlay val="1"/>
        </c:title>
        <c:numFmt formatCode="#,##0\ [$€-C0A]" sourceLinked="1"/>
        <c:majorTickMark val="none"/>
        <c:minorTickMark val="none"/>
        <c:tickLblPos val="nextTo"/>
        <c:crossAx val="48650112"/>
        <c:crosses val="autoZero"/>
        <c:crossBetween val="between"/>
      </c:valAx>
    </c:plotArea>
    <c:legend>
      <c:legendPos val="r"/>
      <c:overlay val="1"/>
    </c:legend>
    <c:plotVisOnly val="1"/>
    <c:dispBlanksAs val="gap"/>
    <c:showDLblsOverMax val="1"/>
  </c:chart>
  <c:printSettings>
    <c:headerFooter/>
    <c:pageMargins b="0.78740157499999996" l="0.7" r="0.7" t="0.78740157499999996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1"/>
  <c:style val="2"/>
  <c:chart>
    <c:title>
      <c:tx>
        <c:rich>
          <a:bodyPr/>
          <a:lstStyle/>
          <a:p>
            <a:r>
              <a:t>Real neto por canal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1"/>
        <c:ser>
          <c:idx val="0"/>
          <c:order val="0"/>
          <c:tx>
            <c:strRef>
              <c:f>Presupuesto!$R$10</c:f>
              <c:strCache>
                <c:ptCount val="1"/>
                <c:pt idx="0">
                  <c:v>Real neto</c:v>
                </c:pt>
              </c:strCache>
            </c:strRef>
          </c:tx>
          <c:spPr>
            <a:ln>
              <a:prstDash val="solid"/>
            </a:ln>
          </c:spPr>
          <c:invertIfNegative val="1"/>
          <c:cat>
            <c:strRef>
              <c:f>Presupuesto!$P$11:$P$16</c:f>
              <c:strCache>
                <c:ptCount val="6"/>
                <c:pt idx="0">
                  <c:v>Social Ads</c:v>
                </c:pt>
                <c:pt idx="1">
                  <c:v>Google Ads</c:v>
                </c:pt>
                <c:pt idx="2">
                  <c:v>SEO/Contenido</c:v>
                </c:pt>
                <c:pt idx="3">
                  <c:v>Email/CRM</c:v>
                </c:pt>
                <c:pt idx="4">
                  <c:v>Colaboraciones</c:v>
                </c:pt>
                <c:pt idx="5">
                  <c:v>Eventos</c:v>
                </c:pt>
              </c:strCache>
            </c:strRef>
          </c:cat>
          <c:val>
            <c:numRef>
              <c:f>Presupuesto!$R$11:$R$16</c:f>
              <c:numCache>
                <c:formatCode>#,##0\ [$€-C0A]</c:formatCode>
                <c:ptCount val="6"/>
                <c:pt idx="0">
                  <c:v>18800</c:v>
                </c:pt>
                <c:pt idx="1">
                  <c:v>23100</c:v>
                </c:pt>
                <c:pt idx="2">
                  <c:v>7700</c:v>
                </c:pt>
                <c:pt idx="3">
                  <c:v>5300</c:v>
                </c:pt>
                <c:pt idx="4">
                  <c:v>9700</c:v>
                </c:pt>
                <c:pt idx="5">
                  <c:v>16600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58F-428A-9979-76FE30FE30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8650112"/>
        <c:axId val="48672768"/>
      </c:barChart>
      <c:catAx>
        <c:axId val="48650112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r>
                  <a:t>€</a:t>
                </a:r>
              </a:p>
            </c:rich>
          </c:tx>
          <c:overlay val="1"/>
        </c:title>
        <c:numFmt formatCode="General" sourceLinked="1"/>
        <c:majorTickMark val="none"/>
        <c:minorTickMark val="none"/>
        <c:tickLblPos val="nextTo"/>
        <c:crossAx val="48672768"/>
        <c:crosses val="autoZero"/>
        <c:auto val="1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b"/>
        <c:numFmt formatCode="#,##0\ [$€-C0A]" sourceLinked="1"/>
        <c:majorTickMark val="none"/>
        <c:minorTickMark val="none"/>
        <c:tickLblPos val="nextTo"/>
        <c:crossAx val="48650112"/>
        <c:crosses val="autoZero"/>
        <c:crossBetween val="between"/>
      </c:valAx>
    </c:plotArea>
    <c:legend>
      <c:legendPos val="r"/>
      <c:overlay val="1"/>
    </c:legend>
    <c:plotVisOnly val="1"/>
    <c:dispBlanksAs val="gap"/>
    <c:showDLblsOverMax val="1"/>
  </c:chart>
  <c:printSettings>
    <c:headerFooter/>
    <c:pageMargins b="0.78740157499999996" l="0.7" r="0.7" t="0.78740157499999996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1"/>
  <c:style val="2"/>
  <c:chart>
    <c:title>
      <c:tx>
        <c:rich>
          <a:bodyPr/>
          <a:lstStyle/>
          <a:p>
            <a:r>
              <a:t>Leads objetivo vs real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KPIs!$V$10</c:f>
              <c:strCache>
                <c:ptCount val="1"/>
                <c:pt idx="0">
                  <c:v>Leads obj.</c:v>
                </c:pt>
              </c:strCache>
            </c:strRef>
          </c:tx>
          <c:spPr>
            <a:ln>
              <a:prstDash val="solid"/>
            </a:ln>
          </c:spPr>
          <c:marker>
            <c:symbol val="none"/>
          </c:marker>
          <c:cat>
            <c:strRef>
              <c:f>KPIs!$U$11:$U$22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KPIs!$V$11:$V$22</c:f>
              <c:numCache>
                <c:formatCode>#,##0</c:formatCode>
                <c:ptCount val="12"/>
                <c:pt idx="0">
                  <c:v>186.32911392405063</c:v>
                </c:pt>
                <c:pt idx="1">
                  <c:v>334.81012658227849</c:v>
                </c:pt>
                <c:pt idx="2">
                  <c:v>133.92405063291139</c:v>
                </c:pt>
                <c:pt idx="3">
                  <c:v>415.16455696202524</c:v>
                </c:pt>
                <c:pt idx="4">
                  <c:v>591.5949367088607</c:v>
                </c:pt>
                <c:pt idx="5">
                  <c:v>309.18987341772151</c:v>
                </c:pt>
                <c:pt idx="6">
                  <c:v>206.70886075949366</c:v>
                </c:pt>
                <c:pt idx="7">
                  <c:v>258.53164556962025</c:v>
                </c:pt>
                <c:pt idx="8">
                  <c:v>417.49367088607596</c:v>
                </c:pt>
                <c:pt idx="9">
                  <c:v>548.50632911392404</c:v>
                </c:pt>
                <c:pt idx="10">
                  <c:v>507.16455696202524</c:v>
                </c:pt>
                <c:pt idx="11">
                  <c:v>690.58227848101262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7AD-4029-AEF5-F62D8B1BB8B2}"/>
            </c:ext>
          </c:extLst>
        </c:ser>
        <c:ser>
          <c:idx val="1"/>
          <c:order val="1"/>
          <c:tx>
            <c:strRef>
              <c:f>KPIs!$W$10</c:f>
              <c:strCache>
                <c:ptCount val="1"/>
                <c:pt idx="0">
                  <c:v>Leads real</c:v>
                </c:pt>
              </c:strCache>
            </c:strRef>
          </c:tx>
          <c:spPr>
            <a:ln>
              <a:prstDash val="solid"/>
            </a:ln>
          </c:spPr>
          <c:marker>
            <c:symbol val="none"/>
          </c:marker>
          <c:cat>
            <c:strRef>
              <c:f>KPIs!$U$11:$U$22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KPIs!$W$11:$W$22</c:f>
              <c:numCache>
                <c:formatCode>#,##0</c:formatCode>
                <c:ptCount val="12"/>
                <c:pt idx="0">
                  <c:v>175</c:v>
                </c:pt>
                <c:pt idx="1">
                  <c:v>359</c:v>
                </c:pt>
                <c:pt idx="2">
                  <c:v>179</c:v>
                </c:pt>
                <c:pt idx="3">
                  <c:v>445</c:v>
                </c:pt>
                <c:pt idx="4">
                  <c:v>574</c:v>
                </c:pt>
                <c:pt idx="5">
                  <c:v>357</c:v>
                </c:pt>
                <c:pt idx="6">
                  <c:v>245</c:v>
                </c:pt>
                <c:pt idx="7">
                  <c:v>307</c:v>
                </c:pt>
                <c:pt idx="8">
                  <c:v>379</c:v>
                </c:pt>
                <c:pt idx="9">
                  <c:v>513</c:v>
                </c:pt>
                <c:pt idx="10">
                  <c:v>879</c:v>
                </c:pt>
                <c:pt idx="11">
                  <c:v>864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7AD-4029-AEF5-F62D8B1BB8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48672768"/>
        <c:crosses val="autoZero"/>
        <c:auto val="1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r>
                  <a:t>Leads</a:t>
                </a:r>
              </a:p>
            </c:rich>
          </c:tx>
          <c:overlay val="1"/>
        </c:title>
        <c:numFmt formatCode="#,##0" sourceLinked="1"/>
        <c:majorTickMark val="none"/>
        <c:minorTickMark val="none"/>
        <c:tickLblPos val="nextTo"/>
        <c:crossAx val="48650112"/>
        <c:crosses val="autoZero"/>
        <c:crossBetween val="between"/>
      </c:valAx>
    </c:plotArea>
    <c:legend>
      <c:legendPos val="r"/>
      <c:overlay val="1"/>
    </c:legend>
    <c:plotVisOnly val="1"/>
    <c:dispBlanksAs val="gap"/>
    <c:showDLblsOverMax val="1"/>
  </c:chart>
  <c:printSettings>
    <c:headerFooter/>
    <c:pageMargins b="0.78740157499999996" l="0.7" r="0.7" t="0.78740157499999996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1"/>
  <c:style val="2"/>
  <c:chart>
    <c:title>
      <c:tx>
        <c:rich>
          <a:bodyPr/>
          <a:lstStyle/>
          <a:p>
            <a:r>
              <a:t>Ingresos reales por mes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KPIs!$Y$10</c:f>
              <c:strCache>
                <c:ptCount val="1"/>
                <c:pt idx="0">
                  <c:v>Ingresos real</c:v>
                </c:pt>
              </c:strCache>
            </c:strRef>
          </c:tx>
          <c:spPr>
            <a:ln>
              <a:prstDash val="solid"/>
            </a:ln>
          </c:spPr>
          <c:marker>
            <c:symbol val="none"/>
          </c:marker>
          <c:cat>
            <c:strRef>
              <c:f>KPIs!$U$11:$U$22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KPIs!$Y$11:$Y$22</c:f>
              <c:numCache>
                <c:formatCode>#,##0\ [$€-C0A]</c:formatCode>
                <c:ptCount val="12"/>
                <c:pt idx="0">
                  <c:v>6510</c:v>
                </c:pt>
                <c:pt idx="1">
                  <c:v>16490</c:v>
                </c:pt>
                <c:pt idx="2">
                  <c:v>8920</c:v>
                </c:pt>
                <c:pt idx="3">
                  <c:v>20690</c:v>
                </c:pt>
                <c:pt idx="4">
                  <c:v>38170</c:v>
                </c:pt>
                <c:pt idx="5">
                  <c:v>17900</c:v>
                </c:pt>
                <c:pt idx="6">
                  <c:v>10950</c:v>
                </c:pt>
                <c:pt idx="7">
                  <c:v>13580</c:v>
                </c:pt>
                <c:pt idx="8">
                  <c:v>21160</c:v>
                </c:pt>
                <c:pt idx="9">
                  <c:v>28560</c:v>
                </c:pt>
                <c:pt idx="10">
                  <c:v>50000</c:v>
                </c:pt>
                <c:pt idx="11">
                  <c:v>63430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32E-4899-938F-CDEF855AD1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48672768"/>
        <c:crosses val="autoZero"/>
        <c:auto val="1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r>
                  <a:t>€</a:t>
                </a:r>
              </a:p>
            </c:rich>
          </c:tx>
          <c:overlay val="1"/>
        </c:title>
        <c:numFmt formatCode="#,##0\ [$€-C0A]" sourceLinked="1"/>
        <c:majorTickMark val="none"/>
        <c:minorTickMark val="none"/>
        <c:tickLblPos val="nextTo"/>
        <c:crossAx val="48650112"/>
        <c:crosses val="autoZero"/>
        <c:crossBetween val="between"/>
      </c:valAx>
    </c:plotArea>
    <c:legend>
      <c:legendPos val="r"/>
      <c:overlay val="1"/>
    </c:legend>
    <c:plotVisOnly val="1"/>
    <c:dispBlanksAs val="gap"/>
    <c:showDLblsOverMax val="1"/>
  </c:chart>
  <c:printSettings>
    <c:headerFooter/>
    <c:pageMargins b="0.78740157499999996" l="0.7" r="0.7" t="0.78740157499999996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1"/>
  <c:style val="2"/>
  <c:chart>
    <c:title>
      <c:tx>
        <c:rich>
          <a:bodyPr/>
          <a:lstStyle/>
          <a:p>
            <a:r>
              <a:t>ROAS por canal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KPIs!$AH$10</c:f>
              <c:strCache>
                <c:ptCount val="1"/>
                <c:pt idx="0">
                  <c:v>ROAS</c:v>
                </c:pt>
              </c:strCache>
            </c:strRef>
          </c:tx>
          <c:spPr>
            <a:ln>
              <a:prstDash val="solid"/>
            </a:ln>
          </c:spPr>
          <c:invertIfNegative val="1"/>
          <c:cat>
            <c:strRef>
              <c:f>KPIs!$AC$11:$AC$16</c:f>
              <c:strCache>
                <c:ptCount val="6"/>
                <c:pt idx="0">
                  <c:v>Social Ads</c:v>
                </c:pt>
                <c:pt idx="1">
                  <c:v>Google Ads</c:v>
                </c:pt>
                <c:pt idx="2">
                  <c:v>SEO/Contenido</c:v>
                </c:pt>
                <c:pt idx="3">
                  <c:v>Email/CRM</c:v>
                </c:pt>
                <c:pt idx="4">
                  <c:v>Colaboraciones</c:v>
                </c:pt>
                <c:pt idx="5">
                  <c:v>Eventos</c:v>
                </c:pt>
              </c:strCache>
            </c:strRef>
          </c:cat>
          <c:val>
            <c:numRef>
              <c:f>KPIs!$AH$11:$AH$16</c:f>
              <c:numCache>
                <c:formatCode>0.0\x</c:formatCode>
                <c:ptCount val="6"/>
                <c:pt idx="0">
                  <c:v>2.2553191489361701</c:v>
                </c:pt>
                <c:pt idx="1">
                  <c:v>3.6021645021645021</c:v>
                </c:pt>
                <c:pt idx="2">
                  <c:v>3.948051948051948</c:v>
                </c:pt>
                <c:pt idx="3">
                  <c:v>8.3924528301886792</c:v>
                </c:pt>
                <c:pt idx="4">
                  <c:v>2.7701030927835051</c:v>
                </c:pt>
                <c:pt idx="5">
                  <c:v>4.1566265060240966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0AE-4612-9B13-32CB0C1CF3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48672768"/>
        <c:crosses val="autoZero"/>
        <c:auto val="1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numFmt formatCode="0.0\x" sourceLinked="1"/>
        <c:majorTickMark val="none"/>
        <c:minorTickMark val="none"/>
        <c:tickLblPos val="nextTo"/>
        <c:crossAx val="48650112"/>
        <c:crosses val="autoZero"/>
        <c:crossBetween val="between"/>
      </c:valAx>
    </c:plotArea>
    <c:legend>
      <c:legendPos val="r"/>
      <c:overlay val="1"/>
    </c:legend>
    <c:plotVisOnly val="1"/>
    <c:dispBlanksAs val="gap"/>
    <c:showDLblsOverMax val="1"/>
  </c:chart>
  <c:printSettings>
    <c:headerFooter/>
    <c:pageMargins b="0.78740157499999996" l="0.7" r="0.7" t="0.78740157499999996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685800</xdr:colOff>
      <xdr:row>19</xdr:row>
      <xdr:rowOff>106680</xdr:rowOff>
    </xdr:from>
    <xdr:to>
      <xdr:col>7</xdr:col>
      <xdr:colOff>22860</xdr:colOff>
      <xdr:row>24</xdr:row>
      <xdr:rowOff>281940</xdr:rowOff>
    </xdr:to>
    <xdr:graphicFrame macro="">
      <xdr:nvGraphicFramePr>
        <xdr:cNvPr id="2" name="Chart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99060</xdr:colOff>
      <xdr:row>19</xdr:row>
      <xdr:rowOff>106680</xdr:rowOff>
    </xdr:from>
    <xdr:to>
      <xdr:col>4</xdr:col>
      <xdr:colOff>624840</xdr:colOff>
      <xdr:row>24</xdr:row>
      <xdr:rowOff>281940</xdr:rowOff>
    </xdr:to>
    <xdr:graphicFrame macro="">
      <xdr:nvGraphicFramePr>
        <xdr:cNvPr id="3" name="Chart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10</xdr:row>
      <xdr:rowOff>0</xdr:rowOff>
    </xdr:from>
    <xdr:to>
      <xdr:col>15</xdr:col>
      <xdr:colOff>0</xdr:colOff>
      <xdr:row>18</xdr:row>
      <xdr:rowOff>0</xdr:rowOff>
    </xdr:to>
    <xdr:graphicFrame macro="">
      <xdr:nvGraphicFramePr>
        <xdr:cNvPr id="2" name="Chart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0</xdr:colOff>
      <xdr:row>10</xdr:row>
      <xdr:rowOff>0</xdr:rowOff>
    </xdr:from>
    <xdr:to>
      <xdr:col>23</xdr:col>
      <xdr:colOff>0</xdr:colOff>
      <xdr:row>18</xdr:row>
      <xdr:rowOff>0</xdr:rowOff>
    </xdr:to>
    <xdr:graphicFrame macro="">
      <xdr:nvGraphicFramePr>
        <xdr:cNvPr id="3" name="Chart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10</xdr:row>
      <xdr:rowOff>0</xdr:rowOff>
    </xdr:from>
    <xdr:to>
      <xdr:col>20</xdr:col>
      <xdr:colOff>0</xdr:colOff>
      <xdr:row>18</xdr:row>
      <xdr:rowOff>0</xdr:rowOff>
    </xdr:to>
    <xdr:graphicFrame macro="">
      <xdr:nvGraphicFramePr>
        <xdr:cNvPr id="2" name="Chart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0</xdr:colOff>
      <xdr:row>10</xdr:row>
      <xdr:rowOff>0</xdr:rowOff>
    </xdr:from>
    <xdr:to>
      <xdr:col>28</xdr:col>
      <xdr:colOff>0</xdr:colOff>
      <xdr:row>18</xdr:row>
      <xdr:rowOff>0</xdr:rowOff>
    </xdr:to>
    <xdr:graphicFrame macro="">
      <xdr:nvGraphicFramePr>
        <xdr:cNvPr id="3" name="Chart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0</xdr:colOff>
      <xdr:row>10</xdr:row>
      <xdr:rowOff>0</xdr:rowOff>
    </xdr:from>
    <xdr:to>
      <xdr:col>28</xdr:col>
      <xdr:colOff>0</xdr:colOff>
      <xdr:row>33</xdr:row>
      <xdr:rowOff>0</xdr:rowOff>
    </xdr:to>
    <xdr:graphicFrame macro="">
      <xdr:nvGraphicFramePr>
        <xdr:cNvPr id="4" name="Chart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blPlanAnual" displayName="tblPlanAnual" ref="A5:AF21">
  <autoFilter ref="A5:AF21" xr:uid="{00000000-0009-0000-0100-000001000000}"/>
  <tableColumns count="32">
    <tableColumn id="1" xr3:uid="{00000000-0010-0000-0000-000001000000}" name="ID"/>
    <tableColumn id="2" xr3:uid="{00000000-0010-0000-0000-000002000000}" name="Trimestre"/>
    <tableColumn id="3" xr3:uid="{00000000-0010-0000-0000-000003000000}" name="Mes inicio"/>
    <tableColumn id="4" xr3:uid="{00000000-0010-0000-0000-000004000000}" name="Canal"/>
    <tableColumn id="5" xr3:uid="{00000000-0010-0000-0000-000005000000}" name="Campaña / acción"/>
    <tableColumn id="6" xr3:uid="{00000000-0010-0000-0000-000006000000}" name="Objetivo"/>
    <tableColumn id="7" xr3:uid="{00000000-0010-0000-0000-000007000000}" name="Público"/>
    <tableColumn id="8" xr3:uid="{00000000-0010-0000-0000-000008000000}" name="Responsable"/>
    <tableColumn id="9" xr3:uid="{00000000-0010-0000-0000-000009000000}" name="Estado"/>
    <tableColumn id="10" xr3:uid="{00000000-0010-0000-0000-00000A000000}" name="Prioridad"/>
    <tableColumn id="11" xr3:uid="{00000000-0010-0000-0000-00000B000000}" name="Inicio"/>
    <tableColumn id="12" xr3:uid="{00000000-0010-0000-0000-00000C000000}" name="Fin"/>
    <tableColumn id="13" xr3:uid="{00000000-0010-0000-0000-00000D000000}" name="Presupuesto plan"/>
    <tableColumn id="14" xr3:uid="{00000000-0010-0000-0000-00000E000000}" name="Gasto real"/>
    <tableColumn id="15" xr3:uid="{00000000-0010-0000-0000-00000F000000}" name="Leads objetivo"/>
    <tableColumn id="16" xr3:uid="{00000000-0010-0000-0000-000010000000}" name="Leads reales"/>
    <tableColumn id="17" xr3:uid="{00000000-0010-0000-0000-000011000000}" name="Ingresos atribuidos"/>
    <tableColumn id="18" xr3:uid="{00000000-0010-0000-0000-000012000000}" name="CPL real"/>
    <tableColumn id="19" xr3:uid="{00000000-0010-0000-0000-000013000000}" name="ROAS"/>
    <tableColumn id="20" xr3:uid="{00000000-0010-0000-0000-000014000000}" name="Observaciones"/>
    <tableColumn id="21" xr3:uid="{00000000-0010-0000-0000-000015000000}" name="Ene"/>
    <tableColumn id="22" xr3:uid="{00000000-0010-0000-0000-000016000000}" name="Feb"/>
    <tableColumn id="23" xr3:uid="{00000000-0010-0000-0000-000017000000}" name="Mar"/>
    <tableColumn id="24" xr3:uid="{00000000-0010-0000-0000-000018000000}" name="Abr"/>
    <tableColumn id="25" xr3:uid="{00000000-0010-0000-0000-000019000000}" name="May"/>
    <tableColumn id="26" xr3:uid="{00000000-0010-0000-0000-00001A000000}" name="Jun"/>
    <tableColumn id="27" xr3:uid="{00000000-0010-0000-0000-00001B000000}" name="Jul"/>
    <tableColumn id="28" xr3:uid="{00000000-0010-0000-0000-00001C000000}" name="Ago"/>
    <tableColumn id="29" xr3:uid="{00000000-0010-0000-0000-00001D000000}" name="Sep"/>
    <tableColumn id="30" xr3:uid="{00000000-0010-0000-0000-00001E000000}" name="Oct"/>
    <tableColumn id="31" xr3:uid="{00000000-0010-0000-0000-00001F000000}" name="Nov"/>
    <tableColumn id="32" xr3:uid="{00000000-0010-0000-0000-000020000000}" name="Dic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blPresupuesto" displayName="tblPresupuesto" ref="A10:N53">
  <autoFilter ref="A10:N53" xr:uid="{00000000-0009-0000-0100-000002000000}"/>
  <tableColumns count="14">
    <tableColumn id="1" xr3:uid="{00000000-0010-0000-0100-000001000000}" name="Mes"/>
    <tableColumn id="2" xr3:uid="{00000000-0010-0000-0100-000002000000}" name="Mes #"/>
    <tableColumn id="3" xr3:uid="{00000000-0010-0000-0100-000003000000}" name="Canal"/>
    <tableColumn id="4" xr3:uid="{00000000-0010-0000-0100-000004000000}" name="Campaña"/>
    <tableColumn id="5" xr3:uid="{00000000-0010-0000-0100-000005000000}" name="Tipo inversión"/>
    <tableColumn id="6" xr3:uid="{00000000-0010-0000-0100-000006000000}" name="Responsable"/>
    <tableColumn id="7" xr3:uid="{00000000-0010-0000-0100-000007000000}" name="Plan neto"/>
    <tableColumn id="8" xr3:uid="{00000000-0010-0000-0100-000008000000}" name="Real neto"/>
    <tableColumn id="9" xr3:uid="{00000000-0010-0000-0100-000009000000}" name="IVA"/>
    <tableColumn id="10" xr3:uid="{00000000-0010-0000-0100-00000A000000}" name="Plan bruto"/>
    <tableColumn id="11" xr3:uid="{00000000-0010-0000-0100-00000B000000}" name="Real bruto"/>
    <tableColumn id="12" xr3:uid="{00000000-0010-0000-0100-00000C000000}" name="Variación"/>
    <tableColumn id="13" xr3:uid="{00000000-0010-0000-0100-00000D000000}" name="Estado"/>
    <tableColumn id="14" xr3:uid="{00000000-0010-0000-0100-00000E000000}" name="Notas"/>
  </tableColumns>
  <tableStyleInfo name="TableStyleMedium9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blKPIs" displayName="tblKPIs" ref="A10:S53">
  <autoFilter ref="A10:S53" xr:uid="{00000000-0009-0000-0100-000003000000}"/>
  <tableColumns count="19">
    <tableColumn id="1" xr3:uid="{00000000-0010-0000-0200-000001000000}" name="Mes"/>
    <tableColumn id="2" xr3:uid="{00000000-0010-0000-0200-000002000000}" name="Mes #"/>
    <tableColumn id="3" xr3:uid="{00000000-0010-0000-0200-000003000000}" name="Campaña"/>
    <tableColumn id="4" xr3:uid="{00000000-0010-0000-0200-000004000000}" name="Canal"/>
    <tableColumn id="5" xr3:uid="{00000000-0010-0000-0200-000005000000}" name="Objetivo canal"/>
    <tableColumn id="6" xr3:uid="{00000000-0010-0000-0200-000006000000}" name="Impresiones"/>
    <tableColumn id="7" xr3:uid="{00000000-0010-0000-0200-000007000000}" name="Clics"/>
    <tableColumn id="8" xr3:uid="{00000000-0010-0000-0200-000008000000}" name="Sesiones"/>
    <tableColumn id="9" xr3:uid="{00000000-0010-0000-0200-000009000000}" name="Leads"/>
    <tableColumn id="10" xr3:uid="{00000000-0010-0000-0200-00000A000000}" name="Clientes"/>
    <tableColumn id="11" xr3:uid="{00000000-0010-0000-0200-00000B000000}" name="Ingresos atribuidos"/>
    <tableColumn id="12" xr3:uid="{00000000-0010-0000-0200-00000C000000}" name="Gasto neto"/>
    <tableColumn id="13" xr3:uid="{00000000-0010-0000-0200-00000D000000}" name="CTR"/>
    <tableColumn id="14" xr3:uid="{00000000-0010-0000-0200-00000E000000}" name="CPC"/>
    <tableColumn id="15" xr3:uid="{00000000-0010-0000-0200-00000F000000}" name="Tasa visita→lead"/>
    <tableColumn id="16" xr3:uid="{00000000-0010-0000-0200-000010000000}" name="Tasa lead→cliente"/>
    <tableColumn id="17" xr3:uid="{00000000-0010-0000-0200-000011000000}" name="CPL"/>
    <tableColumn id="18" xr3:uid="{00000000-0010-0000-0200-000012000000}" name="CAC"/>
    <tableColumn id="19" xr3:uid="{00000000-0010-0000-0200-000013000000}" name="ROAS"/>
  </tableColumns>
  <tableStyleInfo name="TableStyleMedium4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M46"/>
  <sheetViews>
    <sheetView showGridLines="0" tabSelected="1" zoomScale="70" zoomScaleNormal="70" workbookViewId="0">
      <selection activeCell="B1" sqref="B1:M1"/>
    </sheetView>
  </sheetViews>
  <sheetFormatPr baseColWidth="10" defaultColWidth="8.88671875" defaultRowHeight="14.4" x14ac:dyDescent="0.3"/>
  <cols>
    <col min="1" max="1" width="2" customWidth="1"/>
    <col min="2" max="6" width="16" customWidth="1"/>
    <col min="7" max="7" width="18" customWidth="1"/>
    <col min="8" max="8" width="3" customWidth="1"/>
    <col min="9" max="9" width="24.88671875" bestFit="1" customWidth="1"/>
    <col min="10" max="13" width="14" customWidth="1"/>
  </cols>
  <sheetData>
    <row r="1" spans="2:13" ht="32.4" x14ac:dyDescent="0.6">
      <c r="B1" s="57" t="s">
        <v>0</v>
      </c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</row>
    <row r="2" spans="2:13" x14ac:dyDescent="0.3">
      <c r="B2" s="1" t="s">
        <v>1</v>
      </c>
    </row>
    <row r="4" spans="2:13" x14ac:dyDescent="0.3">
      <c r="B4" s="43" t="s">
        <v>2</v>
      </c>
      <c r="C4" s="33"/>
      <c r="D4" s="33"/>
      <c r="E4" s="33"/>
      <c r="F4" s="33"/>
      <c r="G4" s="33"/>
      <c r="I4" s="44" t="s">
        <v>3</v>
      </c>
      <c r="J4" s="33"/>
      <c r="K4" s="33"/>
      <c r="L4" s="33"/>
      <c r="M4" s="33"/>
    </row>
    <row r="5" spans="2:13" ht="24" customHeight="1" x14ac:dyDescent="0.3">
      <c r="B5" s="2" t="s">
        <v>4</v>
      </c>
      <c r="C5" s="30" t="s">
        <v>5</v>
      </c>
      <c r="D5" s="31"/>
      <c r="E5" s="31"/>
      <c r="F5" s="31"/>
      <c r="G5" s="31"/>
      <c r="I5" s="2" t="s">
        <v>6</v>
      </c>
      <c r="J5" s="39">
        <v>96000</v>
      </c>
      <c r="K5" s="31"/>
      <c r="L5" s="31"/>
      <c r="M5" s="31"/>
    </row>
    <row r="6" spans="2:13" ht="24" customHeight="1" x14ac:dyDescent="0.3">
      <c r="B6" s="2" t="s">
        <v>7</v>
      </c>
      <c r="C6" s="30" t="s">
        <v>8</v>
      </c>
      <c r="D6" s="31"/>
      <c r="E6" s="31"/>
      <c r="F6" s="31"/>
      <c r="G6" s="31"/>
      <c r="I6" s="2" t="s">
        <v>9</v>
      </c>
      <c r="J6" s="45">
        <v>4600</v>
      </c>
      <c r="K6" s="31"/>
      <c r="L6" s="31"/>
      <c r="M6" s="31"/>
    </row>
    <row r="7" spans="2:13" ht="24" customHeight="1" x14ac:dyDescent="0.3">
      <c r="B7" s="2" t="s">
        <v>10</v>
      </c>
      <c r="C7" s="30" t="s">
        <v>11</v>
      </c>
      <c r="D7" s="31"/>
      <c r="E7" s="31"/>
      <c r="F7" s="31"/>
      <c r="G7" s="31"/>
      <c r="I7" s="2" t="s">
        <v>12</v>
      </c>
      <c r="J7" s="45">
        <v>1550</v>
      </c>
      <c r="K7" s="31"/>
      <c r="L7" s="31"/>
      <c r="M7" s="31"/>
    </row>
    <row r="8" spans="2:13" ht="24" customHeight="1" x14ac:dyDescent="0.3">
      <c r="B8" s="2" t="s">
        <v>13</v>
      </c>
      <c r="C8" s="30" t="s">
        <v>14</v>
      </c>
      <c r="D8" s="31"/>
      <c r="E8" s="31"/>
      <c r="F8" s="31"/>
      <c r="G8" s="31"/>
      <c r="I8" s="2" t="s">
        <v>15</v>
      </c>
      <c r="J8" s="39">
        <v>255000</v>
      </c>
      <c r="K8" s="31"/>
      <c r="L8" s="31"/>
      <c r="M8" s="31"/>
    </row>
    <row r="9" spans="2:13" ht="24" customHeight="1" x14ac:dyDescent="0.3">
      <c r="B9" s="2" t="s">
        <v>16</v>
      </c>
      <c r="C9" s="37" t="s">
        <v>17</v>
      </c>
      <c r="D9" s="38"/>
      <c r="E9" s="38"/>
      <c r="F9" s="38"/>
      <c r="G9" s="38"/>
      <c r="I9" s="2" t="s">
        <v>18</v>
      </c>
      <c r="J9" s="39">
        <v>165</v>
      </c>
      <c r="K9" s="31"/>
      <c r="L9" s="31"/>
      <c r="M9" s="31"/>
    </row>
    <row r="10" spans="2:13" ht="24" customHeight="1" x14ac:dyDescent="0.3">
      <c r="B10" s="2" t="s">
        <v>19</v>
      </c>
      <c r="C10" s="37" t="s">
        <v>20</v>
      </c>
      <c r="D10" s="38"/>
      <c r="E10" s="38"/>
      <c r="F10" s="38"/>
      <c r="G10" s="38"/>
      <c r="I10" s="2" t="s">
        <v>21</v>
      </c>
      <c r="J10" s="42">
        <v>2.7</v>
      </c>
      <c r="K10" s="31"/>
      <c r="L10" s="31"/>
      <c r="M10" s="31"/>
    </row>
    <row r="11" spans="2:13" ht="24" customHeight="1" x14ac:dyDescent="0.3">
      <c r="B11" s="2" t="s">
        <v>22</v>
      </c>
      <c r="C11" s="37" t="s">
        <v>23</v>
      </c>
      <c r="D11" s="38"/>
      <c r="E11" s="38"/>
      <c r="F11" s="38"/>
      <c r="G11" s="38"/>
      <c r="I11" s="34" t="s">
        <v>24</v>
      </c>
      <c r="J11" s="33"/>
      <c r="K11" s="33"/>
      <c r="L11" s="34" t="s">
        <v>25</v>
      </c>
      <c r="M11" s="33"/>
    </row>
    <row r="12" spans="2:13" ht="24" customHeight="1" x14ac:dyDescent="0.3">
      <c r="I12" s="36">
        <f>SUM(Presupuesto!$K$11:$K$53)</f>
        <v>98252.000000000015</v>
      </c>
      <c r="J12" s="33"/>
      <c r="K12" s="33"/>
      <c r="L12" s="40">
        <f>J5-SUM(Presupuesto!$K$11:$K$53)</f>
        <v>-2252.0000000000146</v>
      </c>
      <c r="M12" s="33"/>
    </row>
    <row r="13" spans="2:13" ht="24" customHeight="1" x14ac:dyDescent="0.3">
      <c r="I13" s="33"/>
      <c r="J13" s="33"/>
      <c r="K13" s="33"/>
      <c r="L13" s="33"/>
      <c r="M13" s="33"/>
    </row>
    <row r="14" spans="2:13" ht="24" customHeight="1" x14ac:dyDescent="0.3">
      <c r="B14" s="32" t="s">
        <v>26</v>
      </c>
      <c r="C14" s="33"/>
      <c r="D14" s="33"/>
      <c r="E14" s="33"/>
      <c r="F14" s="33"/>
      <c r="G14" s="33"/>
      <c r="I14" s="33"/>
      <c r="J14" s="33"/>
      <c r="K14" s="33"/>
      <c r="L14" s="33"/>
      <c r="M14" s="33"/>
    </row>
    <row r="15" spans="2:13" ht="24" customHeight="1" x14ac:dyDescent="0.3">
      <c r="B15" s="5" t="s">
        <v>27</v>
      </c>
      <c r="C15" s="5" t="s">
        <v>28</v>
      </c>
      <c r="D15" s="5" t="s">
        <v>29</v>
      </c>
      <c r="E15" s="5" t="s">
        <v>30</v>
      </c>
      <c r="F15" s="5" t="s">
        <v>13</v>
      </c>
      <c r="G15" s="5" t="s">
        <v>31</v>
      </c>
      <c r="I15" s="34" t="s">
        <v>32</v>
      </c>
      <c r="J15" s="33"/>
      <c r="K15" s="33"/>
      <c r="L15" s="34" t="s">
        <v>33</v>
      </c>
      <c r="M15" s="33"/>
    </row>
    <row r="16" spans="2:13" ht="24" customHeight="1" x14ac:dyDescent="0.3">
      <c r="B16" s="3" t="s">
        <v>34</v>
      </c>
      <c r="C16" s="3" t="s">
        <v>35</v>
      </c>
      <c r="D16" s="6">
        <v>255000</v>
      </c>
      <c r="E16" s="3" t="s">
        <v>36</v>
      </c>
      <c r="F16" s="3" t="s">
        <v>14</v>
      </c>
      <c r="G16" s="3" t="s">
        <v>37</v>
      </c>
      <c r="I16" s="35">
        <f>SUM(KPIs!$I$11:$I$53)</f>
        <v>5276</v>
      </c>
      <c r="J16" s="33"/>
      <c r="K16" s="33"/>
      <c r="L16" s="35">
        <f>SUM(KPIs!$J$11:$J$53)</f>
        <v>1732</v>
      </c>
      <c r="M16" s="33"/>
    </row>
    <row r="17" spans="2:13" ht="24" customHeight="1" x14ac:dyDescent="0.3">
      <c r="B17" s="3" t="s">
        <v>38</v>
      </c>
      <c r="C17" s="3" t="s">
        <v>39</v>
      </c>
      <c r="D17" s="7">
        <v>4600</v>
      </c>
      <c r="E17" s="3" t="s">
        <v>36</v>
      </c>
      <c r="F17" s="3" t="s">
        <v>40</v>
      </c>
      <c r="G17" s="3" t="s">
        <v>37</v>
      </c>
      <c r="I17" s="33"/>
      <c r="J17" s="33"/>
      <c r="K17" s="33"/>
      <c r="L17" s="33"/>
      <c r="M17" s="33"/>
    </row>
    <row r="18" spans="2:13" ht="24" customHeight="1" x14ac:dyDescent="0.3">
      <c r="B18" s="3" t="s">
        <v>41</v>
      </c>
      <c r="C18" s="3" t="s">
        <v>42</v>
      </c>
      <c r="D18" s="7">
        <v>40</v>
      </c>
      <c r="E18" s="3" t="s">
        <v>36</v>
      </c>
      <c r="F18" s="3" t="s">
        <v>43</v>
      </c>
      <c r="G18" s="3" t="s">
        <v>37</v>
      </c>
      <c r="I18" s="33"/>
      <c r="J18" s="33"/>
      <c r="K18" s="33"/>
      <c r="L18" s="33"/>
      <c r="M18" s="33"/>
    </row>
    <row r="19" spans="2:13" ht="24" customHeight="1" x14ac:dyDescent="0.3">
      <c r="B19" s="3" t="s">
        <v>44</v>
      </c>
      <c r="C19" s="3" t="s">
        <v>45</v>
      </c>
      <c r="D19" s="8">
        <v>0.22</v>
      </c>
      <c r="E19" s="3" t="s">
        <v>36</v>
      </c>
      <c r="F19" s="3" t="s">
        <v>46</v>
      </c>
      <c r="G19" s="3" t="s">
        <v>37</v>
      </c>
      <c r="I19" s="34" t="s">
        <v>35</v>
      </c>
      <c r="J19" s="33"/>
      <c r="K19" s="33"/>
      <c r="L19" s="34" t="s">
        <v>47</v>
      </c>
      <c r="M19" s="33"/>
    </row>
    <row r="20" spans="2:13" ht="24" customHeight="1" x14ac:dyDescent="0.3">
      <c r="I20" s="41">
        <f>SUM(KPIs!$K$11:$K$53)</f>
        <v>296360</v>
      </c>
      <c r="J20" s="33"/>
      <c r="K20" s="33"/>
      <c r="L20" s="46">
        <f>IFERROR(SUM(KPIs!$K$11:$K$53)/SUM(KPIs!$L$11:$L$53),0)</f>
        <v>3.649753694581281</v>
      </c>
      <c r="M20" s="33"/>
    </row>
    <row r="21" spans="2:13" ht="24" customHeight="1" x14ac:dyDescent="0.3">
      <c r="I21" s="33"/>
      <c r="J21" s="33"/>
      <c r="K21" s="33"/>
      <c r="L21" s="33"/>
      <c r="M21" s="33"/>
    </row>
    <row r="22" spans="2:13" ht="24" customHeight="1" x14ac:dyDescent="0.3">
      <c r="I22" s="33"/>
      <c r="J22" s="33"/>
      <c r="K22" s="33"/>
      <c r="L22" s="33"/>
      <c r="M22" s="33"/>
    </row>
    <row r="23" spans="2:13" ht="24" customHeight="1" x14ac:dyDescent="0.3"/>
    <row r="24" spans="2:13" ht="24" customHeight="1" x14ac:dyDescent="0.3">
      <c r="I24" s="51" t="s">
        <v>49</v>
      </c>
      <c r="J24" s="52"/>
      <c r="K24" s="52"/>
      <c r="L24" s="52"/>
      <c r="M24" s="52"/>
    </row>
    <row r="25" spans="2:13" ht="24" customHeight="1" x14ac:dyDescent="0.3">
      <c r="I25" s="53" t="s">
        <v>55</v>
      </c>
      <c r="J25" s="54"/>
      <c r="K25" s="54"/>
      <c r="L25" s="54"/>
      <c r="M25" s="54"/>
    </row>
    <row r="26" spans="2:13" ht="24" customHeight="1" x14ac:dyDescent="0.3">
      <c r="B26" s="43" t="s">
        <v>48</v>
      </c>
      <c r="C26" s="33"/>
      <c r="D26" s="33"/>
      <c r="E26" s="33"/>
      <c r="F26" s="33"/>
      <c r="G26" s="33"/>
      <c r="I26" s="53" t="s">
        <v>58</v>
      </c>
      <c r="J26" s="54"/>
      <c r="K26" s="54"/>
      <c r="L26" s="54"/>
      <c r="M26" s="54"/>
    </row>
    <row r="27" spans="2:13" ht="24" customHeight="1" x14ac:dyDescent="0.3">
      <c r="B27" s="5" t="s">
        <v>50</v>
      </c>
      <c r="C27" s="5" t="s">
        <v>51</v>
      </c>
      <c r="D27" s="5" t="s">
        <v>52</v>
      </c>
      <c r="E27" s="5" t="s">
        <v>21</v>
      </c>
      <c r="F27" s="5" t="s">
        <v>53</v>
      </c>
      <c r="G27" s="5" t="s">
        <v>54</v>
      </c>
      <c r="I27" s="55" t="s">
        <v>61</v>
      </c>
      <c r="J27" s="56"/>
      <c r="K27" s="56"/>
      <c r="L27" s="56"/>
      <c r="M27" s="56"/>
    </row>
    <row r="28" spans="2:13" ht="24" customHeight="1" x14ac:dyDescent="0.3">
      <c r="B28" s="3" t="s">
        <v>56</v>
      </c>
      <c r="C28" s="3" t="s">
        <v>57</v>
      </c>
      <c r="D28" s="7">
        <v>20</v>
      </c>
      <c r="E28" s="9">
        <v>2.8</v>
      </c>
      <c r="F28" s="10">
        <f>IFERROR(Presupuesto!R11/SUM(Presupuesto!$R$11:$R$16),0)</f>
        <v>0.23152709359605911</v>
      </c>
      <c r="G28" s="10">
        <f>IFERROR(Presupuesto!R11/Presupuesto!Q11,0)</f>
        <v>1.0273224043715847</v>
      </c>
      <c r="I28" s="55" t="s">
        <v>64</v>
      </c>
      <c r="J28" s="56"/>
      <c r="K28" s="56"/>
      <c r="L28" s="56"/>
      <c r="M28" s="56"/>
    </row>
    <row r="29" spans="2:13" ht="24" customHeight="1" x14ac:dyDescent="0.3">
      <c r="B29" s="3" t="s">
        <v>59</v>
      </c>
      <c r="C29" s="3" t="s">
        <v>60</v>
      </c>
      <c r="D29" s="7">
        <v>17</v>
      </c>
      <c r="E29" s="9">
        <v>3.2</v>
      </c>
      <c r="F29" s="10">
        <f>IFERROR(Presupuesto!R12/SUM(Presupuesto!$R$11:$R$16),0)</f>
        <v>0.28448275862068967</v>
      </c>
      <c r="G29" s="10">
        <f>IFERROR(Presupuesto!R12/Presupuesto!Q12,0)</f>
        <v>1.0744186046511628</v>
      </c>
    </row>
    <row r="30" spans="2:13" ht="24" customHeight="1" x14ac:dyDescent="0.3">
      <c r="B30" s="3" t="s">
        <v>62</v>
      </c>
      <c r="C30" s="3" t="s">
        <v>63</v>
      </c>
      <c r="D30" s="7">
        <v>12</v>
      </c>
      <c r="E30" s="9">
        <v>4</v>
      </c>
      <c r="F30" s="10">
        <f>IFERROR(Presupuesto!R13/SUM(Presupuesto!$R$11:$R$16),0)</f>
        <v>9.4827586206896547E-2</v>
      </c>
      <c r="G30" s="10">
        <f>IFERROR(Presupuesto!R13/Presupuesto!Q13,0)</f>
        <v>0.97468354430379744</v>
      </c>
    </row>
    <row r="31" spans="2:13" ht="24" customHeight="1" x14ac:dyDescent="0.3">
      <c r="B31" s="3" t="s">
        <v>65</v>
      </c>
      <c r="C31" s="3" t="s">
        <v>66</v>
      </c>
      <c r="D31" s="7">
        <v>8</v>
      </c>
      <c r="E31" s="9">
        <v>6</v>
      </c>
      <c r="F31" s="10">
        <f>IFERROR(Presupuesto!R14/SUM(Presupuesto!$R$11:$R$16),0)</f>
        <v>6.5270935960591137E-2</v>
      </c>
      <c r="G31" s="10">
        <f>IFERROR(Presupuesto!R14/Presupuesto!Q14,0)</f>
        <v>1</v>
      </c>
    </row>
    <row r="32" spans="2:13" ht="24" customHeight="1" x14ac:dyDescent="0.3">
      <c r="B32" s="3" t="s">
        <v>67</v>
      </c>
      <c r="C32" s="3" t="s">
        <v>68</v>
      </c>
      <c r="D32" s="7">
        <v>22</v>
      </c>
      <c r="E32" s="9">
        <v>2.6</v>
      </c>
      <c r="F32" s="10">
        <f>IFERROR(Presupuesto!R15/SUM(Presupuesto!$R$11:$R$16),0)</f>
        <v>0.11945812807881774</v>
      </c>
      <c r="G32" s="10">
        <f>IFERROR(Presupuesto!R15/Presupuesto!Q15,0)</f>
        <v>1</v>
      </c>
    </row>
    <row r="33" spans="2:7" ht="24" customHeight="1" x14ac:dyDescent="0.3">
      <c r="B33" s="3" t="s">
        <v>69</v>
      </c>
      <c r="C33" s="3" t="s">
        <v>70</v>
      </c>
      <c r="D33" s="7">
        <v>27</v>
      </c>
      <c r="E33" s="9">
        <v>2.2999999999999998</v>
      </c>
      <c r="F33" s="10">
        <f>IFERROR(Presupuesto!R16/SUM(Presupuesto!$R$11:$R$16),0)</f>
        <v>0.20443349753694581</v>
      </c>
      <c r="G33" s="10">
        <f>IFERROR(Presupuesto!R16/Presupuesto!Q16,0)</f>
        <v>1.01840490797546</v>
      </c>
    </row>
    <row r="34" spans="2:7" ht="24" customHeight="1" x14ac:dyDescent="0.3"/>
    <row r="35" spans="2:7" ht="24" customHeight="1" x14ac:dyDescent="0.3"/>
    <row r="36" spans="2:7" ht="24" customHeight="1" x14ac:dyDescent="0.3"/>
    <row r="37" spans="2:7" ht="24" customHeight="1" x14ac:dyDescent="0.3"/>
    <row r="38" spans="2:7" ht="24" customHeight="1" x14ac:dyDescent="0.3"/>
    <row r="39" spans="2:7" ht="24" customHeight="1" x14ac:dyDescent="0.3"/>
    <row r="40" spans="2:7" ht="24" customHeight="1" x14ac:dyDescent="0.3"/>
    <row r="41" spans="2:7" ht="24" customHeight="1" x14ac:dyDescent="0.3"/>
    <row r="42" spans="2:7" ht="24" customHeight="1" x14ac:dyDescent="0.3"/>
    <row r="43" spans="2:7" ht="24" customHeight="1" x14ac:dyDescent="0.3"/>
    <row r="44" spans="2:7" ht="24" customHeight="1" x14ac:dyDescent="0.3"/>
    <row r="45" spans="2:7" ht="24" customHeight="1" x14ac:dyDescent="0.3"/>
    <row r="46" spans="2:7" ht="24" customHeight="1" x14ac:dyDescent="0.3"/>
  </sheetData>
  <mergeCells count="35">
    <mergeCell ref="I28:M28"/>
    <mergeCell ref="J5:M5"/>
    <mergeCell ref="C9:G9"/>
    <mergeCell ref="L12:M14"/>
    <mergeCell ref="I20:K22"/>
    <mergeCell ref="J10:M10"/>
    <mergeCell ref="I19:K19"/>
    <mergeCell ref="B26:G26"/>
    <mergeCell ref="J9:M9"/>
    <mergeCell ref="C11:G11"/>
    <mergeCell ref="I26:M26"/>
    <mergeCell ref="J6:M6"/>
    <mergeCell ref="C8:G8"/>
    <mergeCell ref="I15:K15"/>
    <mergeCell ref="L20:M22"/>
    <mergeCell ref="I11:K11"/>
    <mergeCell ref="B1:M1"/>
    <mergeCell ref="I16:K18"/>
    <mergeCell ref="I12:K14"/>
    <mergeCell ref="L16:M18"/>
    <mergeCell ref="C10:G10"/>
    <mergeCell ref="J8:M8"/>
    <mergeCell ref="L15:M15"/>
    <mergeCell ref="B4:G4"/>
    <mergeCell ref="I4:M4"/>
    <mergeCell ref="C7:G7"/>
    <mergeCell ref="L11:M11"/>
    <mergeCell ref="J7:M7"/>
    <mergeCell ref="C6:G6"/>
    <mergeCell ref="B14:G14"/>
    <mergeCell ref="C5:G5"/>
    <mergeCell ref="L19:M19"/>
    <mergeCell ref="I27:M27"/>
    <mergeCell ref="I24:M24"/>
    <mergeCell ref="I25:M2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F24"/>
  <sheetViews>
    <sheetView showGridLines="0" workbookViewId="0"/>
  </sheetViews>
  <sheetFormatPr baseColWidth="10" defaultColWidth="8.88671875" defaultRowHeight="14.4" x14ac:dyDescent="0.3"/>
  <cols>
    <col min="1" max="1" width="7" customWidth="1"/>
    <col min="2" max="2" width="9" customWidth="1"/>
    <col min="3" max="3" width="10" customWidth="1"/>
    <col min="4" max="4" width="16" customWidth="1"/>
    <col min="5" max="5" width="30" customWidth="1"/>
    <col min="6" max="6" width="28" customWidth="1"/>
    <col min="7" max="7" width="24" customWidth="1"/>
    <col min="8" max="8" width="16" customWidth="1"/>
    <col min="9" max="9" width="13" customWidth="1"/>
    <col min="10" max="10" width="10" customWidth="1"/>
    <col min="11" max="12" width="12" customWidth="1"/>
    <col min="13" max="14" width="14" customWidth="1"/>
    <col min="15" max="16" width="12" customWidth="1"/>
    <col min="17" max="17" width="15" customWidth="1"/>
    <col min="18" max="18" width="12" customWidth="1"/>
    <col min="19" max="19" width="10" customWidth="1"/>
    <col min="20" max="20" width="24" customWidth="1"/>
    <col min="21" max="32" width="5" customWidth="1"/>
  </cols>
  <sheetData>
    <row r="1" spans="1:32" ht="23.4" x14ac:dyDescent="0.45">
      <c r="A1" s="47" t="s">
        <v>71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</row>
    <row r="2" spans="1:32" x14ac:dyDescent="0.3">
      <c r="A2" s="1" t="s">
        <v>72</v>
      </c>
    </row>
    <row r="4" spans="1:32" hidden="1" x14ac:dyDescent="0.3">
      <c r="U4">
        <v>1</v>
      </c>
      <c r="V4">
        <v>2</v>
      </c>
      <c r="W4">
        <v>3</v>
      </c>
      <c r="X4">
        <v>4</v>
      </c>
      <c r="Y4">
        <v>5</v>
      </c>
      <c r="Z4">
        <v>6</v>
      </c>
      <c r="AA4">
        <v>7</v>
      </c>
      <c r="AB4">
        <v>8</v>
      </c>
      <c r="AC4">
        <v>9</v>
      </c>
      <c r="AD4">
        <v>10</v>
      </c>
      <c r="AE4">
        <v>11</v>
      </c>
      <c r="AF4">
        <v>12</v>
      </c>
    </row>
    <row r="5" spans="1:32" ht="25.95" customHeight="1" x14ac:dyDescent="0.3">
      <c r="A5" s="11" t="s">
        <v>73</v>
      </c>
      <c r="B5" s="11" t="s">
        <v>74</v>
      </c>
      <c r="C5" s="11" t="s">
        <v>75</v>
      </c>
      <c r="D5" s="11" t="s">
        <v>50</v>
      </c>
      <c r="E5" s="11" t="s">
        <v>76</v>
      </c>
      <c r="F5" s="11" t="s">
        <v>27</v>
      </c>
      <c r="G5" s="11" t="s">
        <v>77</v>
      </c>
      <c r="H5" s="11" t="s">
        <v>13</v>
      </c>
      <c r="I5" s="11" t="s">
        <v>31</v>
      </c>
      <c r="J5" s="11" t="s">
        <v>78</v>
      </c>
      <c r="K5" s="11" t="s">
        <v>79</v>
      </c>
      <c r="L5" s="11" t="s">
        <v>80</v>
      </c>
      <c r="M5" s="11" t="s">
        <v>81</v>
      </c>
      <c r="N5" s="11" t="s">
        <v>82</v>
      </c>
      <c r="O5" s="11" t="s">
        <v>9</v>
      </c>
      <c r="P5" s="11" t="s">
        <v>32</v>
      </c>
      <c r="Q5" s="11" t="s">
        <v>35</v>
      </c>
      <c r="R5" s="11" t="s">
        <v>83</v>
      </c>
      <c r="S5" s="11" t="s">
        <v>84</v>
      </c>
      <c r="T5" s="11" t="s">
        <v>85</v>
      </c>
      <c r="U5" s="4" t="s">
        <v>86</v>
      </c>
      <c r="V5" s="4" t="s">
        <v>87</v>
      </c>
      <c r="W5" s="4" t="s">
        <v>88</v>
      </c>
      <c r="X5" s="4" t="s">
        <v>89</v>
      </c>
      <c r="Y5" s="4" t="s">
        <v>90</v>
      </c>
      <c r="Z5" s="4" t="s">
        <v>91</v>
      </c>
      <c r="AA5" s="4" t="s">
        <v>92</v>
      </c>
      <c r="AB5" s="4" t="s">
        <v>93</v>
      </c>
      <c r="AC5" s="4" t="s">
        <v>94</v>
      </c>
      <c r="AD5" s="4" t="s">
        <v>95</v>
      </c>
      <c r="AE5" s="4" t="s">
        <v>96</v>
      </c>
      <c r="AF5" s="4" t="s">
        <v>97</v>
      </c>
    </row>
    <row r="6" spans="1:32" ht="25.95" customHeight="1" x14ac:dyDescent="0.3">
      <c r="A6" s="3" t="s">
        <v>98</v>
      </c>
      <c r="B6" s="12" t="e">
        <f t="shared" ref="B6:B21" ca="1" si="0">_xludf.CONCAT("T",ROUNDUP(MONTH(K6)/3,0))</f>
        <v>#NAME?</v>
      </c>
      <c r="C6" s="12" t="str">
        <f t="shared" ref="C6:C21" si="1">TEXT(K6,"mmm")</f>
        <v>ene</v>
      </c>
      <c r="D6" s="3" t="s">
        <v>56</v>
      </c>
      <c r="E6" s="3" t="s">
        <v>99</v>
      </c>
      <c r="F6" s="3" t="s">
        <v>100</v>
      </c>
      <c r="G6" s="3" t="s">
        <v>101</v>
      </c>
      <c r="H6" s="3" t="s">
        <v>14</v>
      </c>
      <c r="I6" s="3" t="s">
        <v>102</v>
      </c>
      <c r="J6" s="3" t="s">
        <v>103</v>
      </c>
      <c r="K6" s="13">
        <v>46032</v>
      </c>
      <c r="L6" s="13">
        <v>46081</v>
      </c>
      <c r="M6" s="14">
        <f>SUMIFS(Presupuesto!$G$11:$G$53,Presupuesto!$D$11:$D$53,E6)</f>
        <v>5200</v>
      </c>
      <c r="N6" s="14">
        <f>SUMIFS(Presupuesto!$H$11:$H$53,Presupuesto!$D$11:$D$53,E6)</f>
        <v>4900</v>
      </c>
      <c r="O6" s="12">
        <f>IFERROR(ROUND(M6/VLOOKUP(D6,Listas!$F$2:$H$7,2,FALSE),0),0)</f>
        <v>260</v>
      </c>
      <c r="P6" s="12">
        <f>SUMIFS(KPIs!$I$11:$I$53,KPIs!$C$11:$C$53,E6)</f>
        <v>237</v>
      </c>
      <c r="Q6" s="14">
        <f>SUMIFS(KPIs!$K$11:$K$53,KPIs!$C$11:$C$53,E6)</f>
        <v>8820</v>
      </c>
      <c r="R6" s="14">
        <f t="shared" ref="R6:R21" si="2">IFERROR(N6/P6,0)</f>
        <v>20.675105485232066</v>
      </c>
      <c r="S6" s="15">
        <f t="shared" ref="S6:S21" si="3">IFERROR(Q6/N6,0)</f>
        <v>1.8</v>
      </c>
      <c r="T6" s="3" t="s">
        <v>104</v>
      </c>
      <c r="U6" s="16" t="str">
        <f t="shared" ref="U6:AF15" si="4">IF(AND(U$4&gt;=MONTH($K6),U$4&lt;=MONTH($L6)),"■","")</f>
        <v>■</v>
      </c>
      <c r="V6" s="16" t="str">
        <f t="shared" si="4"/>
        <v>■</v>
      </c>
      <c r="W6" s="16" t="str">
        <f t="shared" si="4"/>
        <v/>
      </c>
      <c r="X6" s="16" t="str">
        <f t="shared" si="4"/>
        <v/>
      </c>
      <c r="Y6" s="16" t="str">
        <f t="shared" si="4"/>
        <v/>
      </c>
      <c r="Z6" s="16" t="str">
        <f t="shared" si="4"/>
        <v/>
      </c>
      <c r="AA6" s="16" t="str">
        <f t="shared" si="4"/>
        <v/>
      </c>
      <c r="AB6" s="16" t="str">
        <f t="shared" si="4"/>
        <v/>
      </c>
      <c r="AC6" s="16" t="str">
        <f t="shared" si="4"/>
        <v/>
      </c>
      <c r="AD6" s="16" t="str">
        <f t="shared" si="4"/>
        <v/>
      </c>
      <c r="AE6" s="16" t="str">
        <f t="shared" si="4"/>
        <v/>
      </c>
      <c r="AF6" s="16" t="str">
        <f t="shared" si="4"/>
        <v/>
      </c>
    </row>
    <row r="7" spans="1:32" ht="25.95" customHeight="1" x14ac:dyDescent="0.3">
      <c r="A7" s="3" t="s">
        <v>105</v>
      </c>
      <c r="B7" s="12" t="e">
        <f t="shared" ca="1" si="0"/>
        <v>#NAME?</v>
      </c>
      <c r="C7" s="12" t="str">
        <f t="shared" si="1"/>
        <v>ene</v>
      </c>
      <c r="D7" s="3" t="s">
        <v>62</v>
      </c>
      <c r="E7" s="3" t="s">
        <v>106</v>
      </c>
      <c r="F7" s="3" t="s">
        <v>107</v>
      </c>
      <c r="G7" s="3" t="s">
        <v>108</v>
      </c>
      <c r="H7" s="3" t="s">
        <v>109</v>
      </c>
      <c r="I7" s="3" t="s">
        <v>102</v>
      </c>
      <c r="J7" s="3" t="s">
        <v>110</v>
      </c>
      <c r="K7" s="13">
        <v>46037</v>
      </c>
      <c r="L7" s="13">
        <v>46067</v>
      </c>
      <c r="M7" s="14">
        <f>SUMIFS(Presupuesto!$G$11:$G$53,Presupuesto!$D$11:$D$53,E7)</f>
        <v>1900</v>
      </c>
      <c r="N7" s="14">
        <f>SUMIFS(Presupuesto!$H$11:$H$53,Presupuesto!$D$11:$D$53,E7)</f>
        <v>2100</v>
      </c>
      <c r="O7" s="12">
        <f>IFERROR(ROUND(M7/VLOOKUP(D7,Listas!$F$2:$H$7,2,FALSE),0),0)</f>
        <v>158</v>
      </c>
      <c r="P7" s="12">
        <f>SUMIFS(KPIs!$I$11:$I$53,KPIs!$C$11:$C$53,E7)</f>
        <v>170</v>
      </c>
      <c r="Q7" s="14">
        <f>SUMIFS(KPIs!$K$11:$K$53,KPIs!$C$11:$C$53,E7)</f>
        <v>7550</v>
      </c>
      <c r="R7" s="14">
        <f t="shared" si="2"/>
        <v>12.352941176470589</v>
      </c>
      <c r="S7" s="15">
        <f t="shared" si="3"/>
        <v>3.5952380952380953</v>
      </c>
      <c r="T7" s="3" t="s">
        <v>111</v>
      </c>
      <c r="U7" s="16" t="str">
        <f t="shared" si="4"/>
        <v>■</v>
      </c>
      <c r="V7" s="16" t="str">
        <f t="shared" si="4"/>
        <v>■</v>
      </c>
      <c r="W7" s="16" t="str">
        <f t="shared" si="4"/>
        <v/>
      </c>
      <c r="X7" s="16" t="str">
        <f t="shared" si="4"/>
        <v/>
      </c>
      <c r="Y7" s="16" t="str">
        <f t="shared" si="4"/>
        <v/>
      </c>
      <c r="Z7" s="16" t="str">
        <f t="shared" si="4"/>
        <v/>
      </c>
      <c r="AA7" s="16" t="str">
        <f t="shared" si="4"/>
        <v/>
      </c>
      <c r="AB7" s="16" t="str">
        <f t="shared" si="4"/>
        <v/>
      </c>
      <c r="AC7" s="16" t="str">
        <f t="shared" si="4"/>
        <v/>
      </c>
      <c r="AD7" s="16" t="str">
        <f t="shared" si="4"/>
        <v/>
      </c>
      <c r="AE7" s="16" t="str">
        <f t="shared" si="4"/>
        <v/>
      </c>
      <c r="AF7" s="16" t="str">
        <f t="shared" si="4"/>
        <v/>
      </c>
    </row>
    <row r="8" spans="1:32" ht="25.95" customHeight="1" x14ac:dyDescent="0.3">
      <c r="A8" s="3" t="s">
        <v>112</v>
      </c>
      <c r="B8" s="12" t="e">
        <f t="shared" ca="1" si="0"/>
        <v>#NAME?</v>
      </c>
      <c r="C8" s="12" t="str">
        <f t="shared" si="1"/>
        <v>feb</v>
      </c>
      <c r="D8" s="3" t="s">
        <v>59</v>
      </c>
      <c r="E8" s="3" t="s">
        <v>113</v>
      </c>
      <c r="F8" s="3" t="s">
        <v>114</v>
      </c>
      <c r="G8" s="3" t="s">
        <v>115</v>
      </c>
      <c r="H8" s="3" t="s">
        <v>40</v>
      </c>
      <c r="I8" s="3" t="s">
        <v>102</v>
      </c>
      <c r="J8" s="3" t="s">
        <v>103</v>
      </c>
      <c r="K8" s="13">
        <v>46054</v>
      </c>
      <c r="L8" s="13">
        <v>46142</v>
      </c>
      <c r="M8" s="14">
        <f>SUMIFS(Presupuesto!$G$11:$G$53,Presupuesto!$D$11:$D$53,E8)</f>
        <v>6600</v>
      </c>
      <c r="N8" s="14">
        <f>SUMIFS(Presupuesto!$H$11:$H$53,Presupuesto!$D$11:$D$53,E8)</f>
        <v>7100</v>
      </c>
      <c r="O8" s="12">
        <f>IFERROR(ROUND(M8/VLOOKUP(D8,Listas!$F$2:$H$7,2,FALSE),0),0)</f>
        <v>388</v>
      </c>
      <c r="P8" s="12">
        <f>SUMIFS(KPIs!$I$11:$I$53,KPIs!$C$11:$C$53,E8)</f>
        <v>459</v>
      </c>
      <c r="Q8" s="14">
        <f>SUMIFS(KPIs!$K$11:$K$53,KPIs!$C$11:$C$53,E8)</f>
        <v>23090</v>
      </c>
      <c r="R8" s="14">
        <f t="shared" si="2"/>
        <v>15.468409586056644</v>
      </c>
      <c r="S8" s="15">
        <f t="shared" si="3"/>
        <v>3.2521126760563379</v>
      </c>
      <c r="T8" s="3" t="s">
        <v>116</v>
      </c>
      <c r="U8" s="16" t="str">
        <f t="shared" si="4"/>
        <v/>
      </c>
      <c r="V8" s="16" t="str">
        <f t="shared" si="4"/>
        <v>■</v>
      </c>
      <c r="W8" s="16" t="str">
        <f t="shared" si="4"/>
        <v>■</v>
      </c>
      <c r="X8" s="16" t="str">
        <f t="shared" si="4"/>
        <v>■</v>
      </c>
      <c r="Y8" s="16" t="str">
        <f t="shared" si="4"/>
        <v/>
      </c>
      <c r="Z8" s="16" t="str">
        <f t="shared" si="4"/>
        <v/>
      </c>
      <c r="AA8" s="16" t="str">
        <f t="shared" si="4"/>
        <v/>
      </c>
      <c r="AB8" s="16" t="str">
        <f t="shared" si="4"/>
        <v/>
      </c>
      <c r="AC8" s="16" t="str">
        <f t="shared" si="4"/>
        <v/>
      </c>
      <c r="AD8" s="16" t="str">
        <f t="shared" si="4"/>
        <v/>
      </c>
      <c r="AE8" s="16" t="str">
        <f t="shared" si="4"/>
        <v/>
      </c>
      <c r="AF8" s="16" t="str">
        <f t="shared" si="4"/>
        <v/>
      </c>
    </row>
    <row r="9" spans="1:32" ht="25.95" customHeight="1" x14ac:dyDescent="0.3">
      <c r="A9" s="3" t="s">
        <v>117</v>
      </c>
      <c r="B9" s="12" t="e">
        <f t="shared" ca="1" si="0"/>
        <v>#NAME?</v>
      </c>
      <c r="C9" s="12" t="str">
        <f t="shared" si="1"/>
        <v>mar</v>
      </c>
      <c r="D9" s="3" t="s">
        <v>65</v>
      </c>
      <c r="E9" s="3" t="s">
        <v>118</v>
      </c>
      <c r="F9" s="3" t="s">
        <v>119</v>
      </c>
      <c r="G9" s="3" t="s">
        <v>120</v>
      </c>
      <c r="H9" s="3" t="s">
        <v>46</v>
      </c>
      <c r="I9" s="3" t="s">
        <v>37</v>
      </c>
      <c r="J9" s="3" t="s">
        <v>103</v>
      </c>
      <c r="K9" s="13">
        <v>46082</v>
      </c>
      <c r="L9" s="13">
        <v>46387</v>
      </c>
      <c r="M9" s="14">
        <f>SUMIFS(Presupuesto!$G$11:$G$53,Presupuesto!$D$11:$D$53,E9)</f>
        <v>3200</v>
      </c>
      <c r="N9" s="14">
        <f>SUMIFS(Presupuesto!$H$11:$H$53,Presupuesto!$D$11:$D$53,E9)</f>
        <v>2900</v>
      </c>
      <c r="O9" s="12">
        <f>IFERROR(ROUND(M9/VLOOKUP(D9,Listas!$F$2:$H$7,2,FALSE),0),0)</f>
        <v>400</v>
      </c>
      <c r="P9" s="12">
        <f>SUMIFS(KPIs!$I$11:$I$53,KPIs!$C$11:$C$53,E9)</f>
        <v>425</v>
      </c>
      <c r="Q9" s="14">
        <f>SUMIFS(KPIs!$K$11:$K$53,KPIs!$C$11:$C$53,E9)</f>
        <v>24130</v>
      </c>
      <c r="R9" s="14">
        <f t="shared" si="2"/>
        <v>6.8235294117647056</v>
      </c>
      <c r="S9" s="15">
        <f t="shared" si="3"/>
        <v>8.3206896551724139</v>
      </c>
      <c r="T9" s="3" t="s">
        <v>121</v>
      </c>
      <c r="U9" s="16" t="str">
        <f t="shared" si="4"/>
        <v/>
      </c>
      <c r="V9" s="16" t="str">
        <f t="shared" si="4"/>
        <v/>
      </c>
      <c r="W9" s="16" t="str">
        <f t="shared" si="4"/>
        <v>■</v>
      </c>
      <c r="X9" s="16" t="str">
        <f t="shared" si="4"/>
        <v>■</v>
      </c>
      <c r="Y9" s="16" t="str">
        <f t="shared" si="4"/>
        <v>■</v>
      </c>
      <c r="Z9" s="16" t="str">
        <f t="shared" si="4"/>
        <v>■</v>
      </c>
      <c r="AA9" s="16" t="str">
        <f t="shared" si="4"/>
        <v>■</v>
      </c>
      <c r="AB9" s="16" t="str">
        <f t="shared" si="4"/>
        <v>■</v>
      </c>
      <c r="AC9" s="16" t="str">
        <f t="shared" si="4"/>
        <v>■</v>
      </c>
      <c r="AD9" s="16" t="str">
        <f t="shared" si="4"/>
        <v>■</v>
      </c>
      <c r="AE9" s="16" t="str">
        <f t="shared" si="4"/>
        <v>■</v>
      </c>
      <c r="AF9" s="16" t="str">
        <f t="shared" si="4"/>
        <v>■</v>
      </c>
    </row>
    <row r="10" spans="1:32" ht="25.95" customHeight="1" x14ac:dyDescent="0.3">
      <c r="A10" s="3" t="s">
        <v>122</v>
      </c>
      <c r="B10" s="12" t="e">
        <f t="shared" ca="1" si="0"/>
        <v>#NAME?</v>
      </c>
      <c r="C10" s="12" t="str">
        <f t="shared" si="1"/>
        <v>abr</v>
      </c>
      <c r="D10" s="3" t="s">
        <v>67</v>
      </c>
      <c r="E10" s="3" t="s">
        <v>123</v>
      </c>
      <c r="F10" s="3" t="s">
        <v>124</v>
      </c>
      <c r="G10" s="3" t="s">
        <v>125</v>
      </c>
      <c r="H10" s="3" t="s">
        <v>43</v>
      </c>
      <c r="I10" s="3" t="s">
        <v>102</v>
      </c>
      <c r="J10" s="3" t="s">
        <v>110</v>
      </c>
      <c r="K10" s="13">
        <v>46113</v>
      </c>
      <c r="L10" s="13">
        <v>46203</v>
      </c>
      <c r="M10" s="14">
        <f>SUMIFS(Presupuesto!$G$11:$G$53,Presupuesto!$D$11:$D$53,E10)</f>
        <v>5400</v>
      </c>
      <c r="N10" s="14">
        <f>SUMIFS(Presupuesto!$H$11:$H$53,Presupuesto!$D$11:$D$53,E10)</f>
        <v>5800</v>
      </c>
      <c r="O10" s="12">
        <f>IFERROR(ROUND(M10/VLOOKUP(D10,Listas!$F$2:$H$7,2,FALSE),0),0)</f>
        <v>245</v>
      </c>
      <c r="P10" s="12">
        <f>SUMIFS(KPIs!$I$11:$I$53,KPIs!$C$11:$C$53,E10)</f>
        <v>291</v>
      </c>
      <c r="Q10" s="14">
        <f>SUMIFS(KPIs!$K$11:$K$53,KPIs!$C$11:$C$53,E10)</f>
        <v>15480</v>
      </c>
      <c r="R10" s="14">
        <f t="shared" si="2"/>
        <v>19.93127147766323</v>
      </c>
      <c r="S10" s="15">
        <f t="shared" si="3"/>
        <v>2.6689655172413791</v>
      </c>
      <c r="T10" s="3" t="s">
        <v>126</v>
      </c>
      <c r="U10" s="16" t="str">
        <f t="shared" si="4"/>
        <v/>
      </c>
      <c r="V10" s="16" t="str">
        <f t="shared" si="4"/>
        <v/>
      </c>
      <c r="W10" s="16" t="str">
        <f t="shared" si="4"/>
        <v/>
      </c>
      <c r="X10" s="16" t="str">
        <f t="shared" si="4"/>
        <v>■</v>
      </c>
      <c r="Y10" s="16" t="str">
        <f t="shared" si="4"/>
        <v>■</v>
      </c>
      <c r="Z10" s="16" t="str">
        <f t="shared" si="4"/>
        <v>■</v>
      </c>
      <c r="AA10" s="16" t="str">
        <f t="shared" si="4"/>
        <v/>
      </c>
      <c r="AB10" s="16" t="str">
        <f t="shared" si="4"/>
        <v/>
      </c>
      <c r="AC10" s="16" t="str">
        <f t="shared" si="4"/>
        <v/>
      </c>
      <c r="AD10" s="16" t="str">
        <f t="shared" si="4"/>
        <v/>
      </c>
      <c r="AE10" s="16" t="str">
        <f t="shared" si="4"/>
        <v/>
      </c>
      <c r="AF10" s="16" t="str">
        <f t="shared" si="4"/>
        <v/>
      </c>
    </row>
    <row r="11" spans="1:32" ht="25.95" customHeight="1" x14ac:dyDescent="0.3">
      <c r="A11" s="3" t="s">
        <v>127</v>
      </c>
      <c r="B11" s="12" t="e">
        <f t="shared" ca="1" si="0"/>
        <v>#NAME?</v>
      </c>
      <c r="C11" s="12" t="str">
        <f t="shared" si="1"/>
        <v>may</v>
      </c>
      <c r="D11" s="3" t="s">
        <v>69</v>
      </c>
      <c r="E11" s="3" t="s">
        <v>128</v>
      </c>
      <c r="F11" s="3" t="s">
        <v>129</v>
      </c>
      <c r="G11" s="3" t="s">
        <v>130</v>
      </c>
      <c r="H11" s="3" t="s">
        <v>43</v>
      </c>
      <c r="I11" s="3" t="s">
        <v>102</v>
      </c>
      <c r="J11" s="3" t="s">
        <v>103</v>
      </c>
      <c r="K11" s="13">
        <v>46160</v>
      </c>
      <c r="L11" s="13">
        <v>46160</v>
      </c>
      <c r="M11" s="14">
        <f>SUMIFS(Presupuesto!$G$11:$G$53,Presupuesto!$D$11:$D$53,E11)</f>
        <v>4800</v>
      </c>
      <c r="N11" s="14">
        <f>SUMIFS(Presupuesto!$H$11:$H$53,Presupuesto!$D$11:$D$53,E11)</f>
        <v>5100</v>
      </c>
      <c r="O11" s="12">
        <f>IFERROR(ROUND(M11/VLOOKUP(D11,Listas!$F$2:$H$7,2,FALSE),0),0)</f>
        <v>178</v>
      </c>
      <c r="P11" s="12">
        <f>SUMIFS(KPIs!$I$11:$I$53,KPIs!$C$11:$C$53,E11)</f>
        <v>223</v>
      </c>
      <c r="Q11" s="14">
        <f>SUMIFS(KPIs!$K$11:$K$53,KPIs!$C$11:$C$53,E11)</f>
        <v>20250</v>
      </c>
      <c r="R11" s="14">
        <f t="shared" si="2"/>
        <v>22.869955156950674</v>
      </c>
      <c r="S11" s="15">
        <f t="shared" si="3"/>
        <v>3.9705882352941178</v>
      </c>
      <c r="T11" s="3" t="s">
        <v>131</v>
      </c>
      <c r="U11" s="16" t="str">
        <f t="shared" si="4"/>
        <v/>
      </c>
      <c r="V11" s="16" t="str">
        <f t="shared" si="4"/>
        <v/>
      </c>
      <c r="W11" s="16" t="str">
        <f t="shared" si="4"/>
        <v/>
      </c>
      <c r="X11" s="16" t="str">
        <f t="shared" si="4"/>
        <v/>
      </c>
      <c r="Y11" s="16" t="str">
        <f t="shared" si="4"/>
        <v>■</v>
      </c>
      <c r="Z11" s="16" t="str">
        <f t="shared" si="4"/>
        <v/>
      </c>
      <c r="AA11" s="16" t="str">
        <f t="shared" si="4"/>
        <v/>
      </c>
      <c r="AB11" s="16" t="str">
        <f t="shared" si="4"/>
        <v/>
      </c>
      <c r="AC11" s="16" t="str">
        <f t="shared" si="4"/>
        <v/>
      </c>
      <c r="AD11" s="16" t="str">
        <f t="shared" si="4"/>
        <v/>
      </c>
      <c r="AE11" s="16" t="str">
        <f t="shared" si="4"/>
        <v/>
      </c>
      <c r="AF11" s="16" t="str">
        <f t="shared" si="4"/>
        <v/>
      </c>
    </row>
    <row r="12" spans="1:32" ht="25.95" customHeight="1" x14ac:dyDescent="0.3">
      <c r="A12" s="3" t="s">
        <v>132</v>
      </c>
      <c r="B12" s="12" t="e">
        <f t="shared" ca="1" si="0"/>
        <v>#NAME?</v>
      </c>
      <c r="C12" s="12" t="str">
        <f t="shared" si="1"/>
        <v>abr</v>
      </c>
      <c r="D12" s="3" t="s">
        <v>56</v>
      </c>
      <c r="E12" s="3" t="s">
        <v>133</v>
      </c>
      <c r="F12" s="3" t="s">
        <v>134</v>
      </c>
      <c r="G12" s="3" t="s">
        <v>135</v>
      </c>
      <c r="H12" s="3" t="s">
        <v>14</v>
      </c>
      <c r="I12" s="3" t="s">
        <v>102</v>
      </c>
      <c r="J12" s="3" t="s">
        <v>103</v>
      </c>
      <c r="K12" s="13">
        <v>46117</v>
      </c>
      <c r="L12" s="13">
        <v>46146</v>
      </c>
      <c r="M12" s="14">
        <f>SUMIFS(Presupuesto!$G$11:$G$53,Presupuesto!$D$11:$D$53,E12)</f>
        <v>6200</v>
      </c>
      <c r="N12" s="14">
        <f>SUMIFS(Presupuesto!$H$11:$H$53,Presupuesto!$D$11:$D$53,E12)</f>
        <v>6700</v>
      </c>
      <c r="O12" s="12">
        <f>IFERROR(ROUND(M12/VLOOKUP(D12,Listas!$F$2:$H$7,2,FALSE),0),0)</f>
        <v>310</v>
      </c>
      <c r="P12" s="12">
        <f>SUMIFS(KPIs!$I$11:$I$53,KPIs!$C$11:$C$53,E12)</f>
        <v>391</v>
      </c>
      <c r="Q12" s="14">
        <f>SUMIFS(KPIs!$K$11:$K$53,KPIs!$C$11:$C$53,E12)</f>
        <v>17180</v>
      </c>
      <c r="R12" s="14">
        <f t="shared" si="2"/>
        <v>17.135549872122763</v>
      </c>
      <c r="S12" s="15">
        <f t="shared" si="3"/>
        <v>2.5641791044776121</v>
      </c>
      <c r="T12" s="3" t="s">
        <v>136</v>
      </c>
      <c r="U12" s="16" t="str">
        <f t="shared" si="4"/>
        <v/>
      </c>
      <c r="V12" s="16" t="str">
        <f t="shared" si="4"/>
        <v/>
      </c>
      <c r="W12" s="16" t="str">
        <f t="shared" si="4"/>
        <v/>
      </c>
      <c r="X12" s="16" t="str">
        <f t="shared" si="4"/>
        <v>■</v>
      </c>
      <c r="Y12" s="16" t="str">
        <f t="shared" si="4"/>
        <v>■</v>
      </c>
      <c r="Z12" s="16" t="str">
        <f t="shared" si="4"/>
        <v/>
      </c>
      <c r="AA12" s="16" t="str">
        <f t="shared" si="4"/>
        <v/>
      </c>
      <c r="AB12" s="16" t="str">
        <f t="shared" si="4"/>
        <v/>
      </c>
      <c r="AC12" s="16" t="str">
        <f t="shared" si="4"/>
        <v/>
      </c>
      <c r="AD12" s="16" t="str">
        <f t="shared" si="4"/>
        <v/>
      </c>
      <c r="AE12" s="16" t="str">
        <f t="shared" si="4"/>
        <v/>
      </c>
      <c r="AF12" s="16" t="str">
        <f t="shared" si="4"/>
        <v/>
      </c>
    </row>
    <row r="13" spans="1:32" ht="25.95" customHeight="1" x14ac:dyDescent="0.3">
      <c r="A13" s="3" t="s">
        <v>137</v>
      </c>
      <c r="B13" s="12" t="e">
        <f t="shared" ca="1" si="0"/>
        <v>#NAME?</v>
      </c>
      <c r="C13" s="12" t="str">
        <f t="shared" si="1"/>
        <v>jun</v>
      </c>
      <c r="D13" s="3" t="s">
        <v>62</v>
      </c>
      <c r="E13" s="3" t="s">
        <v>138</v>
      </c>
      <c r="F13" s="3" t="s">
        <v>139</v>
      </c>
      <c r="G13" s="3" t="s">
        <v>140</v>
      </c>
      <c r="H13" s="3" t="s">
        <v>109</v>
      </c>
      <c r="I13" s="3" t="s">
        <v>102</v>
      </c>
      <c r="J13" s="3" t="s">
        <v>110</v>
      </c>
      <c r="K13" s="13">
        <v>46174</v>
      </c>
      <c r="L13" s="13">
        <v>46265</v>
      </c>
      <c r="M13" s="14">
        <f>SUMIFS(Presupuesto!$G$11:$G$53,Presupuesto!$D$11:$D$53,E13)</f>
        <v>3200</v>
      </c>
      <c r="N13" s="14">
        <f>SUMIFS(Presupuesto!$H$11:$H$53,Presupuesto!$D$11:$D$53,E13)</f>
        <v>3000</v>
      </c>
      <c r="O13" s="12">
        <f>IFERROR(ROUND(M13/VLOOKUP(D13,Listas!$F$2:$H$7,2,FALSE),0),0)</f>
        <v>267</v>
      </c>
      <c r="P13" s="12">
        <f>SUMIFS(KPIs!$I$11:$I$53,KPIs!$C$11:$C$53,E13)</f>
        <v>238</v>
      </c>
      <c r="Q13" s="14">
        <f>SUMIFS(KPIs!$K$11:$K$53,KPIs!$C$11:$C$53,E13)</f>
        <v>10040</v>
      </c>
      <c r="R13" s="14">
        <f t="shared" si="2"/>
        <v>12.605042016806722</v>
      </c>
      <c r="S13" s="15">
        <f t="shared" si="3"/>
        <v>3.3466666666666667</v>
      </c>
      <c r="T13" s="3" t="s">
        <v>141</v>
      </c>
      <c r="U13" s="16" t="str">
        <f t="shared" si="4"/>
        <v/>
      </c>
      <c r="V13" s="16" t="str">
        <f t="shared" si="4"/>
        <v/>
      </c>
      <c r="W13" s="16" t="str">
        <f t="shared" si="4"/>
        <v/>
      </c>
      <c r="X13" s="16" t="str">
        <f t="shared" si="4"/>
        <v/>
      </c>
      <c r="Y13" s="16" t="str">
        <f t="shared" si="4"/>
        <v/>
      </c>
      <c r="Z13" s="16" t="str">
        <f t="shared" si="4"/>
        <v>■</v>
      </c>
      <c r="AA13" s="16" t="str">
        <f t="shared" si="4"/>
        <v>■</v>
      </c>
      <c r="AB13" s="16" t="str">
        <f t="shared" si="4"/>
        <v>■</v>
      </c>
      <c r="AC13" s="16" t="str">
        <f t="shared" si="4"/>
        <v/>
      </c>
      <c r="AD13" s="16" t="str">
        <f t="shared" si="4"/>
        <v/>
      </c>
      <c r="AE13" s="16" t="str">
        <f t="shared" si="4"/>
        <v/>
      </c>
      <c r="AF13" s="16" t="str">
        <f t="shared" si="4"/>
        <v/>
      </c>
    </row>
    <row r="14" spans="1:32" ht="25.95" customHeight="1" x14ac:dyDescent="0.3">
      <c r="A14" s="3" t="s">
        <v>142</v>
      </c>
      <c r="B14" s="12" t="e">
        <f t="shared" ca="1" si="0"/>
        <v>#NAME?</v>
      </c>
      <c r="C14" s="12" t="str">
        <f t="shared" si="1"/>
        <v>jun</v>
      </c>
      <c r="D14" s="3" t="s">
        <v>59</v>
      </c>
      <c r="E14" s="3" t="s">
        <v>143</v>
      </c>
      <c r="F14" s="3" t="s">
        <v>144</v>
      </c>
      <c r="G14" s="3" t="s">
        <v>145</v>
      </c>
      <c r="H14" s="3" t="s">
        <v>40</v>
      </c>
      <c r="I14" s="3" t="s">
        <v>102</v>
      </c>
      <c r="J14" s="3" t="s">
        <v>103</v>
      </c>
      <c r="K14" s="13">
        <v>46174</v>
      </c>
      <c r="L14" s="13">
        <v>46265</v>
      </c>
      <c r="M14" s="14">
        <f>SUMIFS(Presupuesto!$G$11:$G$53,Presupuesto!$D$11:$D$53,E14)</f>
        <v>7100</v>
      </c>
      <c r="N14" s="14">
        <f>SUMIFS(Presupuesto!$H$11:$H$53,Presupuesto!$D$11:$D$53,E14)</f>
        <v>7600</v>
      </c>
      <c r="O14" s="12">
        <f>IFERROR(ROUND(M14/VLOOKUP(D14,Listas!$F$2:$H$7,2,FALSE),0),0)</f>
        <v>418</v>
      </c>
      <c r="P14" s="12">
        <f>SUMIFS(KPIs!$I$11:$I$53,KPIs!$C$11:$C$53,E14)</f>
        <v>456</v>
      </c>
      <c r="Q14" s="14">
        <f>SUMIFS(KPIs!$K$11:$K$53,KPIs!$C$11:$C$53,E14)</f>
        <v>21400</v>
      </c>
      <c r="R14" s="14">
        <f t="shared" si="2"/>
        <v>16.666666666666668</v>
      </c>
      <c r="S14" s="15">
        <f t="shared" si="3"/>
        <v>2.8157894736842106</v>
      </c>
      <c r="T14" s="3" t="s">
        <v>146</v>
      </c>
      <c r="U14" s="16" t="str">
        <f t="shared" si="4"/>
        <v/>
      </c>
      <c r="V14" s="16" t="str">
        <f t="shared" si="4"/>
        <v/>
      </c>
      <c r="W14" s="16" t="str">
        <f t="shared" si="4"/>
        <v/>
      </c>
      <c r="X14" s="16" t="str">
        <f t="shared" si="4"/>
        <v/>
      </c>
      <c r="Y14" s="16" t="str">
        <f t="shared" si="4"/>
        <v/>
      </c>
      <c r="Z14" s="16" t="str">
        <f t="shared" si="4"/>
        <v>■</v>
      </c>
      <c r="AA14" s="16" t="str">
        <f t="shared" si="4"/>
        <v>■</v>
      </c>
      <c r="AB14" s="16" t="str">
        <f t="shared" si="4"/>
        <v>■</v>
      </c>
      <c r="AC14" s="16" t="str">
        <f t="shared" si="4"/>
        <v/>
      </c>
      <c r="AD14" s="16" t="str">
        <f t="shared" si="4"/>
        <v/>
      </c>
      <c r="AE14" s="16" t="str">
        <f t="shared" si="4"/>
        <v/>
      </c>
      <c r="AF14" s="16" t="str">
        <f t="shared" si="4"/>
        <v/>
      </c>
    </row>
    <row r="15" spans="1:32" ht="25.95" customHeight="1" x14ac:dyDescent="0.3">
      <c r="A15" s="3" t="s">
        <v>147</v>
      </c>
      <c r="B15" s="12" t="e">
        <f t="shared" ca="1" si="0"/>
        <v>#NAME?</v>
      </c>
      <c r="C15" s="12" t="str">
        <f t="shared" si="1"/>
        <v>sep</v>
      </c>
      <c r="D15" s="3" t="s">
        <v>69</v>
      </c>
      <c r="E15" s="3" t="s">
        <v>148</v>
      </c>
      <c r="F15" s="3" t="s">
        <v>149</v>
      </c>
      <c r="G15" s="3" t="s">
        <v>150</v>
      </c>
      <c r="H15" s="3" t="s">
        <v>43</v>
      </c>
      <c r="I15" s="3" t="s">
        <v>102</v>
      </c>
      <c r="J15" s="3" t="s">
        <v>110</v>
      </c>
      <c r="K15" s="13">
        <v>46275</v>
      </c>
      <c r="L15" s="13">
        <v>46310</v>
      </c>
      <c r="M15" s="14">
        <f>SUMIFS(Presupuesto!$G$11:$G$53,Presupuesto!$D$11:$D$53,E15)</f>
        <v>5600</v>
      </c>
      <c r="N15" s="14">
        <f>SUMIFS(Presupuesto!$H$11:$H$53,Presupuesto!$D$11:$D$53,E15)</f>
        <v>5200</v>
      </c>
      <c r="O15" s="12">
        <f>IFERROR(ROUND(M15/VLOOKUP(D15,Listas!$F$2:$H$7,2,FALSE),0),0)</f>
        <v>207</v>
      </c>
      <c r="P15" s="12">
        <f>SUMIFS(KPIs!$I$11:$I$53,KPIs!$C$11:$C$53,E15)</f>
        <v>220</v>
      </c>
      <c r="Q15" s="14">
        <f>SUMIFS(KPIs!$K$11:$K$53,KPIs!$C$11:$C$53,E15)</f>
        <v>17960</v>
      </c>
      <c r="R15" s="14">
        <f t="shared" si="2"/>
        <v>23.636363636363637</v>
      </c>
      <c r="S15" s="15">
        <f t="shared" si="3"/>
        <v>3.453846153846154</v>
      </c>
      <c r="T15" s="3" t="s">
        <v>151</v>
      </c>
      <c r="U15" s="16" t="str">
        <f t="shared" si="4"/>
        <v/>
      </c>
      <c r="V15" s="16" t="str">
        <f t="shared" si="4"/>
        <v/>
      </c>
      <c r="W15" s="16" t="str">
        <f t="shared" si="4"/>
        <v/>
      </c>
      <c r="X15" s="16" t="str">
        <f t="shared" si="4"/>
        <v/>
      </c>
      <c r="Y15" s="16" t="str">
        <f t="shared" si="4"/>
        <v/>
      </c>
      <c r="Z15" s="16" t="str">
        <f t="shared" si="4"/>
        <v/>
      </c>
      <c r="AA15" s="16" t="str">
        <f t="shared" si="4"/>
        <v/>
      </c>
      <c r="AB15" s="16" t="str">
        <f t="shared" si="4"/>
        <v/>
      </c>
      <c r="AC15" s="16" t="str">
        <f t="shared" si="4"/>
        <v>■</v>
      </c>
      <c r="AD15" s="16" t="str">
        <f t="shared" si="4"/>
        <v>■</v>
      </c>
      <c r="AE15" s="16" t="str">
        <f t="shared" si="4"/>
        <v/>
      </c>
      <c r="AF15" s="16" t="str">
        <f t="shared" si="4"/>
        <v/>
      </c>
    </row>
    <row r="16" spans="1:32" ht="25.95" customHeight="1" x14ac:dyDescent="0.3">
      <c r="A16" s="3" t="s">
        <v>152</v>
      </c>
      <c r="B16" s="12" t="e">
        <f t="shared" ca="1" si="0"/>
        <v>#NAME?</v>
      </c>
      <c r="C16" s="12" t="str">
        <f t="shared" si="1"/>
        <v>sep</v>
      </c>
      <c r="D16" s="3" t="s">
        <v>67</v>
      </c>
      <c r="E16" s="3" t="s">
        <v>153</v>
      </c>
      <c r="F16" s="3" t="s">
        <v>154</v>
      </c>
      <c r="G16" s="3" t="s">
        <v>155</v>
      </c>
      <c r="H16" s="3" t="s">
        <v>43</v>
      </c>
      <c r="I16" s="3" t="s">
        <v>102</v>
      </c>
      <c r="J16" s="3" t="s">
        <v>110</v>
      </c>
      <c r="K16" s="13">
        <v>46266</v>
      </c>
      <c r="L16" s="13">
        <v>46356</v>
      </c>
      <c r="M16" s="14">
        <f>SUMIFS(Presupuesto!$G$11:$G$53,Presupuesto!$D$11:$D$53,E16)</f>
        <v>4300</v>
      </c>
      <c r="N16" s="14">
        <f>SUMIFS(Presupuesto!$H$11:$H$53,Presupuesto!$D$11:$D$53,E16)</f>
        <v>3900</v>
      </c>
      <c r="O16" s="12">
        <f>IFERROR(ROUND(M16/VLOOKUP(D16,Listas!$F$2:$H$7,2,FALSE),0),0)</f>
        <v>195</v>
      </c>
      <c r="P16" s="12">
        <f>SUMIFS(KPIs!$I$11:$I$53,KPIs!$C$11:$C$53,E16)</f>
        <v>204</v>
      </c>
      <c r="Q16" s="14">
        <f>SUMIFS(KPIs!$K$11:$K$53,KPIs!$C$11:$C$53,E16)</f>
        <v>11390</v>
      </c>
      <c r="R16" s="14">
        <f t="shared" si="2"/>
        <v>19.117647058823529</v>
      </c>
      <c r="S16" s="15">
        <f t="shared" si="3"/>
        <v>2.9205128205128204</v>
      </c>
      <c r="T16" s="3" t="s">
        <v>156</v>
      </c>
      <c r="U16" s="16" t="str">
        <f t="shared" ref="U16:AF21" si="5">IF(AND(U$4&gt;=MONTH($K16),U$4&lt;=MONTH($L16)),"■","")</f>
        <v/>
      </c>
      <c r="V16" s="16" t="str">
        <f t="shared" si="5"/>
        <v/>
      </c>
      <c r="W16" s="16" t="str">
        <f t="shared" si="5"/>
        <v/>
      </c>
      <c r="X16" s="16" t="str">
        <f t="shared" si="5"/>
        <v/>
      </c>
      <c r="Y16" s="16" t="str">
        <f t="shared" si="5"/>
        <v/>
      </c>
      <c r="Z16" s="16" t="str">
        <f t="shared" si="5"/>
        <v/>
      </c>
      <c r="AA16" s="16" t="str">
        <f t="shared" si="5"/>
        <v/>
      </c>
      <c r="AB16" s="16" t="str">
        <f t="shared" si="5"/>
        <v/>
      </c>
      <c r="AC16" s="16" t="str">
        <f t="shared" si="5"/>
        <v>■</v>
      </c>
      <c r="AD16" s="16" t="str">
        <f t="shared" si="5"/>
        <v>■</v>
      </c>
      <c r="AE16" s="16" t="str">
        <f t="shared" si="5"/>
        <v>■</v>
      </c>
      <c r="AF16" s="16" t="str">
        <f t="shared" si="5"/>
        <v/>
      </c>
    </row>
    <row r="17" spans="1:32" ht="25.95" customHeight="1" x14ac:dyDescent="0.3">
      <c r="A17" s="3" t="s">
        <v>157</v>
      </c>
      <c r="B17" s="12" t="e">
        <f t="shared" ca="1" si="0"/>
        <v>#NAME?</v>
      </c>
      <c r="C17" s="12" t="str">
        <f t="shared" si="1"/>
        <v>sep</v>
      </c>
      <c r="D17" s="3" t="s">
        <v>56</v>
      </c>
      <c r="E17" s="3" t="s">
        <v>158</v>
      </c>
      <c r="F17" s="3" t="s">
        <v>159</v>
      </c>
      <c r="G17" s="3" t="s">
        <v>160</v>
      </c>
      <c r="H17" s="3" t="s">
        <v>14</v>
      </c>
      <c r="I17" s="3" t="s">
        <v>102</v>
      </c>
      <c r="J17" s="3" t="s">
        <v>103</v>
      </c>
      <c r="K17" s="13">
        <v>46270</v>
      </c>
      <c r="L17" s="13">
        <v>46326</v>
      </c>
      <c r="M17" s="14">
        <f>SUMIFS(Presupuesto!$G$11:$G$53,Presupuesto!$D$11:$D$53,E17)</f>
        <v>6900</v>
      </c>
      <c r="N17" s="14">
        <f>SUMIFS(Presupuesto!$H$11:$H$53,Presupuesto!$D$11:$D$53,E17)</f>
        <v>7200</v>
      </c>
      <c r="O17" s="12">
        <f>IFERROR(ROUND(M17/VLOOKUP(D17,Listas!$F$2:$H$7,2,FALSE),0),0)</f>
        <v>345</v>
      </c>
      <c r="P17" s="12">
        <f>SUMIFS(KPIs!$I$11:$I$53,KPIs!$C$11:$C$53,E17)</f>
        <v>388</v>
      </c>
      <c r="Q17" s="14">
        <f>SUMIFS(KPIs!$K$11:$K$53,KPIs!$C$11:$C$53,E17)</f>
        <v>16400</v>
      </c>
      <c r="R17" s="14">
        <f t="shared" si="2"/>
        <v>18.556701030927837</v>
      </c>
      <c r="S17" s="15">
        <f t="shared" si="3"/>
        <v>2.2777777777777777</v>
      </c>
      <c r="T17" s="3" t="s">
        <v>161</v>
      </c>
      <c r="U17" s="16" t="str">
        <f t="shared" si="5"/>
        <v/>
      </c>
      <c r="V17" s="16" t="str">
        <f t="shared" si="5"/>
        <v/>
      </c>
      <c r="W17" s="16" t="str">
        <f t="shared" si="5"/>
        <v/>
      </c>
      <c r="X17" s="16" t="str">
        <f t="shared" si="5"/>
        <v/>
      </c>
      <c r="Y17" s="16" t="str">
        <f t="shared" si="5"/>
        <v/>
      </c>
      <c r="Z17" s="16" t="str">
        <f t="shared" si="5"/>
        <v/>
      </c>
      <c r="AA17" s="16" t="str">
        <f t="shared" si="5"/>
        <v/>
      </c>
      <c r="AB17" s="16" t="str">
        <f t="shared" si="5"/>
        <v/>
      </c>
      <c r="AC17" s="16" t="str">
        <f t="shared" si="5"/>
        <v>■</v>
      </c>
      <c r="AD17" s="16" t="str">
        <f t="shared" si="5"/>
        <v>■</v>
      </c>
      <c r="AE17" s="16" t="str">
        <f t="shared" si="5"/>
        <v/>
      </c>
      <c r="AF17" s="16" t="str">
        <f t="shared" si="5"/>
        <v/>
      </c>
    </row>
    <row r="18" spans="1:32" ht="25.95" customHeight="1" x14ac:dyDescent="0.3">
      <c r="A18" s="3" t="s">
        <v>162</v>
      </c>
      <c r="B18" s="12" t="e">
        <f t="shared" ca="1" si="0"/>
        <v>#NAME?</v>
      </c>
      <c r="C18" s="12" t="str">
        <f t="shared" si="1"/>
        <v>nov</v>
      </c>
      <c r="D18" s="3" t="s">
        <v>65</v>
      </c>
      <c r="E18" s="3" t="s">
        <v>163</v>
      </c>
      <c r="F18" s="3" t="s">
        <v>164</v>
      </c>
      <c r="G18" s="3" t="s">
        <v>165</v>
      </c>
      <c r="H18" s="3" t="s">
        <v>46</v>
      </c>
      <c r="I18" s="3" t="s">
        <v>102</v>
      </c>
      <c r="J18" s="3" t="s">
        <v>103</v>
      </c>
      <c r="K18" s="13">
        <v>46331</v>
      </c>
      <c r="L18" s="13">
        <v>46356</v>
      </c>
      <c r="M18" s="14">
        <f>SUMIFS(Presupuesto!$G$11:$G$53,Presupuesto!$D$11:$D$53,E18)</f>
        <v>2100</v>
      </c>
      <c r="N18" s="14">
        <f>SUMIFS(Presupuesto!$H$11:$H$53,Presupuesto!$D$11:$D$53,E18)</f>
        <v>2400</v>
      </c>
      <c r="O18" s="12">
        <f>IFERROR(ROUND(M18/VLOOKUP(D18,Listas!$F$2:$H$7,2,FALSE),0),0)</f>
        <v>263</v>
      </c>
      <c r="P18" s="12">
        <f>SUMIFS(KPIs!$I$11:$I$53,KPIs!$C$11:$C$53,E18)</f>
        <v>361</v>
      </c>
      <c r="Q18" s="14">
        <f>SUMIFS(KPIs!$K$11:$K$53,KPIs!$C$11:$C$53,E18)</f>
        <v>20350</v>
      </c>
      <c r="R18" s="14">
        <f t="shared" si="2"/>
        <v>6.6481994459833791</v>
      </c>
      <c r="S18" s="15">
        <f t="shared" si="3"/>
        <v>8.4791666666666661</v>
      </c>
      <c r="T18" s="3" t="s">
        <v>166</v>
      </c>
      <c r="U18" s="16" t="str">
        <f t="shared" si="5"/>
        <v/>
      </c>
      <c r="V18" s="16" t="str">
        <f t="shared" si="5"/>
        <v/>
      </c>
      <c r="W18" s="16" t="str">
        <f t="shared" si="5"/>
        <v/>
      </c>
      <c r="X18" s="16" t="str">
        <f t="shared" si="5"/>
        <v/>
      </c>
      <c r="Y18" s="16" t="str">
        <f t="shared" si="5"/>
        <v/>
      </c>
      <c r="Z18" s="16" t="str">
        <f t="shared" si="5"/>
        <v/>
      </c>
      <c r="AA18" s="16" t="str">
        <f t="shared" si="5"/>
        <v/>
      </c>
      <c r="AB18" s="16" t="str">
        <f t="shared" si="5"/>
        <v/>
      </c>
      <c r="AC18" s="16" t="str">
        <f t="shared" si="5"/>
        <v/>
      </c>
      <c r="AD18" s="16" t="str">
        <f t="shared" si="5"/>
        <v/>
      </c>
      <c r="AE18" s="16" t="str">
        <f t="shared" si="5"/>
        <v>■</v>
      </c>
      <c r="AF18" s="16" t="str">
        <f t="shared" si="5"/>
        <v/>
      </c>
    </row>
    <row r="19" spans="1:32" ht="25.95" customHeight="1" x14ac:dyDescent="0.3">
      <c r="A19" s="3" t="s">
        <v>167</v>
      </c>
      <c r="B19" s="12" t="e">
        <f t="shared" ca="1" si="0"/>
        <v>#NAME?</v>
      </c>
      <c r="C19" s="12" t="str">
        <f t="shared" si="1"/>
        <v>nov</v>
      </c>
      <c r="D19" s="3" t="s">
        <v>59</v>
      </c>
      <c r="E19" s="3" t="s">
        <v>168</v>
      </c>
      <c r="F19" s="3" t="s">
        <v>169</v>
      </c>
      <c r="G19" s="3" t="s">
        <v>170</v>
      </c>
      <c r="H19" s="3" t="s">
        <v>40</v>
      </c>
      <c r="I19" s="3" t="s">
        <v>102</v>
      </c>
      <c r="J19" s="3" t="s">
        <v>103</v>
      </c>
      <c r="K19" s="13">
        <v>46327</v>
      </c>
      <c r="L19" s="13">
        <v>46387</v>
      </c>
      <c r="M19" s="14">
        <f>SUMIFS(Presupuesto!$G$11:$G$53,Presupuesto!$D$11:$D$53,E19)</f>
        <v>7800</v>
      </c>
      <c r="N19" s="14">
        <f>SUMIFS(Presupuesto!$H$11:$H$53,Presupuesto!$D$11:$D$53,E19)</f>
        <v>8400</v>
      </c>
      <c r="O19" s="12">
        <f>IFERROR(ROUND(M19/VLOOKUP(D19,Listas!$F$2:$H$7,2,FALSE),0),0)</f>
        <v>459</v>
      </c>
      <c r="P19" s="12">
        <f>SUMIFS(KPIs!$I$11:$I$53,KPIs!$C$11:$C$53,E19)</f>
        <v>637</v>
      </c>
      <c r="Q19" s="14">
        <f>SUMIFS(KPIs!$K$11:$K$53,KPIs!$C$11:$C$53,E19)</f>
        <v>38720</v>
      </c>
      <c r="R19" s="14">
        <f t="shared" si="2"/>
        <v>13.186813186813186</v>
      </c>
      <c r="S19" s="15">
        <f t="shared" si="3"/>
        <v>4.6095238095238091</v>
      </c>
      <c r="T19" s="3" t="s">
        <v>171</v>
      </c>
      <c r="U19" s="16" t="str">
        <f t="shared" si="5"/>
        <v/>
      </c>
      <c r="V19" s="16" t="str">
        <f t="shared" si="5"/>
        <v/>
      </c>
      <c r="W19" s="16" t="str">
        <f t="shared" si="5"/>
        <v/>
      </c>
      <c r="X19" s="16" t="str">
        <f t="shared" si="5"/>
        <v/>
      </c>
      <c r="Y19" s="16" t="str">
        <f t="shared" si="5"/>
        <v/>
      </c>
      <c r="Z19" s="16" t="str">
        <f t="shared" si="5"/>
        <v/>
      </c>
      <c r="AA19" s="16" t="str">
        <f t="shared" si="5"/>
        <v/>
      </c>
      <c r="AB19" s="16" t="str">
        <f t="shared" si="5"/>
        <v/>
      </c>
      <c r="AC19" s="16" t="str">
        <f t="shared" si="5"/>
        <v/>
      </c>
      <c r="AD19" s="16" t="str">
        <f t="shared" si="5"/>
        <v/>
      </c>
      <c r="AE19" s="16" t="str">
        <f t="shared" si="5"/>
        <v>■</v>
      </c>
      <c r="AF19" s="16" t="str">
        <f t="shared" si="5"/>
        <v>■</v>
      </c>
    </row>
    <row r="20" spans="1:32" ht="25.95" customHeight="1" x14ac:dyDescent="0.3">
      <c r="A20" s="3" t="s">
        <v>172</v>
      </c>
      <c r="B20" s="12" t="e">
        <f t="shared" ca="1" si="0"/>
        <v>#NAME?</v>
      </c>
      <c r="C20" s="12" t="str">
        <f t="shared" si="1"/>
        <v>oct</v>
      </c>
      <c r="D20" s="3" t="s">
        <v>62</v>
      </c>
      <c r="E20" s="3" t="s">
        <v>173</v>
      </c>
      <c r="F20" s="3" t="s">
        <v>174</v>
      </c>
      <c r="G20" s="3" t="s">
        <v>175</v>
      </c>
      <c r="H20" s="3" t="s">
        <v>109</v>
      </c>
      <c r="I20" s="3" t="s">
        <v>102</v>
      </c>
      <c r="J20" s="3" t="s">
        <v>110</v>
      </c>
      <c r="K20" s="13">
        <v>46296</v>
      </c>
      <c r="L20" s="13">
        <v>46376</v>
      </c>
      <c r="M20" s="14">
        <f>SUMIFS(Presupuesto!$G$11:$G$53,Presupuesto!$D$11:$D$53,E20)</f>
        <v>2800</v>
      </c>
      <c r="N20" s="14">
        <f>SUMIFS(Presupuesto!$H$11:$H$53,Presupuesto!$D$11:$D$53,E20)</f>
        <v>2600</v>
      </c>
      <c r="O20" s="12">
        <f>IFERROR(ROUND(M20/VLOOKUP(D20,Listas!$F$2:$H$7,2,FALSE),0),0)</f>
        <v>233</v>
      </c>
      <c r="P20" s="12">
        <f>SUMIFS(KPIs!$I$11:$I$53,KPIs!$C$11:$C$53,E20)</f>
        <v>251</v>
      </c>
      <c r="Q20" s="14">
        <f>SUMIFS(KPIs!$K$11:$K$53,KPIs!$C$11:$C$53,E20)</f>
        <v>12810</v>
      </c>
      <c r="R20" s="14">
        <f t="shared" si="2"/>
        <v>10.358565737051793</v>
      </c>
      <c r="S20" s="15">
        <f t="shared" si="3"/>
        <v>4.9269230769230772</v>
      </c>
      <c r="T20" s="3" t="s">
        <v>176</v>
      </c>
      <c r="U20" s="16" t="str">
        <f t="shared" si="5"/>
        <v/>
      </c>
      <c r="V20" s="16" t="str">
        <f t="shared" si="5"/>
        <v/>
      </c>
      <c r="W20" s="16" t="str">
        <f t="shared" si="5"/>
        <v/>
      </c>
      <c r="X20" s="16" t="str">
        <f t="shared" si="5"/>
        <v/>
      </c>
      <c r="Y20" s="16" t="str">
        <f t="shared" si="5"/>
        <v/>
      </c>
      <c r="Z20" s="16" t="str">
        <f t="shared" si="5"/>
        <v/>
      </c>
      <c r="AA20" s="16" t="str">
        <f t="shared" si="5"/>
        <v/>
      </c>
      <c r="AB20" s="16" t="str">
        <f t="shared" si="5"/>
        <v/>
      </c>
      <c r="AC20" s="16" t="str">
        <f t="shared" si="5"/>
        <v/>
      </c>
      <c r="AD20" s="16" t="str">
        <f t="shared" si="5"/>
        <v>■</v>
      </c>
      <c r="AE20" s="16" t="str">
        <f t="shared" si="5"/>
        <v>■</v>
      </c>
      <c r="AF20" s="16" t="str">
        <f t="shared" si="5"/>
        <v>■</v>
      </c>
    </row>
    <row r="21" spans="1:32" ht="25.95" customHeight="1" x14ac:dyDescent="0.3">
      <c r="A21" s="3" t="s">
        <v>177</v>
      </c>
      <c r="B21" s="12" t="e">
        <f t="shared" ca="1" si="0"/>
        <v>#NAME?</v>
      </c>
      <c r="C21" s="12" t="str">
        <f t="shared" si="1"/>
        <v>dic</v>
      </c>
      <c r="D21" s="3" t="s">
        <v>69</v>
      </c>
      <c r="E21" s="3" t="s">
        <v>178</v>
      </c>
      <c r="F21" s="3" t="s">
        <v>179</v>
      </c>
      <c r="G21" s="3" t="s">
        <v>180</v>
      </c>
      <c r="H21" s="3" t="s">
        <v>43</v>
      </c>
      <c r="I21" s="3" t="s">
        <v>102</v>
      </c>
      <c r="J21" s="3" t="s">
        <v>103</v>
      </c>
      <c r="K21" s="13">
        <v>46361</v>
      </c>
      <c r="L21" s="13">
        <v>46376</v>
      </c>
      <c r="M21" s="14">
        <f>SUMIFS(Presupuesto!$G$11:$G$53,Presupuesto!$D$11:$D$53,E21)</f>
        <v>5900</v>
      </c>
      <c r="N21" s="14">
        <f>SUMIFS(Presupuesto!$H$11:$H$53,Presupuesto!$D$11:$D$53,E21)</f>
        <v>6300</v>
      </c>
      <c r="O21" s="12">
        <f>IFERROR(ROUND(M21/VLOOKUP(D21,Listas!$F$2:$H$7,2,FALSE),0),0)</f>
        <v>219</v>
      </c>
      <c r="P21" s="12">
        <f>SUMIFS(KPIs!$I$11:$I$53,KPIs!$C$11:$C$53,E21)</f>
        <v>325</v>
      </c>
      <c r="Q21" s="14">
        <f>SUMIFS(KPIs!$K$11:$K$53,KPIs!$C$11:$C$53,E21)</f>
        <v>30790</v>
      </c>
      <c r="R21" s="14">
        <f t="shared" si="2"/>
        <v>19.384615384615383</v>
      </c>
      <c r="S21" s="15">
        <f t="shared" si="3"/>
        <v>4.8873015873015877</v>
      </c>
      <c r="T21" s="3" t="s">
        <v>181</v>
      </c>
      <c r="U21" s="16" t="str">
        <f t="shared" si="5"/>
        <v/>
      </c>
      <c r="V21" s="16" t="str">
        <f t="shared" si="5"/>
        <v/>
      </c>
      <c r="W21" s="16" t="str">
        <f t="shared" si="5"/>
        <v/>
      </c>
      <c r="X21" s="16" t="str">
        <f t="shared" si="5"/>
        <v/>
      </c>
      <c r="Y21" s="16" t="str">
        <f t="shared" si="5"/>
        <v/>
      </c>
      <c r="Z21" s="16" t="str">
        <f t="shared" si="5"/>
        <v/>
      </c>
      <c r="AA21" s="16" t="str">
        <f t="shared" si="5"/>
        <v/>
      </c>
      <c r="AB21" s="16" t="str">
        <f t="shared" si="5"/>
        <v/>
      </c>
      <c r="AC21" s="16" t="str">
        <f t="shared" si="5"/>
        <v/>
      </c>
      <c r="AD21" s="16" t="str">
        <f t="shared" si="5"/>
        <v/>
      </c>
      <c r="AE21" s="16" t="str">
        <f t="shared" si="5"/>
        <v/>
      </c>
      <c r="AF21" s="16" t="str">
        <f t="shared" si="5"/>
        <v>■</v>
      </c>
    </row>
    <row r="22" spans="1:32" ht="25.95" customHeight="1" x14ac:dyDescent="0.3"/>
    <row r="23" spans="1:32" ht="25.95" customHeight="1" x14ac:dyDescent="0.3"/>
    <row r="24" spans="1:32" ht="25.95" customHeight="1" x14ac:dyDescent="0.3"/>
  </sheetData>
  <mergeCells count="1">
    <mergeCell ref="A1:AF1"/>
  </mergeCells>
  <conditionalFormatting sqref="I6:I21">
    <cfRule type="expression" dxfId="17" priority="1">
      <formula>$I6="Completada"</formula>
    </cfRule>
    <cfRule type="expression" dxfId="16" priority="2">
      <formula>$I6="En marcha"</formula>
    </cfRule>
    <cfRule type="expression" dxfId="15" priority="3">
      <formula>$I6="Pausada"</formula>
    </cfRule>
  </conditionalFormatting>
  <conditionalFormatting sqref="N6:N21">
    <cfRule type="cellIs" dxfId="14" priority="4" operator="greaterThan">
      <formula>M6</formula>
    </cfRule>
  </conditionalFormatting>
  <conditionalFormatting sqref="S6:S21">
    <cfRule type="colorScale" priority="5">
      <colorScale>
        <cfvo type="num" val="0"/>
        <cfvo type="num" val="2.5"/>
        <cfvo type="num" val="4"/>
        <color rgb="FFFECACA"/>
        <color rgb="FFFEF3C7"/>
        <color rgb="FFDCFCE7"/>
      </colorScale>
    </cfRule>
  </conditionalFormatting>
  <conditionalFormatting sqref="U6:U21">
    <cfRule type="expression" dxfId="13" priority="6">
      <formula>U6="■"</formula>
    </cfRule>
  </conditionalFormatting>
  <conditionalFormatting sqref="V6:V21">
    <cfRule type="expression" dxfId="12" priority="7">
      <formula>V6="■"</formula>
    </cfRule>
  </conditionalFormatting>
  <conditionalFormatting sqref="W6:W21">
    <cfRule type="expression" dxfId="11" priority="8">
      <formula>W6="■"</formula>
    </cfRule>
  </conditionalFormatting>
  <conditionalFormatting sqref="X6:X21">
    <cfRule type="expression" dxfId="10" priority="9">
      <formula>X6="■"</formula>
    </cfRule>
  </conditionalFormatting>
  <conditionalFormatting sqref="Y6:Y21">
    <cfRule type="expression" dxfId="9" priority="10">
      <formula>Y6="■"</formula>
    </cfRule>
  </conditionalFormatting>
  <conditionalFormatting sqref="Z6:Z21">
    <cfRule type="expression" dxfId="8" priority="11">
      <formula>Z6="■"</formula>
    </cfRule>
  </conditionalFormatting>
  <conditionalFormatting sqref="AA6:AA21">
    <cfRule type="expression" dxfId="7" priority="12">
      <formula>AA6="■"</formula>
    </cfRule>
  </conditionalFormatting>
  <conditionalFormatting sqref="AB6:AB21">
    <cfRule type="expression" dxfId="6" priority="13">
      <formula>AB6="■"</formula>
    </cfRule>
  </conditionalFormatting>
  <conditionalFormatting sqref="AC6:AC21">
    <cfRule type="expression" dxfId="5" priority="14">
      <formula>AC6="■"</formula>
    </cfRule>
  </conditionalFormatting>
  <conditionalFormatting sqref="AD6:AD21">
    <cfRule type="expression" dxfId="4" priority="15">
      <formula>AD6="■"</formula>
    </cfRule>
  </conditionalFormatting>
  <conditionalFormatting sqref="AE6:AE21">
    <cfRule type="expression" dxfId="3" priority="16">
      <formula>AE6="■"</formula>
    </cfRule>
  </conditionalFormatting>
  <conditionalFormatting sqref="AF6:AF21">
    <cfRule type="expression" dxfId="2" priority="17">
      <formula>AF6="■"</formula>
    </cfRule>
  </conditionalFormatting>
  <pageMargins left="0.7" right="0.7" top="0.75" bottom="0.75" header="0.3" footer="0.3"/>
  <tableParts count="1">
    <tablePart r:id="rId1"/>
  </tableParts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xr:uid="{00000000-0002-0000-0100-000000000000}">
          <x14:formula1>
            <xm:f>Listas!$A$2:$A$5</xm:f>
          </x14:formula1>
          <xm:sqref>I6:I200</xm:sqref>
        </x14:dataValidation>
        <x14:dataValidation type="list" xr:uid="{00000000-0002-0000-0100-000001000000}">
          <x14:formula1>
            <xm:f>Listas!$B$2:$B$4</xm:f>
          </x14:formula1>
          <xm:sqref>J6:J200</xm:sqref>
        </x14:dataValidation>
        <x14:dataValidation type="list" xr:uid="{00000000-0002-0000-0100-000002000000}">
          <x14:formula1>
            <xm:f>Listas!$C$2:$C$7</xm:f>
          </x14:formula1>
          <xm:sqref>D6:D200</xm:sqref>
        </x14:dataValidation>
        <x14:dataValidation type="list" xr:uid="{00000000-0002-0000-0100-000003000000}">
          <x14:formula1>
            <xm:f>Listas!$D$2:$D$6</xm:f>
          </x14:formula1>
          <xm:sqref>H6:H200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B59"/>
  <sheetViews>
    <sheetView showGridLines="0" workbookViewId="0"/>
  </sheetViews>
  <sheetFormatPr baseColWidth="10" defaultColWidth="8.88671875" defaultRowHeight="14.4" x14ac:dyDescent="0.3"/>
  <cols>
    <col min="1" max="1" width="12" customWidth="1"/>
    <col min="2" max="2" width="10" customWidth="1"/>
    <col min="3" max="3" width="16" customWidth="1"/>
    <col min="4" max="4" width="30" customWidth="1"/>
    <col min="5" max="5" width="14" customWidth="1"/>
    <col min="6" max="6" width="15" customWidth="1"/>
    <col min="7" max="8" width="13" customWidth="1"/>
    <col min="9" max="9" width="9" customWidth="1"/>
    <col min="10" max="11" width="13" customWidth="1"/>
    <col min="12" max="12" width="12" customWidth="1"/>
    <col min="13" max="13" width="14" customWidth="1"/>
    <col min="14" max="14" width="28" customWidth="1"/>
    <col min="16" max="16" width="16" customWidth="1"/>
    <col min="17" max="18" width="14" customWidth="1"/>
    <col min="19" max="20" width="12" customWidth="1"/>
    <col min="21" max="21" width="14" customWidth="1"/>
    <col min="24" max="24" width="16" customWidth="1"/>
    <col min="25" max="26" width="14" customWidth="1"/>
    <col min="27" max="28" width="12" customWidth="1"/>
  </cols>
  <sheetData>
    <row r="1" spans="1:28" ht="23.4" x14ac:dyDescent="0.45">
      <c r="A1" s="47" t="s">
        <v>182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</row>
    <row r="2" spans="1:28" x14ac:dyDescent="0.3">
      <c r="A2" s="1" t="s">
        <v>183</v>
      </c>
    </row>
    <row r="4" spans="1:28" x14ac:dyDescent="0.3">
      <c r="A4" s="43" t="s">
        <v>184</v>
      </c>
      <c r="B4" s="33"/>
      <c r="C4" s="33"/>
      <c r="D4" s="33"/>
      <c r="E4" s="33"/>
      <c r="F4" s="33"/>
      <c r="P4" s="44" t="s">
        <v>185</v>
      </c>
      <c r="Q4" s="33"/>
      <c r="R4" s="33"/>
      <c r="S4" s="33"/>
      <c r="T4" s="33"/>
      <c r="U4" s="33"/>
      <c r="X4" s="43" t="s">
        <v>186</v>
      </c>
      <c r="Y4" s="33"/>
      <c r="Z4" s="33"/>
      <c r="AA4" s="33"/>
      <c r="AB4" s="33"/>
    </row>
    <row r="5" spans="1:28" x14ac:dyDescent="0.3">
      <c r="A5" s="2" t="s">
        <v>6</v>
      </c>
      <c r="B5" s="48">
        <f>Resumen!J5</f>
        <v>96000</v>
      </c>
      <c r="C5" s="31"/>
    </row>
    <row r="6" spans="1:28" x14ac:dyDescent="0.3">
      <c r="A6" s="2" t="s">
        <v>187</v>
      </c>
      <c r="B6" s="48">
        <f>SUM(J11:J53)</f>
        <v>95590</v>
      </c>
      <c r="C6" s="31"/>
    </row>
    <row r="7" spans="1:28" x14ac:dyDescent="0.3">
      <c r="A7" s="2" t="s">
        <v>188</v>
      </c>
      <c r="B7" s="48">
        <f>SUM(K11:K53)</f>
        <v>98252.000000000015</v>
      </c>
      <c r="C7" s="31"/>
    </row>
    <row r="8" spans="1:28" x14ac:dyDescent="0.3">
      <c r="A8" s="2" t="s">
        <v>189</v>
      </c>
      <c r="B8" s="50">
        <f>C7-C5</f>
        <v>0</v>
      </c>
      <c r="C8" s="31"/>
    </row>
    <row r="9" spans="1:28" x14ac:dyDescent="0.3">
      <c r="A9" s="2" t="s">
        <v>190</v>
      </c>
      <c r="B9" s="49">
        <f>IFERROR(C7/C5,0)</f>
        <v>0</v>
      </c>
      <c r="C9" s="31"/>
    </row>
    <row r="10" spans="1:28" ht="22.05" customHeight="1" x14ac:dyDescent="0.3">
      <c r="A10" s="11" t="s">
        <v>191</v>
      </c>
      <c r="B10" s="11" t="s">
        <v>192</v>
      </c>
      <c r="C10" s="11" t="s">
        <v>50</v>
      </c>
      <c r="D10" s="11" t="s">
        <v>193</v>
      </c>
      <c r="E10" s="11" t="s">
        <v>194</v>
      </c>
      <c r="F10" s="11" t="s">
        <v>13</v>
      </c>
      <c r="G10" s="11" t="s">
        <v>195</v>
      </c>
      <c r="H10" s="11" t="s">
        <v>196</v>
      </c>
      <c r="I10" s="11" t="s">
        <v>197</v>
      </c>
      <c r="J10" s="11" t="s">
        <v>198</v>
      </c>
      <c r="K10" s="11" t="s">
        <v>199</v>
      </c>
      <c r="L10" s="11" t="s">
        <v>200</v>
      </c>
      <c r="M10" s="11" t="s">
        <v>31</v>
      </c>
      <c r="N10" s="11" t="s">
        <v>201</v>
      </c>
      <c r="P10" s="5" t="s">
        <v>50</v>
      </c>
      <c r="Q10" s="5" t="s">
        <v>195</v>
      </c>
      <c r="R10" s="5" t="s">
        <v>196</v>
      </c>
      <c r="S10" s="5" t="s">
        <v>200</v>
      </c>
      <c r="T10" s="5" t="s">
        <v>202</v>
      </c>
      <c r="U10" s="5" t="s">
        <v>203</v>
      </c>
      <c r="X10" s="5" t="s">
        <v>191</v>
      </c>
      <c r="Y10" s="5" t="s">
        <v>198</v>
      </c>
      <c r="Z10" s="5" t="s">
        <v>199</v>
      </c>
      <c r="AA10" s="5" t="s">
        <v>200</v>
      </c>
      <c r="AB10" s="5" t="s">
        <v>204</v>
      </c>
    </row>
    <row r="11" spans="1:28" ht="22.05" customHeight="1" x14ac:dyDescent="0.3">
      <c r="A11" s="3" t="s">
        <v>205</v>
      </c>
      <c r="B11" s="3">
        <v>1</v>
      </c>
      <c r="C11" s="3" t="s">
        <v>56</v>
      </c>
      <c r="D11" s="3" t="s">
        <v>99</v>
      </c>
      <c r="E11" s="3" t="s">
        <v>206</v>
      </c>
      <c r="F11" s="3" t="s">
        <v>14</v>
      </c>
      <c r="G11" s="14">
        <v>2340</v>
      </c>
      <c r="H11" s="14">
        <v>2200</v>
      </c>
      <c r="I11" s="10">
        <v>0.21</v>
      </c>
      <c r="J11" s="14">
        <f t="shared" ref="J11:J53" si="0">G11*(1+I11)</f>
        <v>2831.4</v>
      </c>
      <c r="K11" s="14">
        <f t="shared" ref="K11:K53" si="1">H11*(1+I11)</f>
        <v>2662</v>
      </c>
      <c r="L11" s="17">
        <f t="shared" ref="L11:L53" si="2">H11-G11</f>
        <v>-140</v>
      </c>
      <c r="M11" s="12" t="str">
        <f t="shared" ref="M11:M53" si="3">IF(L11&gt;0,"Sobre",IF(L11&lt;0,"Bajo","En línea"))</f>
        <v>Bajo</v>
      </c>
      <c r="N11" s="3" t="s">
        <v>104</v>
      </c>
      <c r="P11" s="18" t="s">
        <v>56</v>
      </c>
      <c r="Q11" s="19">
        <f t="shared" ref="Q11:Q16" si="4">SUMIFS($G$11:$G$53,$C$11:$C$53,P11)</f>
        <v>18300</v>
      </c>
      <c r="R11" s="19">
        <f t="shared" ref="R11:R16" si="5">SUMIFS($H$11:$H$53,$C$11:$C$53,P11)</f>
        <v>18800</v>
      </c>
      <c r="S11" s="20">
        <f t="shared" ref="S11:S16" si="6">R11-Q11</f>
        <v>500</v>
      </c>
      <c r="T11" s="21">
        <f t="shared" ref="T11:T16" si="7">IFERROR(R11/SUM($R$11:$R$16),0)</f>
        <v>0.23152709359605911</v>
      </c>
      <c r="U11" s="21">
        <f t="shared" ref="U11:U16" si="8">IFERROR(R11/Q11,0)</f>
        <v>1.0273224043715847</v>
      </c>
      <c r="X11" s="18" t="s">
        <v>205</v>
      </c>
      <c r="Y11" s="19">
        <f>SUMIFS($J$11:$J$53,$B$11:$B$53,1)</f>
        <v>3872</v>
      </c>
      <c r="Z11" s="19">
        <f>SUMIFS($K$11:$K$53,$B$11:$B$53,1)</f>
        <v>3799.3999999999996</v>
      </c>
      <c r="AA11" s="20">
        <f t="shared" ref="AA11:AA22" si="9">Z11-Y11</f>
        <v>-72.600000000000364</v>
      </c>
      <c r="AB11" s="21">
        <f t="shared" ref="AB11:AB22" si="10">IFERROR(Z11/Y11,0)</f>
        <v>0.98124999999999996</v>
      </c>
    </row>
    <row r="12" spans="1:28" ht="22.05" customHeight="1" x14ac:dyDescent="0.3">
      <c r="A12" s="3" t="s">
        <v>207</v>
      </c>
      <c r="B12" s="3">
        <v>2</v>
      </c>
      <c r="C12" s="3" t="s">
        <v>56</v>
      </c>
      <c r="D12" s="3" t="s">
        <v>99</v>
      </c>
      <c r="E12" s="3" t="s">
        <v>206</v>
      </c>
      <c r="F12" s="3" t="s">
        <v>14</v>
      </c>
      <c r="G12" s="14">
        <v>2860</v>
      </c>
      <c r="H12" s="14">
        <v>2700</v>
      </c>
      <c r="I12" s="10">
        <v>0.21</v>
      </c>
      <c r="J12" s="14">
        <f t="shared" si="0"/>
        <v>3460.6</v>
      </c>
      <c r="K12" s="14">
        <f t="shared" si="1"/>
        <v>3267</v>
      </c>
      <c r="L12" s="17">
        <f t="shared" si="2"/>
        <v>-160</v>
      </c>
      <c r="M12" s="12" t="str">
        <f t="shared" si="3"/>
        <v>Bajo</v>
      </c>
      <c r="N12" s="3" t="s">
        <v>104</v>
      </c>
      <c r="P12" s="18" t="s">
        <v>59</v>
      </c>
      <c r="Q12" s="19">
        <f t="shared" si="4"/>
        <v>21500</v>
      </c>
      <c r="R12" s="19">
        <f t="shared" si="5"/>
        <v>23100</v>
      </c>
      <c r="S12" s="20">
        <f t="shared" si="6"/>
        <v>1600</v>
      </c>
      <c r="T12" s="21">
        <f t="shared" si="7"/>
        <v>0.28448275862068967</v>
      </c>
      <c r="U12" s="21">
        <f t="shared" si="8"/>
        <v>1.0744186046511628</v>
      </c>
      <c r="X12" s="18" t="s">
        <v>207</v>
      </c>
      <c r="Y12" s="19">
        <f>SUMIFS($J$11:$J$53,$B$11:$B$53,2)</f>
        <v>6957.5</v>
      </c>
      <c r="Z12" s="19">
        <f>SUMIFS($K$11:$K$53,$B$11:$B$53,2)</f>
        <v>7078.5</v>
      </c>
      <c r="AA12" s="20">
        <f t="shared" si="9"/>
        <v>121</v>
      </c>
      <c r="AB12" s="21">
        <f t="shared" si="10"/>
        <v>1.017391304347826</v>
      </c>
    </row>
    <row r="13" spans="1:28" ht="22.05" customHeight="1" x14ac:dyDescent="0.3">
      <c r="A13" s="3" t="s">
        <v>205</v>
      </c>
      <c r="B13" s="3">
        <v>1</v>
      </c>
      <c r="C13" s="3" t="s">
        <v>62</v>
      </c>
      <c r="D13" s="3" t="s">
        <v>106</v>
      </c>
      <c r="E13" s="3" t="s">
        <v>208</v>
      </c>
      <c r="F13" s="3" t="s">
        <v>109</v>
      </c>
      <c r="G13" s="14">
        <v>860</v>
      </c>
      <c r="H13" s="14">
        <v>940</v>
      </c>
      <c r="I13" s="10">
        <v>0.21</v>
      </c>
      <c r="J13" s="14">
        <f t="shared" si="0"/>
        <v>1040.5999999999999</v>
      </c>
      <c r="K13" s="14">
        <f t="shared" si="1"/>
        <v>1137.3999999999999</v>
      </c>
      <c r="L13" s="17">
        <f t="shared" si="2"/>
        <v>80</v>
      </c>
      <c r="M13" s="12" t="str">
        <f t="shared" si="3"/>
        <v>Sobre</v>
      </c>
      <c r="N13" s="3" t="s">
        <v>111</v>
      </c>
      <c r="P13" s="18" t="s">
        <v>62</v>
      </c>
      <c r="Q13" s="19">
        <f t="shared" si="4"/>
        <v>7900</v>
      </c>
      <c r="R13" s="19">
        <f t="shared" si="5"/>
        <v>7700</v>
      </c>
      <c r="S13" s="20">
        <f t="shared" si="6"/>
        <v>-200</v>
      </c>
      <c r="T13" s="21">
        <f t="shared" si="7"/>
        <v>9.4827586206896547E-2</v>
      </c>
      <c r="U13" s="21">
        <f t="shared" si="8"/>
        <v>0.97468354430379744</v>
      </c>
      <c r="X13" s="18" t="s">
        <v>209</v>
      </c>
      <c r="Y13" s="19">
        <f>SUMIFS($J$11:$J$53,$B$11:$B$53,3)</f>
        <v>2783</v>
      </c>
      <c r="Z13" s="19">
        <f>SUMIFS($K$11:$K$53,$B$11:$B$53,3)</f>
        <v>2952.3999999999996</v>
      </c>
      <c r="AA13" s="20">
        <f t="shared" si="9"/>
        <v>169.39999999999964</v>
      </c>
      <c r="AB13" s="21">
        <f t="shared" si="10"/>
        <v>1.0608695652173912</v>
      </c>
    </row>
    <row r="14" spans="1:28" ht="22.05" customHeight="1" x14ac:dyDescent="0.3">
      <c r="A14" s="3" t="s">
        <v>207</v>
      </c>
      <c r="B14" s="3">
        <v>2</v>
      </c>
      <c r="C14" s="3" t="s">
        <v>62</v>
      </c>
      <c r="D14" s="3" t="s">
        <v>106</v>
      </c>
      <c r="E14" s="3" t="s">
        <v>208</v>
      </c>
      <c r="F14" s="3" t="s">
        <v>109</v>
      </c>
      <c r="G14" s="14">
        <v>1040</v>
      </c>
      <c r="H14" s="14">
        <v>1160</v>
      </c>
      <c r="I14" s="10">
        <v>0.21</v>
      </c>
      <c r="J14" s="14">
        <f t="shared" si="0"/>
        <v>1258.3999999999999</v>
      </c>
      <c r="K14" s="14">
        <f t="shared" si="1"/>
        <v>1403.6</v>
      </c>
      <c r="L14" s="17">
        <f t="shared" si="2"/>
        <v>120</v>
      </c>
      <c r="M14" s="12" t="str">
        <f t="shared" si="3"/>
        <v>Sobre</v>
      </c>
      <c r="N14" s="3" t="s">
        <v>111</v>
      </c>
      <c r="P14" s="18" t="s">
        <v>65</v>
      </c>
      <c r="Q14" s="19">
        <f t="shared" si="4"/>
        <v>5300</v>
      </c>
      <c r="R14" s="19">
        <f t="shared" si="5"/>
        <v>5300</v>
      </c>
      <c r="S14" s="20">
        <f t="shared" si="6"/>
        <v>0</v>
      </c>
      <c r="T14" s="21">
        <f t="shared" si="7"/>
        <v>6.5270935960591137E-2</v>
      </c>
      <c r="U14" s="21">
        <f t="shared" si="8"/>
        <v>1</v>
      </c>
      <c r="X14" s="18" t="s">
        <v>210</v>
      </c>
      <c r="Y14" s="19">
        <f>SUMIFS($J$11:$J$53,$B$11:$B$53,4)</f>
        <v>8627.2999999999993</v>
      </c>
      <c r="Z14" s="19">
        <f>SUMIFS($K$11:$K$53,$B$11:$B$53,4)</f>
        <v>9256.5</v>
      </c>
      <c r="AA14" s="20">
        <f t="shared" si="9"/>
        <v>629.20000000000073</v>
      </c>
      <c r="AB14" s="21">
        <f t="shared" si="10"/>
        <v>1.0729312762973353</v>
      </c>
    </row>
    <row r="15" spans="1:28" ht="22.05" customHeight="1" x14ac:dyDescent="0.3">
      <c r="A15" s="3" t="s">
        <v>207</v>
      </c>
      <c r="B15" s="3">
        <v>2</v>
      </c>
      <c r="C15" s="3" t="s">
        <v>59</v>
      </c>
      <c r="D15" s="3" t="s">
        <v>113</v>
      </c>
      <c r="E15" s="3" t="s">
        <v>206</v>
      </c>
      <c r="F15" s="3" t="s">
        <v>40</v>
      </c>
      <c r="G15" s="14">
        <v>1850</v>
      </c>
      <c r="H15" s="14">
        <v>1990</v>
      </c>
      <c r="I15" s="10">
        <v>0.21</v>
      </c>
      <c r="J15" s="14">
        <f t="shared" si="0"/>
        <v>2238.5</v>
      </c>
      <c r="K15" s="14">
        <f t="shared" si="1"/>
        <v>2407.9</v>
      </c>
      <c r="L15" s="17">
        <f t="shared" si="2"/>
        <v>140</v>
      </c>
      <c r="M15" s="12" t="str">
        <f t="shared" si="3"/>
        <v>Sobre</v>
      </c>
      <c r="N15" s="3" t="s">
        <v>116</v>
      </c>
      <c r="P15" s="18" t="s">
        <v>67</v>
      </c>
      <c r="Q15" s="19">
        <f t="shared" si="4"/>
        <v>9700</v>
      </c>
      <c r="R15" s="19">
        <f t="shared" si="5"/>
        <v>9700</v>
      </c>
      <c r="S15" s="20">
        <f t="shared" si="6"/>
        <v>0</v>
      </c>
      <c r="T15" s="21">
        <f t="shared" si="7"/>
        <v>0.11945812807881774</v>
      </c>
      <c r="U15" s="21">
        <f t="shared" si="8"/>
        <v>1</v>
      </c>
      <c r="X15" s="18" t="s">
        <v>211</v>
      </c>
      <c r="Y15" s="19">
        <f>SUMIFS($J$11:$J$53,$B$11:$B$53,5)</f>
        <v>12293.599999999999</v>
      </c>
      <c r="Z15" s="19">
        <f>SUMIFS($K$11:$K$53,$B$11:$B$53,5)</f>
        <v>13116.400000000001</v>
      </c>
      <c r="AA15" s="20">
        <f t="shared" si="9"/>
        <v>822.80000000000291</v>
      </c>
      <c r="AB15" s="21">
        <f t="shared" si="10"/>
        <v>1.066929133858268</v>
      </c>
    </row>
    <row r="16" spans="1:28" ht="22.05" customHeight="1" x14ac:dyDescent="0.3">
      <c r="A16" s="3" t="s">
        <v>209</v>
      </c>
      <c r="B16" s="3">
        <v>3</v>
      </c>
      <c r="C16" s="3" t="s">
        <v>59</v>
      </c>
      <c r="D16" s="3" t="s">
        <v>113</v>
      </c>
      <c r="E16" s="3" t="s">
        <v>206</v>
      </c>
      <c r="F16" s="3" t="s">
        <v>40</v>
      </c>
      <c r="G16" s="14">
        <v>2110</v>
      </c>
      <c r="H16" s="14">
        <v>2270</v>
      </c>
      <c r="I16" s="10">
        <v>0.21</v>
      </c>
      <c r="J16" s="14">
        <f t="shared" si="0"/>
        <v>2553.1</v>
      </c>
      <c r="K16" s="14">
        <f t="shared" si="1"/>
        <v>2746.7</v>
      </c>
      <c r="L16" s="17">
        <f t="shared" si="2"/>
        <v>160</v>
      </c>
      <c r="M16" s="12" t="str">
        <f t="shared" si="3"/>
        <v>Sobre</v>
      </c>
      <c r="N16" s="3" t="s">
        <v>116</v>
      </c>
      <c r="P16" s="18" t="s">
        <v>69</v>
      </c>
      <c r="Q16" s="19">
        <f t="shared" si="4"/>
        <v>16300</v>
      </c>
      <c r="R16" s="19">
        <f t="shared" si="5"/>
        <v>16600</v>
      </c>
      <c r="S16" s="20">
        <f t="shared" si="6"/>
        <v>300</v>
      </c>
      <c r="T16" s="21">
        <f t="shared" si="7"/>
        <v>0.20443349753694581</v>
      </c>
      <c r="U16" s="21">
        <f t="shared" si="8"/>
        <v>1.01840490797546</v>
      </c>
      <c r="X16" s="18" t="s">
        <v>212</v>
      </c>
      <c r="Y16" s="19">
        <f>SUMIFS($J$11:$J$53,$B$11:$B$53,6)</f>
        <v>6425.1</v>
      </c>
      <c r="Z16" s="19">
        <f>SUMIFS($K$11:$K$53,$B$11:$B$53,6)</f>
        <v>6679.1999999999989</v>
      </c>
      <c r="AA16" s="20">
        <f t="shared" si="9"/>
        <v>254.09999999999854</v>
      </c>
      <c r="AB16" s="21">
        <f t="shared" si="10"/>
        <v>1.0395480225988698</v>
      </c>
    </row>
    <row r="17" spans="1:28" ht="22.05" customHeight="1" x14ac:dyDescent="0.3">
      <c r="A17" s="3" t="s">
        <v>210</v>
      </c>
      <c r="B17" s="3">
        <v>4</v>
      </c>
      <c r="C17" s="3" t="s">
        <v>59</v>
      </c>
      <c r="D17" s="3" t="s">
        <v>113</v>
      </c>
      <c r="E17" s="3" t="s">
        <v>206</v>
      </c>
      <c r="F17" s="3" t="s">
        <v>40</v>
      </c>
      <c r="G17" s="14">
        <v>2640</v>
      </c>
      <c r="H17" s="14">
        <v>2840</v>
      </c>
      <c r="I17" s="10">
        <v>0.21</v>
      </c>
      <c r="J17" s="14">
        <f t="shared" si="0"/>
        <v>3194.4</v>
      </c>
      <c r="K17" s="14">
        <f t="shared" si="1"/>
        <v>3436.4</v>
      </c>
      <c r="L17" s="17">
        <f t="shared" si="2"/>
        <v>200</v>
      </c>
      <c r="M17" s="12" t="str">
        <f t="shared" si="3"/>
        <v>Sobre</v>
      </c>
      <c r="N17" s="3" t="s">
        <v>116</v>
      </c>
      <c r="X17" s="18" t="s">
        <v>213</v>
      </c>
      <c r="Y17" s="19">
        <f>SUMIFS($J$11:$J$53,$B$11:$B$53,7)</f>
        <v>4295.5</v>
      </c>
      <c r="Z17" s="19">
        <f>SUMIFS($K$11:$K$53,$B$11:$B$53,7)</f>
        <v>4380.2</v>
      </c>
      <c r="AA17" s="20">
        <f t="shared" si="9"/>
        <v>84.699999999999818</v>
      </c>
      <c r="AB17" s="21">
        <f t="shared" si="10"/>
        <v>1.0197183098591549</v>
      </c>
    </row>
    <row r="18" spans="1:28" ht="22.05" customHeight="1" x14ac:dyDescent="0.3">
      <c r="A18" s="3" t="s">
        <v>209</v>
      </c>
      <c r="B18" s="3">
        <v>3</v>
      </c>
      <c r="C18" s="3" t="s">
        <v>65</v>
      </c>
      <c r="D18" s="3" t="s">
        <v>118</v>
      </c>
      <c r="E18" s="3" t="s">
        <v>214</v>
      </c>
      <c r="F18" s="3" t="s">
        <v>46</v>
      </c>
      <c r="G18" s="14">
        <v>190</v>
      </c>
      <c r="H18" s="14">
        <v>170</v>
      </c>
      <c r="I18" s="10">
        <v>0.21</v>
      </c>
      <c r="J18" s="14">
        <f t="shared" si="0"/>
        <v>229.9</v>
      </c>
      <c r="K18" s="14">
        <f t="shared" si="1"/>
        <v>205.7</v>
      </c>
      <c r="L18" s="17">
        <f t="shared" si="2"/>
        <v>-20</v>
      </c>
      <c r="M18" s="12" t="str">
        <f t="shared" si="3"/>
        <v>Bajo</v>
      </c>
      <c r="N18" s="3" t="s">
        <v>121</v>
      </c>
      <c r="X18" s="18" t="s">
        <v>215</v>
      </c>
      <c r="Y18" s="19">
        <f>SUMIFS($J$11:$J$53,$B$11:$B$53,8)</f>
        <v>5372.4</v>
      </c>
      <c r="Z18" s="19">
        <f>SUMIFS($K$11:$K$53,$B$11:$B$53,8)</f>
        <v>5481.3</v>
      </c>
      <c r="AA18" s="20">
        <f t="shared" si="9"/>
        <v>108.90000000000055</v>
      </c>
      <c r="AB18" s="21">
        <f t="shared" si="10"/>
        <v>1.0202702702702704</v>
      </c>
    </row>
    <row r="19" spans="1:28" ht="22.05" customHeight="1" x14ac:dyDescent="0.3">
      <c r="A19" s="3" t="s">
        <v>210</v>
      </c>
      <c r="B19" s="3">
        <v>4</v>
      </c>
      <c r="C19" s="3" t="s">
        <v>65</v>
      </c>
      <c r="D19" s="3" t="s">
        <v>118</v>
      </c>
      <c r="E19" s="3" t="s">
        <v>214</v>
      </c>
      <c r="F19" s="3" t="s">
        <v>46</v>
      </c>
      <c r="G19" s="14">
        <v>190</v>
      </c>
      <c r="H19" s="14">
        <v>170</v>
      </c>
      <c r="I19" s="10">
        <v>0.21</v>
      </c>
      <c r="J19" s="14">
        <f t="shared" si="0"/>
        <v>229.9</v>
      </c>
      <c r="K19" s="14">
        <f t="shared" si="1"/>
        <v>205.7</v>
      </c>
      <c r="L19" s="17">
        <f t="shared" si="2"/>
        <v>-20</v>
      </c>
      <c r="M19" s="12" t="str">
        <f t="shared" si="3"/>
        <v>Bajo</v>
      </c>
      <c r="N19" s="3" t="s">
        <v>121</v>
      </c>
      <c r="X19" s="18" t="s">
        <v>216</v>
      </c>
      <c r="Y19" s="19">
        <f>SUMIFS($J$11:$J$53,$B$11:$B$53,9)</f>
        <v>8675.7000000000007</v>
      </c>
      <c r="Z19" s="19">
        <f>SUMIFS($K$11:$K$53,$B$11:$B$53,9)</f>
        <v>8457.9</v>
      </c>
      <c r="AA19" s="20">
        <f t="shared" si="9"/>
        <v>-217.80000000000109</v>
      </c>
      <c r="AB19" s="21">
        <f t="shared" si="10"/>
        <v>0.97489539748953957</v>
      </c>
    </row>
    <row r="20" spans="1:28" ht="22.05" customHeight="1" x14ac:dyDescent="0.3">
      <c r="A20" s="3" t="s">
        <v>211</v>
      </c>
      <c r="B20" s="3">
        <v>5</v>
      </c>
      <c r="C20" s="3" t="s">
        <v>65</v>
      </c>
      <c r="D20" s="3" t="s">
        <v>118</v>
      </c>
      <c r="E20" s="3" t="s">
        <v>214</v>
      </c>
      <c r="F20" s="3" t="s">
        <v>46</v>
      </c>
      <c r="G20" s="14">
        <v>220</v>
      </c>
      <c r="H20" s="14">
        <v>200</v>
      </c>
      <c r="I20" s="10">
        <v>0.21</v>
      </c>
      <c r="J20" s="14">
        <f t="shared" si="0"/>
        <v>266.2</v>
      </c>
      <c r="K20" s="14">
        <f t="shared" si="1"/>
        <v>242</v>
      </c>
      <c r="L20" s="17">
        <f t="shared" si="2"/>
        <v>-20</v>
      </c>
      <c r="M20" s="12" t="str">
        <f t="shared" si="3"/>
        <v>Bajo</v>
      </c>
      <c r="N20" s="3" t="s">
        <v>121</v>
      </c>
      <c r="X20" s="18" t="s">
        <v>217</v>
      </c>
      <c r="Y20" s="19">
        <f>SUMIFS($J$11:$J$53,$B$11:$B$53,10)</f>
        <v>11398.199999999999</v>
      </c>
      <c r="Z20" s="19">
        <f>SUMIFS($K$11:$K$53,$B$11:$B$53,10)</f>
        <v>11071.5</v>
      </c>
      <c r="AA20" s="20">
        <f t="shared" si="9"/>
        <v>-326.69999999999891</v>
      </c>
      <c r="AB20" s="21">
        <f t="shared" si="10"/>
        <v>0.97133757961783451</v>
      </c>
    </row>
    <row r="21" spans="1:28" ht="22.05" customHeight="1" x14ac:dyDescent="0.3">
      <c r="A21" s="3" t="s">
        <v>212</v>
      </c>
      <c r="B21" s="3">
        <v>6</v>
      </c>
      <c r="C21" s="3" t="s">
        <v>65</v>
      </c>
      <c r="D21" s="3" t="s">
        <v>118</v>
      </c>
      <c r="E21" s="3" t="s">
        <v>214</v>
      </c>
      <c r="F21" s="3" t="s">
        <v>46</v>
      </c>
      <c r="G21" s="14">
        <v>260</v>
      </c>
      <c r="H21" s="14">
        <v>230</v>
      </c>
      <c r="I21" s="10">
        <v>0.21</v>
      </c>
      <c r="J21" s="14">
        <f t="shared" si="0"/>
        <v>314.59999999999997</v>
      </c>
      <c r="K21" s="14">
        <f t="shared" si="1"/>
        <v>278.3</v>
      </c>
      <c r="L21" s="17">
        <f t="shared" si="2"/>
        <v>-30</v>
      </c>
      <c r="M21" s="12" t="str">
        <f t="shared" si="3"/>
        <v>Bajo</v>
      </c>
      <c r="N21" s="3" t="s">
        <v>121</v>
      </c>
      <c r="X21" s="18" t="s">
        <v>218</v>
      </c>
      <c r="Y21" s="19">
        <f>SUMIFS($J$11:$J$53,$B$11:$B$53,11)</f>
        <v>10539.099999999999</v>
      </c>
      <c r="Z21" s="19">
        <f>SUMIFS($K$11:$K$53,$B$11:$B$53,11)</f>
        <v>10902.099999999999</v>
      </c>
      <c r="AA21" s="20">
        <f t="shared" si="9"/>
        <v>363</v>
      </c>
      <c r="AB21" s="21">
        <f t="shared" si="10"/>
        <v>1.034443168771527</v>
      </c>
    </row>
    <row r="22" spans="1:28" ht="22.05" customHeight="1" x14ac:dyDescent="0.3">
      <c r="A22" s="3" t="s">
        <v>213</v>
      </c>
      <c r="B22" s="3">
        <v>7</v>
      </c>
      <c r="C22" s="3" t="s">
        <v>65</v>
      </c>
      <c r="D22" s="3" t="s">
        <v>118</v>
      </c>
      <c r="E22" s="3" t="s">
        <v>214</v>
      </c>
      <c r="F22" s="3" t="s">
        <v>46</v>
      </c>
      <c r="G22" s="14">
        <v>260</v>
      </c>
      <c r="H22" s="14">
        <v>230</v>
      </c>
      <c r="I22" s="10">
        <v>0.21</v>
      </c>
      <c r="J22" s="14">
        <f t="shared" si="0"/>
        <v>314.59999999999997</v>
      </c>
      <c r="K22" s="14">
        <f t="shared" si="1"/>
        <v>278.3</v>
      </c>
      <c r="L22" s="17">
        <f t="shared" si="2"/>
        <v>-30</v>
      </c>
      <c r="M22" s="12" t="str">
        <f t="shared" si="3"/>
        <v>Bajo</v>
      </c>
      <c r="N22" s="3" t="s">
        <v>121</v>
      </c>
      <c r="X22" s="18" t="s">
        <v>219</v>
      </c>
      <c r="Y22" s="19">
        <f>SUMIFS($J$11:$J$53,$B$11:$B$53,12)</f>
        <v>14350.599999999999</v>
      </c>
      <c r="Z22" s="19">
        <f>SUMIFS($K$11:$K$53,$B$11:$B$53,12)</f>
        <v>15076.599999999999</v>
      </c>
      <c r="AA22" s="20">
        <f t="shared" si="9"/>
        <v>726</v>
      </c>
      <c r="AB22" s="21">
        <f t="shared" si="10"/>
        <v>1.0505902192242833</v>
      </c>
    </row>
    <row r="23" spans="1:28" ht="22.05" customHeight="1" x14ac:dyDescent="0.3">
      <c r="A23" s="3" t="s">
        <v>215</v>
      </c>
      <c r="B23" s="3">
        <v>8</v>
      </c>
      <c r="C23" s="3" t="s">
        <v>65</v>
      </c>
      <c r="D23" s="3" t="s">
        <v>118</v>
      </c>
      <c r="E23" s="3" t="s">
        <v>214</v>
      </c>
      <c r="F23" s="3" t="s">
        <v>46</v>
      </c>
      <c r="G23" s="14">
        <v>320</v>
      </c>
      <c r="H23" s="14">
        <v>290</v>
      </c>
      <c r="I23" s="10">
        <v>0.21</v>
      </c>
      <c r="J23" s="14">
        <f t="shared" si="0"/>
        <v>387.2</v>
      </c>
      <c r="K23" s="14">
        <f t="shared" si="1"/>
        <v>350.9</v>
      </c>
      <c r="L23" s="17">
        <f t="shared" si="2"/>
        <v>-30</v>
      </c>
      <c r="M23" s="12" t="str">
        <f t="shared" si="3"/>
        <v>Bajo</v>
      </c>
      <c r="N23" s="3" t="s">
        <v>121</v>
      </c>
    </row>
    <row r="24" spans="1:28" ht="22.05" customHeight="1" x14ac:dyDescent="0.3">
      <c r="A24" s="3" t="s">
        <v>216</v>
      </c>
      <c r="B24" s="3">
        <v>9</v>
      </c>
      <c r="C24" s="3" t="s">
        <v>65</v>
      </c>
      <c r="D24" s="3" t="s">
        <v>118</v>
      </c>
      <c r="E24" s="3" t="s">
        <v>214</v>
      </c>
      <c r="F24" s="3" t="s">
        <v>46</v>
      </c>
      <c r="G24" s="14">
        <v>350</v>
      </c>
      <c r="H24" s="14">
        <v>320</v>
      </c>
      <c r="I24" s="10">
        <v>0.21</v>
      </c>
      <c r="J24" s="14">
        <f t="shared" si="0"/>
        <v>423.5</v>
      </c>
      <c r="K24" s="14">
        <f t="shared" si="1"/>
        <v>387.2</v>
      </c>
      <c r="L24" s="17">
        <f t="shared" si="2"/>
        <v>-30</v>
      </c>
      <c r="M24" s="12" t="str">
        <f t="shared" si="3"/>
        <v>Bajo</v>
      </c>
      <c r="N24" s="3" t="s">
        <v>121</v>
      </c>
    </row>
    <row r="25" spans="1:28" ht="22.05" customHeight="1" x14ac:dyDescent="0.3">
      <c r="A25" s="3" t="s">
        <v>217</v>
      </c>
      <c r="B25" s="3">
        <v>10</v>
      </c>
      <c r="C25" s="3" t="s">
        <v>65</v>
      </c>
      <c r="D25" s="3" t="s">
        <v>118</v>
      </c>
      <c r="E25" s="3" t="s">
        <v>214</v>
      </c>
      <c r="F25" s="3" t="s">
        <v>46</v>
      </c>
      <c r="G25" s="14">
        <v>380</v>
      </c>
      <c r="H25" s="14">
        <v>350</v>
      </c>
      <c r="I25" s="10">
        <v>0.21</v>
      </c>
      <c r="J25" s="14">
        <f t="shared" si="0"/>
        <v>459.8</v>
      </c>
      <c r="K25" s="14">
        <f t="shared" si="1"/>
        <v>423.5</v>
      </c>
      <c r="L25" s="17">
        <f t="shared" si="2"/>
        <v>-30</v>
      </c>
      <c r="M25" s="12" t="str">
        <f t="shared" si="3"/>
        <v>Bajo</v>
      </c>
      <c r="N25" s="3" t="s">
        <v>121</v>
      </c>
    </row>
    <row r="26" spans="1:28" ht="22.05" customHeight="1" x14ac:dyDescent="0.3">
      <c r="A26" s="3" t="s">
        <v>218</v>
      </c>
      <c r="B26" s="3">
        <v>11</v>
      </c>
      <c r="C26" s="3" t="s">
        <v>65</v>
      </c>
      <c r="D26" s="3" t="s">
        <v>118</v>
      </c>
      <c r="E26" s="3" t="s">
        <v>214</v>
      </c>
      <c r="F26" s="3" t="s">
        <v>46</v>
      </c>
      <c r="G26" s="14">
        <v>480</v>
      </c>
      <c r="H26" s="14">
        <v>440</v>
      </c>
      <c r="I26" s="10">
        <v>0.21</v>
      </c>
      <c r="J26" s="14">
        <f t="shared" si="0"/>
        <v>580.79999999999995</v>
      </c>
      <c r="K26" s="14">
        <f t="shared" si="1"/>
        <v>532.4</v>
      </c>
      <c r="L26" s="17">
        <f t="shared" si="2"/>
        <v>-40</v>
      </c>
      <c r="M26" s="12" t="str">
        <f t="shared" si="3"/>
        <v>Bajo</v>
      </c>
      <c r="N26" s="3" t="s">
        <v>121</v>
      </c>
    </row>
    <row r="27" spans="1:28" ht="22.05" customHeight="1" x14ac:dyDescent="0.3">
      <c r="A27" s="3" t="s">
        <v>219</v>
      </c>
      <c r="B27" s="3">
        <v>12</v>
      </c>
      <c r="C27" s="3" t="s">
        <v>65</v>
      </c>
      <c r="D27" s="3" t="s">
        <v>118</v>
      </c>
      <c r="E27" s="3" t="s">
        <v>214</v>
      </c>
      <c r="F27" s="3" t="s">
        <v>46</v>
      </c>
      <c r="G27" s="14">
        <v>550</v>
      </c>
      <c r="H27" s="14">
        <v>500</v>
      </c>
      <c r="I27" s="10">
        <v>0.21</v>
      </c>
      <c r="J27" s="14">
        <f t="shared" si="0"/>
        <v>665.5</v>
      </c>
      <c r="K27" s="14">
        <f t="shared" si="1"/>
        <v>605</v>
      </c>
      <c r="L27" s="17">
        <f t="shared" si="2"/>
        <v>-50</v>
      </c>
      <c r="M27" s="12" t="str">
        <f t="shared" si="3"/>
        <v>Bajo</v>
      </c>
      <c r="N27" s="3" t="s">
        <v>121</v>
      </c>
    </row>
    <row r="28" spans="1:28" ht="22.05" customHeight="1" x14ac:dyDescent="0.3">
      <c r="A28" s="3" t="s">
        <v>210</v>
      </c>
      <c r="B28" s="3">
        <v>4</v>
      </c>
      <c r="C28" s="3" t="s">
        <v>67</v>
      </c>
      <c r="D28" s="3" t="s">
        <v>123</v>
      </c>
      <c r="E28" s="3" t="s">
        <v>220</v>
      </c>
      <c r="F28" s="3" t="s">
        <v>43</v>
      </c>
      <c r="G28" s="14">
        <v>1510</v>
      </c>
      <c r="H28" s="14">
        <v>1620</v>
      </c>
      <c r="I28" s="10">
        <v>0.21</v>
      </c>
      <c r="J28" s="14">
        <f t="shared" si="0"/>
        <v>1827.1</v>
      </c>
      <c r="K28" s="14">
        <f t="shared" si="1"/>
        <v>1960.2</v>
      </c>
      <c r="L28" s="17">
        <f t="shared" si="2"/>
        <v>110</v>
      </c>
      <c r="M28" s="12" t="str">
        <f t="shared" si="3"/>
        <v>Sobre</v>
      </c>
      <c r="N28" s="3" t="s">
        <v>126</v>
      </c>
    </row>
    <row r="29" spans="1:28" ht="22.05" customHeight="1" x14ac:dyDescent="0.3">
      <c r="A29" s="3" t="s">
        <v>211</v>
      </c>
      <c r="B29" s="3">
        <v>5</v>
      </c>
      <c r="C29" s="3" t="s">
        <v>67</v>
      </c>
      <c r="D29" s="3" t="s">
        <v>123</v>
      </c>
      <c r="E29" s="3" t="s">
        <v>220</v>
      </c>
      <c r="F29" s="3" t="s">
        <v>43</v>
      </c>
      <c r="G29" s="14">
        <v>1730</v>
      </c>
      <c r="H29" s="14">
        <v>1860</v>
      </c>
      <c r="I29" s="10">
        <v>0.21</v>
      </c>
      <c r="J29" s="14">
        <f t="shared" si="0"/>
        <v>2093.2999999999997</v>
      </c>
      <c r="K29" s="14">
        <f t="shared" si="1"/>
        <v>2250.6</v>
      </c>
      <c r="L29" s="17">
        <f t="shared" si="2"/>
        <v>130</v>
      </c>
      <c r="M29" s="12" t="str">
        <f t="shared" si="3"/>
        <v>Sobre</v>
      </c>
      <c r="N29" s="3" t="s">
        <v>126</v>
      </c>
    </row>
    <row r="30" spans="1:28" ht="22.05" customHeight="1" x14ac:dyDescent="0.3">
      <c r="A30" s="3" t="s">
        <v>212</v>
      </c>
      <c r="B30" s="3">
        <v>6</v>
      </c>
      <c r="C30" s="3" t="s">
        <v>67</v>
      </c>
      <c r="D30" s="3" t="s">
        <v>123</v>
      </c>
      <c r="E30" s="3" t="s">
        <v>220</v>
      </c>
      <c r="F30" s="3" t="s">
        <v>43</v>
      </c>
      <c r="G30" s="14">
        <v>2160</v>
      </c>
      <c r="H30" s="14">
        <v>2320</v>
      </c>
      <c r="I30" s="10">
        <v>0.21</v>
      </c>
      <c r="J30" s="14">
        <f t="shared" si="0"/>
        <v>2613.6</v>
      </c>
      <c r="K30" s="14">
        <f t="shared" si="1"/>
        <v>2807.2</v>
      </c>
      <c r="L30" s="17">
        <f t="shared" si="2"/>
        <v>160</v>
      </c>
      <c r="M30" s="12" t="str">
        <f t="shared" si="3"/>
        <v>Sobre</v>
      </c>
      <c r="N30" s="3" t="s">
        <v>126</v>
      </c>
    </row>
    <row r="31" spans="1:28" ht="22.05" customHeight="1" x14ac:dyDescent="0.3">
      <c r="A31" s="3" t="s">
        <v>211</v>
      </c>
      <c r="B31" s="3">
        <v>5</v>
      </c>
      <c r="C31" s="3" t="s">
        <v>69</v>
      </c>
      <c r="D31" s="3" t="s">
        <v>128</v>
      </c>
      <c r="E31" s="3" t="s">
        <v>221</v>
      </c>
      <c r="F31" s="3" t="s">
        <v>43</v>
      </c>
      <c r="G31" s="14">
        <v>4800</v>
      </c>
      <c r="H31" s="14">
        <v>5100</v>
      </c>
      <c r="I31" s="10">
        <v>0.21</v>
      </c>
      <c r="J31" s="14">
        <f t="shared" si="0"/>
        <v>5808</v>
      </c>
      <c r="K31" s="14">
        <f t="shared" si="1"/>
        <v>6171</v>
      </c>
      <c r="L31" s="17">
        <f t="shared" si="2"/>
        <v>300</v>
      </c>
      <c r="M31" s="12" t="str">
        <f t="shared" si="3"/>
        <v>Sobre</v>
      </c>
      <c r="N31" s="3" t="s">
        <v>131</v>
      </c>
    </row>
    <row r="32" spans="1:28" ht="22.05" customHeight="1" x14ac:dyDescent="0.3">
      <c r="A32" s="3" t="s">
        <v>210</v>
      </c>
      <c r="B32" s="3">
        <v>4</v>
      </c>
      <c r="C32" s="3" t="s">
        <v>56</v>
      </c>
      <c r="D32" s="3" t="s">
        <v>133</v>
      </c>
      <c r="E32" s="3" t="s">
        <v>206</v>
      </c>
      <c r="F32" s="3" t="s">
        <v>14</v>
      </c>
      <c r="G32" s="14">
        <v>2790</v>
      </c>
      <c r="H32" s="14">
        <v>3020</v>
      </c>
      <c r="I32" s="10">
        <v>0.21</v>
      </c>
      <c r="J32" s="14">
        <f t="shared" si="0"/>
        <v>3375.9</v>
      </c>
      <c r="K32" s="14">
        <f t="shared" si="1"/>
        <v>3654.2</v>
      </c>
      <c r="L32" s="17">
        <f t="shared" si="2"/>
        <v>230</v>
      </c>
      <c r="M32" s="12" t="str">
        <f t="shared" si="3"/>
        <v>Sobre</v>
      </c>
      <c r="N32" s="3" t="s">
        <v>136</v>
      </c>
    </row>
    <row r="33" spans="1:14" ht="22.05" customHeight="1" x14ac:dyDescent="0.3">
      <c r="A33" s="3" t="s">
        <v>211</v>
      </c>
      <c r="B33" s="3">
        <v>5</v>
      </c>
      <c r="C33" s="3" t="s">
        <v>56</v>
      </c>
      <c r="D33" s="3" t="s">
        <v>133</v>
      </c>
      <c r="E33" s="3" t="s">
        <v>206</v>
      </c>
      <c r="F33" s="3" t="s">
        <v>14</v>
      </c>
      <c r="G33" s="14">
        <v>3410</v>
      </c>
      <c r="H33" s="14">
        <v>3680</v>
      </c>
      <c r="I33" s="10">
        <v>0.21</v>
      </c>
      <c r="J33" s="14">
        <f t="shared" si="0"/>
        <v>4126.0999999999995</v>
      </c>
      <c r="K33" s="14">
        <f t="shared" si="1"/>
        <v>4452.8</v>
      </c>
      <c r="L33" s="17">
        <f t="shared" si="2"/>
        <v>270</v>
      </c>
      <c r="M33" s="12" t="str">
        <f t="shared" si="3"/>
        <v>Sobre</v>
      </c>
      <c r="N33" s="3" t="s">
        <v>136</v>
      </c>
    </row>
    <row r="34" spans="1:14" ht="22.05" customHeight="1" x14ac:dyDescent="0.3">
      <c r="A34" s="3" t="s">
        <v>212</v>
      </c>
      <c r="B34" s="3">
        <v>6</v>
      </c>
      <c r="C34" s="3" t="s">
        <v>62</v>
      </c>
      <c r="D34" s="3" t="s">
        <v>138</v>
      </c>
      <c r="E34" s="3" t="s">
        <v>208</v>
      </c>
      <c r="F34" s="3" t="s">
        <v>109</v>
      </c>
      <c r="G34" s="14">
        <v>900</v>
      </c>
      <c r="H34" s="14">
        <v>840</v>
      </c>
      <c r="I34" s="10">
        <v>0.21</v>
      </c>
      <c r="J34" s="14">
        <f t="shared" si="0"/>
        <v>1089</v>
      </c>
      <c r="K34" s="14">
        <f t="shared" si="1"/>
        <v>1016.4</v>
      </c>
      <c r="L34" s="17">
        <f t="shared" si="2"/>
        <v>-60</v>
      </c>
      <c r="M34" s="12" t="str">
        <f t="shared" si="3"/>
        <v>Bajo</v>
      </c>
      <c r="N34" s="3" t="s">
        <v>141</v>
      </c>
    </row>
    <row r="35" spans="1:14" ht="22.05" customHeight="1" x14ac:dyDescent="0.3">
      <c r="A35" s="3" t="s">
        <v>213</v>
      </c>
      <c r="B35" s="3">
        <v>7</v>
      </c>
      <c r="C35" s="3" t="s">
        <v>62</v>
      </c>
      <c r="D35" s="3" t="s">
        <v>138</v>
      </c>
      <c r="E35" s="3" t="s">
        <v>208</v>
      </c>
      <c r="F35" s="3" t="s">
        <v>109</v>
      </c>
      <c r="G35" s="14">
        <v>1020</v>
      </c>
      <c r="H35" s="14">
        <v>960</v>
      </c>
      <c r="I35" s="10">
        <v>0.21</v>
      </c>
      <c r="J35" s="14">
        <f t="shared" si="0"/>
        <v>1234.2</v>
      </c>
      <c r="K35" s="14">
        <f t="shared" si="1"/>
        <v>1161.5999999999999</v>
      </c>
      <c r="L35" s="17">
        <f t="shared" si="2"/>
        <v>-60</v>
      </c>
      <c r="M35" s="12" t="str">
        <f t="shared" si="3"/>
        <v>Bajo</v>
      </c>
      <c r="N35" s="3" t="s">
        <v>141</v>
      </c>
    </row>
    <row r="36" spans="1:14" ht="22.05" customHeight="1" x14ac:dyDescent="0.3">
      <c r="A36" s="3" t="s">
        <v>215</v>
      </c>
      <c r="B36" s="3">
        <v>8</v>
      </c>
      <c r="C36" s="3" t="s">
        <v>62</v>
      </c>
      <c r="D36" s="3" t="s">
        <v>138</v>
      </c>
      <c r="E36" s="3" t="s">
        <v>208</v>
      </c>
      <c r="F36" s="3" t="s">
        <v>109</v>
      </c>
      <c r="G36" s="14">
        <v>1280</v>
      </c>
      <c r="H36" s="14">
        <v>1200</v>
      </c>
      <c r="I36" s="10">
        <v>0.21</v>
      </c>
      <c r="J36" s="14">
        <f t="shared" si="0"/>
        <v>1548.8</v>
      </c>
      <c r="K36" s="14">
        <f t="shared" si="1"/>
        <v>1452</v>
      </c>
      <c r="L36" s="17">
        <f t="shared" si="2"/>
        <v>-80</v>
      </c>
      <c r="M36" s="12" t="str">
        <f t="shared" si="3"/>
        <v>Bajo</v>
      </c>
      <c r="N36" s="3" t="s">
        <v>141</v>
      </c>
    </row>
    <row r="37" spans="1:14" ht="22.05" customHeight="1" x14ac:dyDescent="0.3">
      <c r="A37" s="3" t="s">
        <v>212</v>
      </c>
      <c r="B37" s="3">
        <v>6</v>
      </c>
      <c r="C37" s="3" t="s">
        <v>59</v>
      </c>
      <c r="D37" s="3" t="s">
        <v>143</v>
      </c>
      <c r="E37" s="3" t="s">
        <v>206</v>
      </c>
      <c r="F37" s="3" t="s">
        <v>40</v>
      </c>
      <c r="G37" s="14">
        <v>1990</v>
      </c>
      <c r="H37" s="14">
        <v>2130</v>
      </c>
      <c r="I37" s="10">
        <v>0.21</v>
      </c>
      <c r="J37" s="14">
        <f t="shared" si="0"/>
        <v>2407.9</v>
      </c>
      <c r="K37" s="14">
        <f t="shared" si="1"/>
        <v>2577.2999999999997</v>
      </c>
      <c r="L37" s="17">
        <f t="shared" si="2"/>
        <v>140</v>
      </c>
      <c r="M37" s="12" t="str">
        <f t="shared" si="3"/>
        <v>Sobre</v>
      </c>
      <c r="N37" s="3" t="s">
        <v>146</v>
      </c>
    </row>
    <row r="38" spans="1:14" ht="22.05" customHeight="1" x14ac:dyDescent="0.3">
      <c r="A38" s="3" t="s">
        <v>213</v>
      </c>
      <c r="B38" s="3">
        <v>7</v>
      </c>
      <c r="C38" s="3" t="s">
        <v>59</v>
      </c>
      <c r="D38" s="3" t="s">
        <v>143</v>
      </c>
      <c r="E38" s="3" t="s">
        <v>206</v>
      </c>
      <c r="F38" s="3" t="s">
        <v>40</v>
      </c>
      <c r="G38" s="14">
        <v>2270</v>
      </c>
      <c r="H38" s="14">
        <v>2430</v>
      </c>
      <c r="I38" s="10">
        <v>0.21</v>
      </c>
      <c r="J38" s="14">
        <f t="shared" si="0"/>
        <v>2746.7</v>
      </c>
      <c r="K38" s="14">
        <f t="shared" si="1"/>
        <v>2940.2999999999997</v>
      </c>
      <c r="L38" s="17">
        <f t="shared" si="2"/>
        <v>160</v>
      </c>
      <c r="M38" s="12" t="str">
        <f t="shared" si="3"/>
        <v>Sobre</v>
      </c>
      <c r="N38" s="3" t="s">
        <v>146</v>
      </c>
    </row>
    <row r="39" spans="1:14" ht="22.05" customHeight="1" x14ac:dyDescent="0.3">
      <c r="A39" s="3" t="s">
        <v>215</v>
      </c>
      <c r="B39" s="3">
        <v>8</v>
      </c>
      <c r="C39" s="3" t="s">
        <v>59</v>
      </c>
      <c r="D39" s="3" t="s">
        <v>143</v>
      </c>
      <c r="E39" s="3" t="s">
        <v>206</v>
      </c>
      <c r="F39" s="3" t="s">
        <v>40</v>
      </c>
      <c r="G39" s="14">
        <v>2840</v>
      </c>
      <c r="H39" s="14">
        <v>3040</v>
      </c>
      <c r="I39" s="10">
        <v>0.21</v>
      </c>
      <c r="J39" s="14">
        <f t="shared" si="0"/>
        <v>3436.4</v>
      </c>
      <c r="K39" s="14">
        <f t="shared" si="1"/>
        <v>3678.4</v>
      </c>
      <c r="L39" s="17">
        <f t="shared" si="2"/>
        <v>200</v>
      </c>
      <c r="M39" s="12" t="str">
        <f t="shared" si="3"/>
        <v>Sobre</v>
      </c>
      <c r="N39" s="3" t="s">
        <v>146</v>
      </c>
    </row>
    <row r="40" spans="1:14" ht="22.05" customHeight="1" x14ac:dyDescent="0.3">
      <c r="A40" s="3" t="s">
        <v>216</v>
      </c>
      <c r="B40" s="3">
        <v>9</v>
      </c>
      <c r="C40" s="3" t="s">
        <v>69</v>
      </c>
      <c r="D40" s="3" t="s">
        <v>148</v>
      </c>
      <c r="E40" s="3" t="s">
        <v>221</v>
      </c>
      <c r="F40" s="3" t="s">
        <v>43</v>
      </c>
      <c r="G40" s="14">
        <v>2520</v>
      </c>
      <c r="H40" s="14">
        <v>2340</v>
      </c>
      <c r="I40" s="10">
        <v>0.21</v>
      </c>
      <c r="J40" s="14">
        <f t="shared" si="0"/>
        <v>3049.2</v>
      </c>
      <c r="K40" s="14">
        <f t="shared" si="1"/>
        <v>2831.4</v>
      </c>
      <c r="L40" s="17">
        <f t="shared" si="2"/>
        <v>-180</v>
      </c>
      <c r="M40" s="12" t="str">
        <f t="shared" si="3"/>
        <v>Bajo</v>
      </c>
      <c r="N40" s="3" t="s">
        <v>151</v>
      </c>
    </row>
    <row r="41" spans="1:14" ht="22.05" customHeight="1" x14ac:dyDescent="0.3">
      <c r="A41" s="3" t="s">
        <v>217</v>
      </c>
      <c r="B41" s="3">
        <v>10</v>
      </c>
      <c r="C41" s="3" t="s">
        <v>69</v>
      </c>
      <c r="D41" s="3" t="s">
        <v>148</v>
      </c>
      <c r="E41" s="3" t="s">
        <v>221</v>
      </c>
      <c r="F41" s="3" t="s">
        <v>43</v>
      </c>
      <c r="G41" s="14">
        <v>3080</v>
      </c>
      <c r="H41" s="14">
        <v>2860</v>
      </c>
      <c r="I41" s="10">
        <v>0.21</v>
      </c>
      <c r="J41" s="14">
        <f t="shared" si="0"/>
        <v>3726.7999999999997</v>
      </c>
      <c r="K41" s="14">
        <f t="shared" si="1"/>
        <v>3460.6</v>
      </c>
      <c r="L41" s="17">
        <f t="shared" si="2"/>
        <v>-220</v>
      </c>
      <c r="M41" s="12" t="str">
        <f t="shared" si="3"/>
        <v>Bajo</v>
      </c>
      <c r="N41" s="3" t="s">
        <v>151</v>
      </c>
    </row>
    <row r="42" spans="1:14" ht="22.05" customHeight="1" x14ac:dyDescent="0.3">
      <c r="A42" s="3" t="s">
        <v>216</v>
      </c>
      <c r="B42" s="3">
        <v>9</v>
      </c>
      <c r="C42" s="3" t="s">
        <v>67</v>
      </c>
      <c r="D42" s="3" t="s">
        <v>153</v>
      </c>
      <c r="E42" s="3" t="s">
        <v>220</v>
      </c>
      <c r="F42" s="3" t="s">
        <v>43</v>
      </c>
      <c r="G42" s="14">
        <v>1200</v>
      </c>
      <c r="H42" s="14">
        <v>1090</v>
      </c>
      <c r="I42" s="10">
        <v>0.21</v>
      </c>
      <c r="J42" s="14">
        <f t="shared" si="0"/>
        <v>1452</v>
      </c>
      <c r="K42" s="14">
        <f t="shared" si="1"/>
        <v>1318.8999999999999</v>
      </c>
      <c r="L42" s="17">
        <f t="shared" si="2"/>
        <v>-110</v>
      </c>
      <c r="M42" s="12" t="str">
        <f t="shared" si="3"/>
        <v>Bajo</v>
      </c>
      <c r="N42" s="3" t="s">
        <v>156</v>
      </c>
    </row>
    <row r="43" spans="1:14" ht="22.05" customHeight="1" x14ac:dyDescent="0.3">
      <c r="A43" s="3" t="s">
        <v>217</v>
      </c>
      <c r="B43" s="3">
        <v>10</v>
      </c>
      <c r="C43" s="3" t="s">
        <v>67</v>
      </c>
      <c r="D43" s="3" t="s">
        <v>153</v>
      </c>
      <c r="E43" s="3" t="s">
        <v>220</v>
      </c>
      <c r="F43" s="3" t="s">
        <v>43</v>
      </c>
      <c r="G43" s="14">
        <v>1380</v>
      </c>
      <c r="H43" s="14">
        <v>1250</v>
      </c>
      <c r="I43" s="10">
        <v>0.21</v>
      </c>
      <c r="J43" s="14">
        <f t="shared" si="0"/>
        <v>1669.8</v>
      </c>
      <c r="K43" s="14">
        <f t="shared" si="1"/>
        <v>1512.5</v>
      </c>
      <c r="L43" s="17">
        <f t="shared" si="2"/>
        <v>-130</v>
      </c>
      <c r="M43" s="12" t="str">
        <f t="shared" si="3"/>
        <v>Bajo</v>
      </c>
      <c r="N43" s="3" t="s">
        <v>156</v>
      </c>
    </row>
    <row r="44" spans="1:14" ht="22.05" customHeight="1" x14ac:dyDescent="0.3">
      <c r="A44" s="3" t="s">
        <v>218</v>
      </c>
      <c r="B44" s="3">
        <v>11</v>
      </c>
      <c r="C44" s="3" t="s">
        <v>67</v>
      </c>
      <c r="D44" s="3" t="s">
        <v>153</v>
      </c>
      <c r="E44" s="3" t="s">
        <v>220</v>
      </c>
      <c r="F44" s="3" t="s">
        <v>43</v>
      </c>
      <c r="G44" s="14">
        <v>1720</v>
      </c>
      <c r="H44" s="14">
        <v>1560</v>
      </c>
      <c r="I44" s="10">
        <v>0.21</v>
      </c>
      <c r="J44" s="14">
        <f t="shared" si="0"/>
        <v>2081.1999999999998</v>
      </c>
      <c r="K44" s="14">
        <f t="shared" si="1"/>
        <v>1887.6</v>
      </c>
      <c r="L44" s="17">
        <f t="shared" si="2"/>
        <v>-160</v>
      </c>
      <c r="M44" s="12" t="str">
        <f t="shared" si="3"/>
        <v>Bajo</v>
      </c>
      <c r="N44" s="3" t="s">
        <v>156</v>
      </c>
    </row>
    <row r="45" spans="1:14" ht="22.05" customHeight="1" x14ac:dyDescent="0.3">
      <c r="A45" s="3" t="s">
        <v>216</v>
      </c>
      <c r="B45" s="3">
        <v>9</v>
      </c>
      <c r="C45" s="3" t="s">
        <v>56</v>
      </c>
      <c r="D45" s="3" t="s">
        <v>158</v>
      </c>
      <c r="E45" s="3" t="s">
        <v>206</v>
      </c>
      <c r="F45" s="3" t="s">
        <v>14</v>
      </c>
      <c r="G45" s="14">
        <v>3100</v>
      </c>
      <c r="H45" s="14">
        <v>3240</v>
      </c>
      <c r="I45" s="10">
        <v>0.21</v>
      </c>
      <c r="J45" s="14">
        <f t="shared" si="0"/>
        <v>3751</v>
      </c>
      <c r="K45" s="14">
        <f t="shared" si="1"/>
        <v>3920.4</v>
      </c>
      <c r="L45" s="17">
        <f t="shared" si="2"/>
        <v>140</v>
      </c>
      <c r="M45" s="12" t="str">
        <f t="shared" si="3"/>
        <v>Sobre</v>
      </c>
      <c r="N45" s="3" t="s">
        <v>161</v>
      </c>
    </row>
    <row r="46" spans="1:14" ht="22.05" customHeight="1" x14ac:dyDescent="0.3">
      <c r="A46" s="3" t="s">
        <v>217</v>
      </c>
      <c r="B46" s="3">
        <v>10</v>
      </c>
      <c r="C46" s="3" t="s">
        <v>56</v>
      </c>
      <c r="D46" s="3" t="s">
        <v>158</v>
      </c>
      <c r="E46" s="3" t="s">
        <v>206</v>
      </c>
      <c r="F46" s="3" t="s">
        <v>14</v>
      </c>
      <c r="G46" s="14">
        <v>3800</v>
      </c>
      <c r="H46" s="14">
        <v>3960</v>
      </c>
      <c r="I46" s="10">
        <v>0.21</v>
      </c>
      <c r="J46" s="14">
        <f t="shared" si="0"/>
        <v>4598</v>
      </c>
      <c r="K46" s="14">
        <f t="shared" si="1"/>
        <v>4791.5999999999995</v>
      </c>
      <c r="L46" s="17">
        <f t="shared" si="2"/>
        <v>160</v>
      </c>
      <c r="M46" s="12" t="str">
        <f t="shared" si="3"/>
        <v>Sobre</v>
      </c>
      <c r="N46" s="3" t="s">
        <v>161</v>
      </c>
    </row>
    <row r="47" spans="1:14" ht="22.05" customHeight="1" x14ac:dyDescent="0.3">
      <c r="A47" s="3" t="s">
        <v>218</v>
      </c>
      <c r="B47" s="3">
        <v>11</v>
      </c>
      <c r="C47" s="3" t="s">
        <v>65</v>
      </c>
      <c r="D47" s="3" t="s">
        <v>163</v>
      </c>
      <c r="E47" s="3" t="s">
        <v>214</v>
      </c>
      <c r="F47" s="3" t="s">
        <v>46</v>
      </c>
      <c r="G47" s="14">
        <v>2100</v>
      </c>
      <c r="H47" s="14">
        <v>2400</v>
      </c>
      <c r="I47" s="10">
        <v>0.21</v>
      </c>
      <c r="J47" s="14">
        <f t="shared" si="0"/>
        <v>2541</v>
      </c>
      <c r="K47" s="14">
        <f t="shared" si="1"/>
        <v>2904</v>
      </c>
      <c r="L47" s="17">
        <f t="shared" si="2"/>
        <v>300</v>
      </c>
      <c r="M47" s="12" t="str">
        <f t="shared" si="3"/>
        <v>Sobre</v>
      </c>
      <c r="N47" s="3" t="s">
        <v>166</v>
      </c>
    </row>
    <row r="48" spans="1:14" ht="22.05" customHeight="1" x14ac:dyDescent="0.3">
      <c r="A48" s="3" t="s">
        <v>218</v>
      </c>
      <c r="B48" s="3">
        <v>11</v>
      </c>
      <c r="C48" s="3" t="s">
        <v>59</v>
      </c>
      <c r="D48" s="3" t="s">
        <v>168</v>
      </c>
      <c r="E48" s="3" t="s">
        <v>206</v>
      </c>
      <c r="F48" s="3" t="s">
        <v>40</v>
      </c>
      <c r="G48" s="14">
        <v>3510</v>
      </c>
      <c r="H48" s="14">
        <v>3780</v>
      </c>
      <c r="I48" s="10">
        <v>0.21</v>
      </c>
      <c r="J48" s="14">
        <f t="shared" si="0"/>
        <v>4247.0999999999995</v>
      </c>
      <c r="K48" s="14">
        <f t="shared" si="1"/>
        <v>4573.8</v>
      </c>
      <c r="L48" s="17">
        <f t="shared" si="2"/>
        <v>270</v>
      </c>
      <c r="M48" s="12" t="str">
        <f t="shared" si="3"/>
        <v>Sobre</v>
      </c>
      <c r="N48" s="3" t="s">
        <v>171</v>
      </c>
    </row>
    <row r="49" spans="1:14" ht="22.05" customHeight="1" x14ac:dyDescent="0.3">
      <c r="A49" s="3" t="s">
        <v>219</v>
      </c>
      <c r="B49" s="3">
        <v>12</v>
      </c>
      <c r="C49" s="3" t="s">
        <v>59</v>
      </c>
      <c r="D49" s="3" t="s">
        <v>168</v>
      </c>
      <c r="E49" s="3" t="s">
        <v>206</v>
      </c>
      <c r="F49" s="3" t="s">
        <v>40</v>
      </c>
      <c r="G49" s="14">
        <v>4290</v>
      </c>
      <c r="H49" s="14">
        <v>4620</v>
      </c>
      <c r="I49" s="10">
        <v>0.21</v>
      </c>
      <c r="J49" s="14">
        <f t="shared" si="0"/>
        <v>5190.8999999999996</v>
      </c>
      <c r="K49" s="14">
        <f t="shared" si="1"/>
        <v>5590.2</v>
      </c>
      <c r="L49" s="17">
        <f t="shared" si="2"/>
        <v>330</v>
      </c>
      <c r="M49" s="12" t="str">
        <f t="shared" si="3"/>
        <v>Sobre</v>
      </c>
      <c r="N49" s="3" t="s">
        <v>171</v>
      </c>
    </row>
    <row r="50" spans="1:14" ht="22.05" customHeight="1" x14ac:dyDescent="0.3">
      <c r="A50" s="3" t="s">
        <v>217</v>
      </c>
      <c r="B50" s="3">
        <v>10</v>
      </c>
      <c r="C50" s="3" t="s">
        <v>62</v>
      </c>
      <c r="D50" s="3" t="s">
        <v>173</v>
      </c>
      <c r="E50" s="3" t="s">
        <v>208</v>
      </c>
      <c r="F50" s="3" t="s">
        <v>109</v>
      </c>
      <c r="G50" s="14">
        <v>780</v>
      </c>
      <c r="H50" s="14">
        <v>730</v>
      </c>
      <c r="I50" s="10">
        <v>0.21</v>
      </c>
      <c r="J50" s="14">
        <f t="shared" si="0"/>
        <v>943.8</v>
      </c>
      <c r="K50" s="14">
        <f t="shared" si="1"/>
        <v>883.3</v>
      </c>
      <c r="L50" s="17">
        <f t="shared" si="2"/>
        <v>-50</v>
      </c>
      <c r="M50" s="12" t="str">
        <f t="shared" si="3"/>
        <v>Bajo</v>
      </c>
      <c r="N50" s="3" t="s">
        <v>176</v>
      </c>
    </row>
    <row r="51" spans="1:14" ht="22.05" customHeight="1" x14ac:dyDescent="0.3">
      <c r="A51" s="3" t="s">
        <v>218</v>
      </c>
      <c r="B51" s="3">
        <v>11</v>
      </c>
      <c r="C51" s="3" t="s">
        <v>62</v>
      </c>
      <c r="D51" s="3" t="s">
        <v>173</v>
      </c>
      <c r="E51" s="3" t="s">
        <v>208</v>
      </c>
      <c r="F51" s="3" t="s">
        <v>109</v>
      </c>
      <c r="G51" s="14">
        <v>900</v>
      </c>
      <c r="H51" s="14">
        <v>830</v>
      </c>
      <c r="I51" s="10">
        <v>0.21</v>
      </c>
      <c r="J51" s="14">
        <f t="shared" si="0"/>
        <v>1089</v>
      </c>
      <c r="K51" s="14">
        <f t="shared" si="1"/>
        <v>1004.3</v>
      </c>
      <c r="L51" s="17">
        <f t="shared" si="2"/>
        <v>-70</v>
      </c>
      <c r="M51" s="12" t="str">
        <f t="shared" si="3"/>
        <v>Bajo</v>
      </c>
      <c r="N51" s="3" t="s">
        <v>176</v>
      </c>
    </row>
    <row r="52" spans="1:14" ht="22.05" customHeight="1" x14ac:dyDescent="0.3">
      <c r="A52" s="3" t="s">
        <v>219</v>
      </c>
      <c r="B52" s="3">
        <v>12</v>
      </c>
      <c r="C52" s="3" t="s">
        <v>62</v>
      </c>
      <c r="D52" s="3" t="s">
        <v>173</v>
      </c>
      <c r="E52" s="3" t="s">
        <v>208</v>
      </c>
      <c r="F52" s="3" t="s">
        <v>109</v>
      </c>
      <c r="G52" s="14">
        <v>1120</v>
      </c>
      <c r="H52" s="14">
        <v>1040</v>
      </c>
      <c r="I52" s="10">
        <v>0.21</v>
      </c>
      <c r="J52" s="14">
        <f t="shared" si="0"/>
        <v>1355.2</v>
      </c>
      <c r="K52" s="14">
        <f t="shared" si="1"/>
        <v>1258.3999999999999</v>
      </c>
      <c r="L52" s="17">
        <f t="shared" si="2"/>
        <v>-80</v>
      </c>
      <c r="M52" s="12" t="str">
        <f t="shared" si="3"/>
        <v>Bajo</v>
      </c>
      <c r="N52" s="3" t="s">
        <v>176</v>
      </c>
    </row>
    <row r="53" spans="1:14" ht="22.05" customHeight="1" x14ac:dyDescent="0.3">
      <c r="A53" s="3" t="s">
        <v>219</v>
      </c>
      <c r="B53" s="3">
        <v>12</v>
      </c>
      <c r="C53" s="3" t="s">
        <v>69</v>
      </c>
      <c r="D53" s="3" t="s">
        <v>178</v>
      </c>
      <c r="E53" s="3" t="s">
        <v>221</v>
      </c>
      <c r="F53" s="3" t="s">
        <v>43</v>
      </c>
      <c r="G53" s="14">
        <v>5900</v>
      </c>
      <c r="H53" s="14">
        <v>6300</v>
      </c>
      <c r="I53" s="10">
        <v>0.21</v>
      </c>
      <c r="J53" s="14">
        <f t="shared" si="0"/>
        <v>7139</v>
      </c>
      <c r="K53" s="14">
        <f t="shared" si="1"/>
        <v>7623</v>
      </c>
      <c r="L53" s="17">
        <f t="shared" si="2"/>
        <v>400</v>
      </c>
      <c r="M53" s="12" t="str">
        <f t="shared" si="3"/>
        <v>Sobre</v>
      </c>
      <c r="N53" s="3" t="s">
        <v>181</v>
      </c>
    </row>
    <row r="54" spans="1:14" ht="22.05" customHeight="1" x14ac:dyDescent="0.3"/>
    <row r="55" spans="1:14" ht="22.05" customHeight="1" x14ac:dyDescent="0.3"/>
    <row r="56" spans="1:14" ht="22.05" customHeight="1" x14ac:dyDescent="0.3"/>
    <row r="57" spans="1:14" ht="22.05" customHeight="1" x14ac:dyDescent="0.3"/>
    <row r="58" spans="1:14" ht="22.05" customHeight="1" x14ac:dyDescent="0.3"/>
    <row r="59" spans="1:14" ht="22.05" customHeight="1" x14ac:dyDescent="0.3"/>
  </sheetData>
  <mergeCells count="9">
    <mergeCell ref="B9:C9"/>
    <mergeCell ref="B8:C8"/>
    <mergeCell ref="P4:U4"/>
    <mergeCell ref="B6:C6"/>
    <mergeCell ref="B7:C7"/>
    <mergeCell ref="B5:C5"/>
    <mergeCell ref="A1:AB1"/>
    <mergeCell ref="X4:AB4"/>
    <mergeCell ref="A4:F4"/>
  </mergeCells>
  <conditionalFormatting sqref="L11:L53">
    <cfRule type="colorScale" priority="1">
      <colorScale>
        <cfvo type="num" val="-200"/>
        <cfvo type="num" val="0"/>
        <cfvo type="num" val="200"/>
        <color rgb="FFDCFCE7"/>
        <color rgb="FFFEF3C7"/>
        <color rgb="FFFECACA"/>
      </colorScale>
    </cfRule>
  </conditionalFormatting>
  <conditionalFormatting sqref="M11:M53">
    <cfRule type="expression" dxfId="1" priority="2">
      <formula>$M11="Sobre"</formula>
    </cfRule>
    <cfRule type="expression" dxfId="0" priority="3">
      <formula>$M11="Bajo"</formula>
    </cfRule>
  </conditionalFormatting>
  <pageMargins left="0.7" right="0.7" top="0.75" bottom="0.75" header="0.3" footer="0.3"/>
  <drawing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xr:uid="{00000000-0002-0000-0200-000000000000}">
          <x14:formula1>
            <xm:f>Listas!$E$2:$E$13</xm:f>
          </x14:formula1>
          <xm:sqref>A11:A200</xm:sqref>
        </x14:dataValidation>
        <x14:dataValidation type="list" xr:uid="{00000000-0002-0000-0200-000001000000}">
          <x14:formula1>
            <xm:f>Listas!$C$2:$C$7</xm:f>
          </x14:formula1>
          <xm:sqref>C11:C200</xm:sqref>
        </x14:dataValidation>
        <x14:dataValidation type="list" xr:uid="{00000000-0002-0000-0200-000002000000}">
          <x14:formula1>
            <xm:f>Listas!$D$2:$D$6</xm:f>
          </x14:formula1>
          <xm:sqref>F11:F200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H59"/>
  <sheetViews>
    <sheetView showGridLines="0" workbookViewId="0"/>
  </sheetViews>
  <sheetFormatPr baseColWidth="10" defaultColWidth="8.88671875" defaultRowHeight="14.4" x14ac:dyDescent="0.3"/>
  <cols>
    <col min="1" max="1" width="12" customWidth="1"/>
    <col min="2" max="2" width="8" customWidth="1"/>
    <col min="3" max="3" width="30" customWidth="1"/>
    <col min="4" max="4" width="16" customWidth="1"/>
    <col min="5" max="5" width="14" customWidth="1"/>
    <col min="6" max="6" width="12" customWidth="1"/>
    <col min="7" max="10" width="10" customWidth="1"/>
    <col min="11" max="11" width="14" customWidth="1"/>
    <col min="12" max="12" width="12" customWidth="1"/>
    <col min="13" max="14" width="10" customWidth="1"/>
    <col min="15" max="18" width="12" customWidth="1"/>
    <col min="19" max="19" width="10" customWidth="1"/>
    <col min="21" max="21" width="12" customWidth="1"/>
    <col min="22" max="24" width="14" customWidth="1"/>
    <col min="25" max="26" width="12" customWidth="1"/>
    <col min="29" max="29" width="16" customWidth="1"/>
    <col min="30" max="34" width="12" customWidth="1"/>
  </cols>
  <sheetData>
    <row r="1" spans="1:34" ht="23.4" x14ac:dyDescent="0.45">
      <c r="A1" s="47" t="s">
        <v>222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33"/>
      <c r="AH1" s="33"/>
    </row>
    <row r="2" spans="1:34" x14ac:dyDescent="0.3">
      <c r="A2" s="1" t="s">
        <v>223</v>
      </c>
    </row>
    <row r="4" spans="1:34" x14ac:dyDescent="0.3">
      <c r="U4" s="44" t="s">
        <v>186</v>
      </c>
      <c r="V4" s="33"/>
      <c r="W4" s="33"/>
      <c r="X4" s="33"/>
      <c r="Y4" s="33"/>
      <c r="Z4" s="33"/>
      <c r="AC4" s="43" t="s">
        <v>185</v>
      </c>
      <c r="AD4" s="33"/>
      <c r="AE4" s="33"/>
      <c r="AF4" s="33"/>
      <c r="AG4" s="33"/>
      <c r="AH4" s="33"/>
    </row>
    <row r="10" spans="1:34" ht="22.05" customHeight="1" x14ac:dyDescent="0.3">
      <c r="A10" s="11" t="s">
        <v>191</v>
      </c>
      <c r="B10" s="11" t="s">
        <v>192</v>
      </c>
      <c r="C10" s="11" t="s">
        <v>193</v>
      </c>
      <c r="D10" s="11" t="s">
        <v>50</v>
      </c>
      <c r="E10" s="11" t="s">
        <v>224</v>
      </c>
      <c r="F10" s="11" t="s">
        <v>225</v>
      </c>
      <c r="G10" s="11" t="s">
        <v>226</v>
      </c>
      <c r="H10" s="11" t="s">
        <v>227</v>
      </c>
      <c r="I10" s="11" t="s">
        <v>39</v>
      </c>
      <c r="J10" s="11" t="s">
        <v>228</v>
      </c>
      <c r="K10" s="11" t="s">
        <v>35</v>
      </c>
      <c r="L10" s="11" t="s">
        <v>229</v>
      </c>
      <c r="M10" s="11" t="s">
        <v>230</v>
      </c>
      <c r="N10" s="11" t="s">
        <v>231</v>
      </c>
      <c r="O10" s="11" t="s">
        <v>232</v>
      </c>
      <c r="P10" s="11" t="s">
        <v>233</v>
      </c>
      <c r="Q10" s="11" t="s">
        <v>234</v>
      </c>
      <c r="R10" s="11" t="s">
        <v>235</v>
      </c>
      <c r="S10" s="11" t="s">
        <v>84</v>
      </c>
      <c r="U10" s="5" t="s">
        <v>191</v>
      </c>
      <c r="V10" s="5" t="s">
        <v>236</v>
      </c>
      <c r="W10" s="5" t="s">
        <v>237</v>
      </c>
      <c r="X10" s="5" t="s">
        <v>238</v>
      </c>
      <c r="Y10" s="5" t="s">
        <v>239</v>
      </c>
      <c r="Z10" s="5" t="s">
        <v>47</v>
      </c>
      <c r="AC10" s="5" t="s">
        <v>50</v>
      </c>
      <c r="AD10" s="5" t="s">
        <v>240</v>
      </c>
      <c r="AE10" s="5" t="s">
        <v>39</v>
      </c>
      <c r="AF10" s="5" t="s">
        <v>228</v>
      </c>
      <c r="AG10" s="5" t="s">
        <v>241</v>
      </c>
      <c r="AH10" s="5" t="s">
        <v>84</v>
      </c>
    </row>
    <row r="11" spans="1:34" ht="22.05" customHeight="1" x14ac:dyDescent="0.3">
      <c r="A11" s="22" t="s">
        <v>205</v>
      </c>
      <c r="B11" s="22">
        <v>1</v>
      </c>
      <c r="C11" s="22" t="s">
        <v>99</v>
      </c>
      <c r="D11" s="22" t="s">
        <v>56</v>
      </c>
      <c r="E11" s="22" t="s">
        <v>242</v>
      </c>
      <c r="F11" s="23">
        <v>100308</v>
      </c>
      <c r="G11" s="23">
        <v>1304</v>
      </c>
      <c r="H11" s="23">
        <v>1200</v>
      </c>
      <c r="I11" s="23">
        <v>102</v>
      </c>
      <c r="J11" s="23">
        <v>26</v>
      </c>
      <c r="K11" s="24">
        <v>3510</v>
      </c>
      <c r="L11" s="25">
        <f>SUMIFS(Presupuesto!$H$11:$H$53,Presupuesto!$B$11:$B$53,B11,Presupuesto!$D$11:$D$53,C11)</f>
        <v>2200</v>
      </c>
      <c r="M11" s="26">
        <f t="shared" ref="M11:M53" si="0">IFERROR(G11/F11,0)</f>
        <v>1.2999960122821709E-2</v>
      </c>
      <c r="N11" s="25">
        <f t="shared" ref="N11:N53" si="1">IFERROR(L11/G11,0)</f>
        <v>1.6871165644171779</v>
      </c>
      <c r="O11" s="26">
        <f t="shared" ref="O11:O53" si="2">IFERROR(I11/H11,0)</f>
        <v>8.5000000000000006E-2</v>
      </c>
      <c r="P11" s="26">
        <f t="shared" ref="P11:P53" si="3">IFERROR(J11/I11,0)</f>
        <v>0.25490196078431371</v>
      </c>
      <c r="Q11" s="25">
        <f t="shared" ref="Q11:Q53" si="4">IFERROR(L11/I11,0)</f>
        <v>21.568627450980394</v>
      </c>
      <c r="R11" s="25">
        <f t="shared" ref="R11:R53" si="5">IFERROR(L11/J11,0)</f>
        <v>84.615384615384613</v>
      </c>
      <c r="S11" s="27">
        <f t="shared" ref="S11:S53" si="6">IFERROR(K11/L11,0)</f>
        <v>1.5954545454545455</v>
      </c>
      <c r="U11" s="18" t="s">
        <v>205</v>
      </c>
      <c r="V11" s="28">
        <f>IFERROR(Presupuesto!Y11/SUM(Presupuesto!$Y$11:$Y$22)*Resumen!$J$6,0)</f>
        <v>186.32911392405063</v>
      </c>
      <c r="W11" s="28">
        <f>SUMIFS($I$11:$I$53,$B$11:$B$53,1)</f>
        <v>175</v>
      </c>
      <c r="X11" s="19">
        <f>IFERROR(Presupuesto!Y11/SUM(Presupuesto!$Y$11:$Y$22)*Resumen!$J$8,0)</f>
        <v>10329.113924050633</v>
      </c>
      <c r="Y11" s="19">
        <f>SUMIFS($K$11:$K$53,$B$11:$B$53,1)</f>
        <v>6510</v>
      </c>
      <c r="Z11" s="29">
        <f>IFERROR(Y11/SUMIFS($L$11:$L$53,$B$11:$B$53,1),0)</f>
        <v>2.073248407643312</v>
      </c>
      <c r="AC11" s="18" t="s">
        <v>56</v>
      </c>
      <c r="AD11" s="19">
        <f t="shared" ref="AD11:AD16" si="7">SUMIFS($L$11:$L$53,$D$11:$D$53,AC11)</f>
        <v>18800</v>
      </c>
      <c r="AE11" s="28">
        <f t="shared" ref="AE11:AE16" si="8">SUMIFS($I$11:$I$53,$D$11:$D$53,AC11)</f>
        <v>1016</v>
      </c>
      <c r="AF11" s="28">
        <f t="shared" ref="AF11:AF16" si="9">SUMIFS($J$11:$J$53,$D$11:$D$53,AC11)</f>
        <v>273</v>
      </c>
      <c r="AG11" s="19">
        <f t="shared" ref="AG11:AG16" si="10">SUMIFS($K$11:$K$53,$D$11:$D$53,AC11)</f>
        <v>42400</v>
      </c>
      <c r="AH11" s="29">
        <f t="shared" ref="AH11:AH16" si="11">IFERROR(AG11/AD11,0)</f>
        <v>2.2553191489361701</v>
      </c>
    </row>
    <row r="12" spans="1:34" ht="22.05" customHeight="1" x14ac:dyDescent="0.3">
      <c r="A12" s="22" t="s">
        <v>207</v>
      </c>
      <c r="B12" s="22">
        <v>2</v>
      </c>
      <c r="C12" s="22" t="s">
        <v>99</v>
      </c>
      <c r="D12" s="22" t="s">
        <v>56</v>
      </c>
      <c r="E12" s="22" t="s">
        <v>242</v>
      </c>
      <c r="F12" s="23">
        <v>132769</v>
      </c>
      <c r="G12" s="23">
        <v>1726</v>
      </c>
      <c r="H12" s="23">
        <v>1588</v>
      </c>
      <c r="I12" s="23">
        <v>135</v>
      </c>
      <c r="J12" s="23">
        <v>37</v>
      </c>
      <c r="K12" s="24">
        <v>5310</v>
      </c>
      <c r="L12" s="25">
        <f>SUMIFS(Presupuesto!$H$11:$H$53,Presupuesto!$B$11:$B$53,B12,Presupuesto!$D$11:$D$53,C12)</f>
        <v>2700</v>
      </c>
      <c r="M12" s="26">
        <f t="shared" si="0"/>
        <v>1.300002259563603E-2</v>
      </c>
      <c r="N12" s="25">
        <f t="shared" si="1"/>
        <v>1.5643105446118193</v>
      </c>
      <c r="O12" s="26">
        <f t="shared" si="2"/>
        <v>8.5012594458438284E-2</v>
      </c>
      <c r="P12" s="26">
        <f t="shared" si="3"/>
        <v>0.27407407407407408</v>
      </c>
      <c r="Q12" s="25">
        <f t="shared" si="4"/>
        <v>20</v>
      </c>
      <c r="R12" s="25">
        <f t="shared" si="5"/>
        <v>72.972972972972968</v>
      </c>
      <c r="S12" s="27">
        <f t="shared" si="6"/>
        <v>1.9666666666666666</v>
      </c>
      <c r="U12" s="18" t="s">
        <v>207</v>
      </c>
      <c r="V12" s="28">
        <f>IFERROR(Presupuesto!Y12/SUM(Presupuesto!$Y$11:$Y$22)*Resumen!$J$6,0)</f>
        <v>334.81012658227849</v>
      </c>
      <c r="W12" s="28">
        <f>SUMIFS($I$11:$I$53,$B$11:$B$53,2)</f>
        <v>359</v>
      </c>
      <c r="X12" s="19">
        <f>IFERROR(Presupuesto!Y12/SUM(Presupuesto!$Y$11:$Y$22)*Resumen!$J$8,0)</f>
        <v>18560.126582278481</v>
      </c>
      <c r="Y12" s="19">
        <f>SUMIFS($K$11:$K$53,$B$11:$B$53,2)</f>
        <v>16490</v>
      </c>
      <c r="Z12" s="29">
        <f>IFERROR(Y12/SUMIFS($L$11:$L$53,$B$11:$B$53,2),0)</f>
        <v>2.818803418803419</v>
      </c>
      <c r="AC12" s="18" t="s">
        <v>59</v>
      </c>
      <c r="AD12" s="19">
        <f t="shared" si="7"/>
        <v>23100</v>
      </c>
      <c r="AE12" s="28">
        <f t="shared" si="8"/>
        <v>1552</v>
      </c>
      <c r="AF12" s="28">
        <f t="shared" si="9"/>
        <v>492</v>
      </c>
      <c r="AG12" s="19">
        <f t="shared" si="10"/>
        <v>83210</v>
      </c>
      <c r="AH12" s="29">
        <f t="shared" si="11"/>
        <v>3.6021645021645021</v>
      </c>
    </row>
    <row r="13" spans="1:34" ht="22.05" customHeight="1" x14ac:dyDescent="0.3">
      <c r="A13" s="22" t="s">
        <v>205</v>
      </c>
      <c r="B13" s="22">
        <v>1</v>
      </c>
      <c r="C13" s="22" t="s">
        <v>106</v>
      </c>
      <c r="D13" s="22" t="s">
        <v>62</v>
      </c>
      <c r="E13" s="22" t="s">
        <v>243</v>
      </c>
      <c r="F13" s="23">
        <v>23294</v>
      </c>
      <c r="G13" s="23">
        <v>792</v>
      </c>
      <c r="H13" s="23">
        <v>768</v>
      </c>
      <c r="I13" s="23">
        <v>73</v>
      </c>
      <c r="J13" s="23">
        <v>21</v>
      </c>
      <c r="K13" s="24">
        <v>3000</v>
      </c>
      <c r="L13" s="25">
        <f>SUMIFS(Presupuesto!$H$11:$H$53,Presupuesto!$B$11:$B$53,B13,Presupuesto!$D$11:$D$53,C13)</f>
        <v>940</v>
      </c>
      <c r="M13" s="26">
        <f t="shared" si="0"/>
        <v>3.4000171718038978E-2</v>
      </c>
      <c r="N13" s="25">
        <f t="shared" si="1"/>
        <v>1.1868686868686869</v>
      </c>
      <c r="O13" s="26">
        <f t="shared" si="2"/>
        <v>9.5052083333333329E-2</v>
      </c>
      <c r="P13" s="26">
        <f t="shared" si="3"/>
        <v>0.28767123287671231</v>
      </c>
      <c r="Q13" s="25">
        <f t="shared" si="4"/>
        <v>12.876712328767123</v>
      </c>
      <c r="R13" s="25">
        <f t="shared" si="5"/>
        <v>44.761904761904759</v>
      </c>
      <c r="S13" s="27">
        <f t="shared" si="6"/>
        <v>3.1914893617021276</v>
      </c>
      <c r="U13" s="18" t="s">
        <v>209</v>
      </c>
      <c r="V13" s="28">
        <f>IFERROR(Presupuesto!Y13/SUM(Presupuesto!$Y$11:$Y$22)*Resumen!$J$6,0)</f>
        <v>133.92405063291139</v>
      </c>
      <c r="W13" s="28">
        <f>SUMIFS($I$11:$I$53,$B$11:$B$53,3)</f>
        <v>179</v>
      </c>
      <c r="X13" s="19">
        <f>IFERROR(Presupuesto!Y13/SUM(Presupuesto!$Y$11:$Y$22)*Resumen!$J$8,0)</f>
        <v>7424.0506329113923</v>
      </c>
      <c r="Y13" s="19">
        <f>SUMIFS($K$11:$K$53,$B$11:$B$53,3)</f>
        <v>8920</v>
      </c>
      <c r="Z13" s="29">
        <f>IFERROR(Y13/SUMIFS($L$11:$L$53,$B$11:$B$53,3),0)</f>
        <v>3.6557377049180326</v>
      </c>
      <c r="AC13" s="18" t="s">
        <v>62</v>
      </c>
      <c r="AD13" s="19">
        <f t="shared" si="7"/>
        <v>7700</v>
      </c>
      <c r="AE13" s="28">
        <f t="shared" si="8"/>
        <v>659</v>
      </c>
      <c r="AF13" s="28">
        <f t="shared" si="9"/>
        <v>193</v>
      </c>
      <c r="AG13" s="19">
        <f t="shared" si="10"/>
        <v>30400</v>
      </c>
      <c r="AH13" s="29">
        <f t="shared" si="11"/>
        <v>3.948051948051948</v>
      </c>
    </row>
    <row r="14" spans="1:34" ht="22.05" customHeight="1" x14ac:dyDescent="0.3">
      <c r="A14" s="22" t="s">
        <v>207</v>
      </c>
      <c r="B14" s="22">
        <v>2</v>
      </c>
      <c r="C14" s="22" t="s">
        <v>106</v>
      </c>
      <c r="D14" s="22" t="s">
        <v>62</v>
      </c>
      <c r="E14" s="22" t="s">
        <v>243</v>
      </c>
      <c r="F14" s="23">
        <v>30971</v>
      </c>
      <c r="G14" s="23">
        <v>1053</v>
      </c>
      <c r="H14" s="23">
        <v>1021</v>
      </c>
      <c r="I14" s="23">
        <v>97</v>
      </c>
      <c r="J14" s="23">
        <v>30</v>
      </c>
      <c r="K14" s="24">
        <v>4550</v>
      </c>
      <c r="L14" s="25">
        <f>SUMIFS(Presupuesto!$H$11:$H$53,Presupuesto!$B$11:$B$53,B14,Presupuesto!$D$11:$D$53,C14)</f>
        <v>1160</v>
      </c>
      <c r="M14" s="26">
        <f t="shared" si="0"/>
        <v>3.3999547964224594E-2</v>
      </c>
      <c r="N14" s="25">
        <f t="shared" si="1"/>
        <v>1.1016144349477683</v>
      </c>
      <c r="O14" s="26">
        <f t="shared" si="2"/>
        <v>9.5004897159647411E-2</v>
      </c>
      <c r="P14" s="26">
        <f t="shared" si="3"/>
        <v>0.30927835051546393</v>
      </c>
      <c r="Q14" s="25">
        <f t="shared" si="4"/>
        <v>11.958762886597938</v>
      </c>
      <c r="R14" s="25">
        <f t="shared" si="5"/>
        <v>38.666666666666664</v>
      </c>
      <c r="S14" s="27">
        <f t="shared" si="6"/>
        <v>3.9224137931034484</v>
      </c>
      <c r="U14" s="18" t="s">
        <v>210</v>
      </c>
      <c r="V14" s="28">
        <f>IFERROR(Presupuesto!Y14/SUM(Presupuesto!$Y$11:$Y$22)*Resumen!$J$6,0)</f>
        <v>415.16455696202524</v>
      </c>
      <c r="W14" s="28">
        <f>SUMIFS($I$11:$I$53,$B$11:$B$53,4)</f>
        <v>445</v>
      </c>
      <c r="X14" s="19">
        <f>IFERROR(Presupuesto!Y14/SUM(Presupuesto!$Y$11:$Y$22)*Resumen!$J$8,0)</f>
        <v>23014.556962025315</v>
      </c>
      <c r="Y14" s="19">
        <f>SUMIFS($K$11:$K$53,$B$11:$B$53,4)</f>
        <v>20690</v>
      </c>
      <c r="Z14" s="29">
        <f>IFERROR(Y14/SUMIFS($L$11:$L$53,$B$11:$B$53,4),0)</f>
        <v>2.704575163398693</v>
      </c>
      <c r="AC14" s="18" t="s">
        <v>65</v>
      </c>
      <c r="AD14" s="19">
        <f t="shared" si="7"/>
        <v>5300</v>
      </c>
      <c r="AE14" s="28">
        <f t="shared" si="8"/>
        <v>786</v>
      </c>
      <c r="AF14" s="28">
        <f t="shared" si="9"/>
        <v>294</v>
      </c>
      <c r="AG14" s="19">
        <f t="shared" si="10"/>
        <v>44480</v>
      </c>
      <c r="AH14" s="29">
        <f t="shared" si="11"/>
        <v>8.3924528301886792</v>
      </c>
    </row>
    <row r="15" spans="1:34" ht="22.05" customHeight="1" x14ac:dyDescent="0.3">
      <c r="A15" s="22" t="s">
        <v>207</v>
      </c>
      <c r="B15" s="22">
        <v>2</v>
      </c>
      <c r="C15" s="22" t="s">
        <v>113</v>
      </c>
      <c r="D15" s="22" t="s">
        <v>59</v>
      </c>
      <c r="E15" s="22" t="s">
        <v>244</v>
      </c>
      <c r="F15" s="23">
        <v>27696</v>
      </c>
      <c r="G15" s="23">
        <v>1274</v>
      </c>
      <c r="H15" s="23">
        <v>1210</v>
      </c>
      <c r="I15" s="23">
        <v>127</v>
      </c>
      <c r="J15" s="23">
        <v>42</v>
      </c>
      <c r="K15" s="24">
        <v>6630</v>
      </c>
      <c r="L15" s="25">
        <f>SUMIFS(Presupuesto!$H$11:$H$53,Presupuesto!$B$11:$B$53,B15,Presupuesto!$D$11:$D$53,C15)</f>
        <v>1990</v>
      </c>
      <c r="M15" s="26">
        <f t="shared" si="0"/>
        <v>4.5999422299248992E-2</v>
      </c>
      <c r="N15" s="25">
        <f t="shared" si="1"/>
        <v>1.5620094191522762</v>
      </c>
      <c r="O15" s="26">
        <f t="shared" si="2"/>
        <v>0.10495867768595041</v>
      </c>
      <c r="P15" s="26">
        <f t="shared" si="3"/>
        <v>0.33070866141732286</v>
      </c>
      <c r="Q15" s="25">
        <f t="shared" si="4"/>
        <v>15.669291338582678</v>
      </c>
      <c r="R15" s="25">
        <f t="shared" si="5"/>
        <v>47.38095238095238</v>
      </c>
      <c r="S15" s="27">
        <f t="shared" si="6"/>
        <v>3.3316582914572863</v>
      </c>
      <c r="U15" s="18" t="s">
        <v>211</v>
      </c>
      <c r="V15" s="28">
        <f>IFERROR(Presupuesto!Y15/SUM(Presupuesto!$Y$11:$Y$22)*Resumen!$J$6,0)</f>
        <v>591.5949367088607</v>
      </c>
      <c r="W15" s="28">
        <f>SUMIFS($I$11:$I$53,$B$11:$B$53,5)</f>
        <v>574</v>
      </c>
      <c r="X15" s="19">
        <f>IFERROR(Presupuesto!Y15/SUM(Presupuesto!$Y$11:$Y$22)*Resumen!$J$8,0)</f>
        <v>32794.936708860754</v>
      </c>
      <c r="Y15" s="19">
        <f>SUMIFS($K$11:$K$53,$B$11:$B$53,5)</f>
        <v>38170</v>
      </c>
      <c r="Z15" s="29">
        <f>IFERROR(Y15/SUMIFS($L$11:$L$53,$B$11:$B$53,5),0)</f>
        <v>3.5212177121771218</v>
      </c>
      <c r="AC15" s="18" t="s">
        <v>67</v>
      </c>
      <c r="AD15" s="19">
        <f t="shared" si="7"/>
        <v>9700</v>
      </c>
      <c r="AE15" s="28">
        <f t="shared" si="8"/>
        <v>495</v>
      </c>
      <c r="AF15" s="28">
        <f t="shared" si="9"/>
        <v>150</v>
      </c>
      <c r="AG15" s="19">
        <f t="shared" si="10"/>
        <v>26870</v>
      </c>
      <c r="AH15" s="29">
        <f t="shared" si="11"/>
        <v>2.7701030927835051</v>
      </c>
    </row>
    <row r="16" spans="1:34" ht="22.05" customHeight="1" x14ac:dyDescent="0.3">
      <c r="A16" s="22" t="s">
        <v>209</v>
      </c>
      <c r="B16" s="22">
        <v>3</v>
      </c>
      <c r="C16" s="22" t="s">
        <v>113</v>
      </c>
      <c r="D16" s="22" t="s">
        <v>59</v>
      </c>
      <c r="E16" s="22" t="s">
        <v>244</v>
      </c>
      <c r="F16" s="23">
        <v>33565</v>
      </c>
      <c r="G16" s="23">
        <v>1544</v>
      </c>
      <c r="H16" s="23">
        <v>1467</v>
      </c>
      <c r="I16" s="23">
        <v>154</v>
      </c>
      <c r="J16" s="23">
        <v>46</v>
      </c>
      <c r="K16" s="24">
        <v>7620</v>
      </c>
      <c r="L16" s="25">
        <f>SUMIFS(Presupuesto!$H$11:$H$53,Presupuesto!$B$11:$B$53,B16,Presupuesto!$D$11:$D$53,C16)</f>
        <v>2270</v>
      </c>
      <c r="M16" s="26">
        <f t="shared" si="0"/>
        <v>4.6000297929390734E-2</v>
      </c>
      <c r="N16" s="25">
        <f t="shared" si="1"/>
        <v>1.4702072538860103</v>
      </c>
      <c r="O16" s="26">
        <f t="shared" si="2"/>
        <v>0.10497614178595774</v>
      </c>
      <c r="P16" s="26">
        <f t="shared" si="3"/>
        <v>0.29870129870129869</v>
      </c>
      <c r="Q16" s="25">
        <f t="shared" si="4"/>
        <v>14.74025974025974</v>
      </c>
      <c r="R16" s="25">
        <f t="shared" si="5"/>
        <v>49.347826086956523</v>
      </c>
      <c r="S16" s="27">
        <f t="shared" si="6"/>
        <v>3.356828193832599</v>
      </c>
      <c r="U16" s="18" t="s">
        <v>212</v>
      </c>
      <c r="V16" s="28">
        <f>IFERROR(Presupuesto!Y16/SUM(Presupuesto!$Y$11:$Y$22)*Resumen!$J$6,0)</f>
        <v>309.18987341772151</v>
      </c>
      <c r="W16" s="28">
        <f>SUMIFS($I$11:$I$53,$B$11:$B$53,6)</f>
        <v>357</v>
      </c>
      <c r="X16" s="19">
        <f>IFERROR(Presupuesto!Y16/SUM(Presupuesto!$Y$11:$Y$22)*Resumen!$J$8,0)</f>
        <v>17139.873417721519</v>
      </c>
      <c r="Y16" s="19">
        <f>SUMIFS($K$11:$K$53,$B$11:$B$53,6)</f>
        <v>17900</v>
      </c>
      <c r="Z16" s="29">
        <f>IFERROR(Y16/SUMIFS($L$11:$L$53,$B$11:$B$53,6),0)</f>
        <v>3.2427536231884058</v>
      </c>
      <c r="AC16" s="18" t="s">
        <v>69</v>
      </c>
      <c r="AD16" s="19">
        <f t="shared" si="7"/>
        <v>16600</v>
      </c>
      <c r="AE16" s="28">
        <f t="shared" si="8"/>
        <v>768</v>
      </c>
      <c r="AF16" s="28">
        <f t="shared" si="9"/>
        <v>330</v>
      </c>
      <c r="AG16" s="19">
        <f t="shared" si="10"/>
        <v>69000</v>
      </c>
      <c r="AH16" s="29">
        <f t="shared" si="11"/>
        <v>4.1566265060240966</v>
      </c>
    </row>
    <row r="17" spans="1:26" ht="22.05" customHeight="1" x14ac:dyDescent="0.3">
      <c r="A17" s="22" t="s">
        <v>210</v>
      </c>
      <c r="B17" s="22">
        <v>4</v>
      </c>
      <c r="C17" s="22" t="s">
        <v>113</v>
      </c>
      <c r="D17" s="22" t="s">
        <v>59</v>
      </c>
      <c r="E17" s="22" t="s">
        <v>244</v>
      </c>
      <c r="F17" s="23">
        <v>38783</v>
      </c>
      <c r="G17" s="23">
        <v>1784</v>
      </c>
      <c r="H17" s="23">
        <v>1695</v>
      </c>
      <c r="I17" s="23">
        <v>178</v>
      </c>
      <c r="J17" s="23">
        <v>56</v>
      </c>
      <c r="K17" s="24">
        <v>8840</v>
      </c>
      <c r="L17" s="25">
        <f>SUMIFS(Presupuesto!$H$11:$H$53,Presupuesto!$B$11:$B$53,B17,Presupuesto!$D$11:$D$53,C17)</f>
        <v>2840</v>
      </c>
      <c r="M17" s="26">
        <f t="shared" si="0"/>
        <v>4.5999535879122297E-2</v>
      </c>
      <c r="N17" s="25">
        <f t="shared" si="1"/>
        <v>1.5919282511210762</v>
      </c>
      <c r="O17" s="26">
        <f t="shared" si="2"/>
        <v>0.10501474926253687</v>
      </c>
      <c r="P17" s="26">
        <f t="shared" si="3"/>
        <v>0.3146067415730337</v>
      </c>
      <c r="Q17" s="25">
        <f t="shared" si="4"/>
        <v>15.955056179775282</v>
      </c>
      <c r="R17" s="25">
        <f t="shared" si="5"/>
        <v>50.714285714285715</v>
      </c>
      <c r="S17" s="27">
        <f t="shared" si="6"/>
        <v>3.112676056338028</v>
      </c>
      <c r="U17" s="18" t="s">
        <v>213</v>
      </c>
      <c r="V17" s="28">
        <f>IFERROR(Presupuesto!Y17/SUM(Presupuesto!$Y$11:$Y$22)*Resumen!$J$6,0)</f>
        <v>206.70886075949366</v>
      </c>
      <c r="W17" s="28">
        <f>SUMIFS($I$11:$I$53,$B$11:$B$53,7)</f>
        <v>245</v>
      </c>
      <c r="X17" s="19">
        <f>IFERROR(Presupuesto!Y17/SUM(Presupuesto!$Y$11:$Y$22)*Resumen!$J$8,0)</f>
        <v>11458.860759493669</v>
      </c>
      <c r="Y17" s="19">
        <f>SUMIFS($K$11:$K$53,$B$11:$B$53,7)</f>
        <v>10950</v>
      </c>
      <c r="Z17" s="29">
        <f>IFERROR(Y17/SUMIFS($L$11:$L$53,$B$11:$B$53,7),0)</f>
        <v>3.0248618784530388</v>
      </c>
    </row>
    <row r="18" spans="1:26" ht="22.05" customHeight="1" x14ac:dyDescent="0.3">
      <c r="A18" s="22" t="s">
        <v>209</v>
      </c>
      <c r="B18" s="22">
        <v>3</v>
      </c>
      <c r="C18" s="22" t="s">
        <v>118</v>
      </c>
      <c r="D18" s="22" t="s">
        <v>65</v>
      </c>
      <c r="E18" s="22" t="s">
        <v>244</v>
      </c>
      <c r="F18" s="23">
        <v>2086</v>
      </c>
      <c r="G18" s="23">
        <v>121</v>
      </c>
      <c r="H18" s="23">
        <v>119</v>
      </c>
      <c r="I18" s="23">
        <v>25</v>
      </c>
      <c r="J18" s="23">
        <v>9</v>
      </c>
      <c r="K18" s="24">
        <v>1300</v>
      </c>
      <c r="L18" s="25">
        <f>SUMIFS(Presupuesto!$H$11:$H$53,Presupuesto!$B$11:$B$53,B18,Presupuesto!$D$11:$D$53,C18)</f>
        <v>170</v>
      </c>
      <c r="M18" s="26">
        <f t="shared" si="0"/>
        <v>5.8005752636625121E-2</v>
      </c>
      <c r="N18" s="25">
        <f t="shared" si="1"/>
        <v>1.4049586776859504</v>
      </c>
      <c r="O18" s="26">
        <f t="shared" si="2"/>
        <v>0.21008403361344538</v>
      </c>
      <c r="P18" s="26">
        <f t="shared" si="3"/>
        <v>0.36</v>
      </c>
      <c r="Q18" s="25">
        <f t="shared" si="4"/>
        <v>6.8</v>
      </c>
      <c r="R18" s="25">
        <f t="shared" si="5"/>
        <v>18.888888888888889</v>
      </c>
      <c r="S18" s="27">
        <f t="shared" si="6"/>
        <v>7.6470588235294121</v>
      </c>
      <c r="U18" s="18" t="s">
        <v>215</v>
      </c>
      <c r="V18" s="28">
        <f>IFERROR(Presupuesto!Y18/SUM(Presupuesto!$Y$11:$Y$22)*Resumen!$J$6,0)</f>
        <v>258.53164556962025</v>
      </c>
      <c r="W18" s="28">
        <f>SUMIFS($I$11:$I$53,$B$11:$B$53,8)</f>
        <v>307</v>
      </c>
      <c r="X18" s="19">
        <f>IFERROR(Presupuesto!Y18/SUM(Presupuesto!$Y$11:$Y$22)*Resumen!$J$8,0)</f>
        <v>14331.645569620252</v>
      </c>
      <c r="Y18" s="19">
        <f>SUMIFS($K$11:$K$53,$B$11:$B$53,8)</f>
        <v>13580</v>
      </c>
      <c r="Z18" s="29">
        <f>IFERROR(Y18/SUMIFS($L$11:$L$53,$B$11:$B$53,8),0)</f>
        <v>2.9977924944812364</v>
      </c>
    </row>
    <row r="19" spans="1:26" ht="22.05" customHeight="1" x14ac:dyDescent="0.3">
      <c r="A19" s="22" t="s">
        <v>210</v>
      </c>
      <c r="B19" s="22">
        <v>4</v>
      </c>
      <c r="C19" s="22" t="s">
        <v>118</v>
      </c>
      <c r="D19" s="22" t="s">
        <v>65</v>
      </c>
      <c r="E19" s="22" t="s">
        <v>244</v>
      </c>
      <c r="F19" s="23">
        <v>1931</v>
      </c>
      <c r="G19" s="23">
        <v>112</v>
      </c>
      <c r="H19" s="23">
        <v>110</v>
      </c>
      <c r="I19" s="23">
        <v>23</v>
      </c>
      <c r="J19" s="23">
        <v>9</v>
      </c>
      <c r="K19" s="24">
        <v>1240</v>
      </c>
      <c r="L19" s="25">
        <f>SUMIFS(Presupuesto!$H$11:$H$53,Presupuesto!$B$11:$B$53,B19,Presupuesto!$D$11:$D$53,C19)</f>
        <v>170</v>
      </c>
      <c r="M19" s="26">
        <f t="shared" si="0"/>
        <v>5.8001035732780939E-2</v>
      </c>
      <c r="N19" s="25">
        <f t="shared" si="1"/>
        <v>1.5178571428571428</v>
      </c>
      <c r="O19" s="26">
        <f t="shared" si="2"/>
        <v>0.20909090909090908</v>
      </c>
      <c r="P19" s="26">
        <f t="shared" si="3"/>
        <v>0.39130434782608697</v>
      </c>
      <c r="Q19" s="25">
        <f t="shared" si="4"/>
        <v>7.3913043478260869</v>
      </c>
      <c r="R19" s="25">
        <f t="shared" si="5"/>
        <v>18.888888888888889</v>
      </c>
      <c r="S19" s="27">
        <f t="shared" si="6"/>
        <v>7.2941176470588234</v>
      </c>
      <c r="U19" s="18" t="s">
        <v>216</v>
      </c>
      <c r="V19" s="28">
        <f>IFERROR(Presupuesto!Y19/SUM(Presupuesto!$Y$11:$Y$22)*Resumen!$J$6,0)</f>
        <v>417.49367088607596</v>
      </c>
      <c r="W19" s="28">
        <f>SUMIFS($I$11:$I$53,$B$11:$B$53,9)</f>
        <v>379</v>
      </c>
      <c r="X19" s="19">
        <f>IFERROR(Presupuesto!Y19/SUM(Presupuesto!$Y$11:$Y$22)*Resumen!$J$8,0)</f>
        <v>23143.67088607595</v>
      </c>
      <c r="Y19" s="19">
        <f>SUMIFS($K$11:$K$53,$B$11:$B$53,9)</f>
        <v>21160</v>
      </c>
      <c r="Z19" s="29">
        <f>IFERROR(Y19/SUMIFS($L$11:$L$53,$B$11:$B$53,9),0)</f>
        <v>3.0271816881258942</v>
      </c>
    </row>
    <row r="20" spans="1:26" ht="22.05" customHeight="1" x14ac:dyDescent="0.3">
      <c r="A20" s="22" t="s">
        <v>211</v>
      </c>
      <c r="B20" s="22">
        <v>5</v>
      </c>
      <c r="C20" s="22" t="s">
        <v>118</v>
      </c>
      <c r="D20" s="22" t="s">
        <v>65</v>
      </c>
      <c r="E20" s="22" t="s">
        <v>244</v>
      </c>
      <c r="F20" s="23">
        <v>2517</v>
      </c>
      <c r="G20" s="23">
        <v>146</v>
      </c>
      <c r="H20" s="23">
        <v>143</v>
      </c>
      <c r="I20" s="23">
        <v>30</v>
      </c>
      <c r="J20" s="23">
        <v>12</v>
      </c>
      <c r="K20" s="24">
        <v>1810</v>
      </c>
      <c r="L20" s="25">
        <f>SUMIFS(Presupuesto!$H$11:$H$53,Presupuesto!$B$11:$B$53,B20,Presupuesto!$D$11:$D$53,C20)</f>
        <v>200</v>
      </c>
      <c r="M20" s="26">
        <f t="shared" si="0"/>
        <v>5.8005562177195075E-2</v>
      </c>
      <c r="N20" s="25">
        <f t="shared" si="1"/>
        <v>1.3698630136986301</v>
      </c>
      <c r="O20" s="26">
        <f t="shared" si="2"/>
        <v>0.20979020979020979</v>
      </c>
      <c r="P20" s="26">
        <f t="shared" si="3"/>
        <v>0.4</v>
      </c>
      <c r="Q20" s="25">
        <f t="shared" si="4"/>
        <v>6.666666666666667</v>
      </c>
      <c r="R20" s="25">
        <f t="shared" si="5"/>
        <v>16.666666666666668</v>
      </c>
      <c r="S20" s="27">
        <f t="shared" si="6"/>
        <v>9.0500000000000007</v>
      </c>
      <c r="U20" s="18" t="s">
        <v>217</v>
      </c>
      <c r="V20" s="28">
        <f>IFERROR(Presupuesto!Y20/SUM(Presupuesto!$Y$11:$Y$22)*Resumen!$J$6,0)</f>
        <v>548.50632911392404</v>
      </c>
      <c r="W20" s="28">
        <f>SUMIFS($I$11:$I$53,$B$11:$B$53,10)</f>
        <v>513</v>
      </c>
      <c r="X20" s="19">
        <f>IFERROR(Presupuesto!Y20/SUM(Presupuesto!$Y$11:$Y$22)*Resumen!$J$8,0)</f>
        <v>30406.329113924046</v>
      </c>
      <c r="Y20" s="19">
        <f>SUMIFS($K$11:$K$53,$B$11:$B$53,10)</f>
        <v>28560</v>
      </c>
      <c r="Z20" s="29">
        <f>IFERROR(Y20/SUMIFS($L$11:$L$53,$B$11:$B$53,10),0)</f>
        <v>3.1213114754098359</v>
      </c>
    </row>
    <row r="21" spans="1:26" ht="22.05" customHeight="1" x14ac:dyDescent="0.3">
      <c r="A21" s="22" t="s">
        <v>212</v>
      </c>
      <c r="B21" s="22">
        <v>6</v>
      </c>
      <c r="C21" s="22" t="s">
        <v>118</v>
      </c>
      <c r="D21" s="22" t="s">
        <v>65</v>
      </c>
      <c r="E21" s="22" t="s">
        <v>244</v>
      </c>
      <c r="F21" s="23">
        <v>2759</v>
      </c>
      <c r="G21" s="23">
        <v>160</v>
      </c>
      <c r="H21" s="23">
        <v>157</v>
      </c>
      <c r="I21" s="23">
        <v>33</v>
      </c>
      <c r="J21" s="23">
        <v>12</v>
      </c>
      <c r="K21" s="24">
        <v>1720</v>
      </c>
      <c r="L21" s="25">
        <f>SUMIFS(Presupuesto!$H$11:$H$53,Presupuesto!$B$11:$B$53,B21,Presupuesto!$D$11:$D$53,C21)</f>
        <v>230</v>
      </c>
      <c r="M21" s="26">
        <f t="shared" si="0"/>
        <v>5.7992026096411742E-2</v>
      </c>
      <c r="N21" s="25">
        <f t="shared" si="1"/>
        <v>1.4375</v>
      </c>
      <c r="O21" s="26">
        <f t="shared" si="2"/>
        <v>0.21019108280254778</v>
      </c>
      <c r="P21" s="26">
        <f t="shared" si="3"/>
        <v>0.36363636363636365</v>
      </c>
      <c r="Q21" s="25">
        <f t="shared" si="4"/>
        <v>6.9696969696969697</v>
      </c>
      <c r="R21" s="25">
        <f t="shared" si="5"/>
        <v>19.166666666666668</v>
      </c>
      <c r="S21" s="27">
        <f t="shared" si="6"/>
        <v>7.4782608695652177</v>
      </c>
      <c r="U21" s="18" t="s">
        <v>218</v>
      </c>
      <c r="V21" s="28">
        <f>IFERROR(Presupuesto!Y21/SUM(Presupuesto!$Y$11:$Y$22)*Resumen!$J$6,0)</f>
        <v>507.16455696202524</v>
      </c>
      <c r="W21" s="28">
        <f>SUMIFS($I$11:$I$53,$B$11:$B$53,11)</f>
        <v>879</v>
      </c>
      <c r="X21" s="19">
        <f>IFERROR(Presupuesto!Y21/SUM(Presupuesto!$Y$11:$Y$22)*Resumen!$J$8,0)</f>
        <v>28114.556962025312</v>
      </c>
      <c r="Y21" s="19">
        <f>SUMIFS($K$11:$K$53,$B$11:$B$53,11)</f>
        <v>50000</v>
      </c>
      <c r="Z21" s="29">
        <f>IFERROR(Y21/SUMIFS($L$11:$L$53,$B$11:$B$53,11),0)</f>
        <v>5.5493895671476139</v>
      </c>
    </row>
    <row r="22" spans="1:26" ht="22.05" customHeight="1" x14ac:dyDescent="0.3">
      <c r="A22" s="22" t="s">
        <v>213</v>
      </c>
      <c r="B22" s="22">
        <v>7</v>
      </c>
      <c r="C22" s="22" t="s">
        <v>118</v>
      </c>
      <c r="D22" s="22" t="s">
        <v>65</v>
      </c>
      <c r="E22" s="22" t="s">
        <v>244</v>
      </c>
      <c r="F22" s="23">
        <v>2603</v>
      </c>
      <c r="G22" s="23">
        <v>151</v>
      </c>
      <c r="H22" s="23">
        <v>148</v>
      </c>
      <c r="I22" s="23">
        <v>31</v>
      </c>
      <c r="J22" s="23">
        <v>12</v>
      </c>
      <c r="K22" s="24">
        <v>1630</v>
      </c>
      <c r="L22" s="25">
        <f>SUMIFS(Presupuesto!$H$11:$H$53,Presupuesto!$B$11:$B$53,B22,Presupuesto!$D$11:$D$53,C22)</f>
        <v>230</v>
      </c>
      <c r="M22" s="26">
        <f t="shared" si="0"/>
        <v>5.8009988474836724E-2</v>
      </c>
      <c r="N22" s="25">
        <f t="shared" si="1"/>
        <v>1.5231788079470199</v>
      </c>
      <c r="O22" s="26">
        <f t="shared" si="2"/>
        <v>0.20945945945945946</v>
      </c>
      <c r="P22" s="26">
        <f t="shared" si="3"/>
        <v>0.38709677419354838</v>
      </c>
      <c r="Q22" s="25">
        <f t="shared" si="4"/>
        <v>7.419354838709677</v>
      </c>
      <c r="R22" s="25">
        <f t="shared" si="5"/>
        <v>19.166666666666668</v>
      </c>
      <c r="S22" s="27">
        <f t="shared" si="6"/>
        <v>7.0869565217391308</v>
      </c>
      <c r="U22" s="18" t="s">
        <v>219</v>
      </c>
      <c r="V22" s="28">
        <f>IFERROR(Presupuesto!Y22/SUM(Presupuesto!$Y$11:$Y$22)*Resumen!$J$6,0)</f>
        <v>690.58227848101262</v>
      </c>
      <c r="W22" s="28">
        <f>SUMIFS($I$11:$I$53,$B$11:$B$53,12)</f>
        <v>864</v>
      </c>
      <c r="X22" s="19">
        <f>IFERROR(Presupuesto!Y22/SUM(Presupuesto!$Y$11:$Y$22)*Resumen!$J$8,0)</f>
        <v>38282.278481012654</v>
      </c>
      <c r="Y22" s="19">
        <f>SUMIFS($K$11:$K$53,$B$11:$B$53,12)</f>
        <v>63430</v>
      </c>
      <c r="Z22" s="29">
        <f>IFERROR(Y22/SUMIFS($L$11:$L$53,$B$11:$B$53,12),0)</f>
        <v>5.0906902086677368</v>
      </c>
    </row>
    <row r="23" spans="1:26" ht="22.05" customHeight="1" x14ac:dyDescent="0.3">
      <c r="A23" s="22" t="s">
        <v>215</v>
      </c>
      <c r="B23" s="22">
        <v>8</v>
      </c>
      <c r="C23" s="22" t="s">
        <v>118</v>
      </c>
      <c r="D23" s="22" t="s">
        <v>65</v>
      </c>
      <c r="E23" s="22" t="s">
        <v>244</v>
      </c>
      <c r="F23" s="23">
        <v>2845</v>
      </c>
      <c r="G23" s="23">
        <v>165</v>
      </c>
      <c r="H23" s="23">
        <v>162</v>
      </c>
      <c r="I23" s="23">
        <v>34</v>
      </c>
      <c r="J23" s="23">
        <v>14</v>
      </c>
      <c r="K23" s="24">
        <v>1700</v>
      </c>
      <c r="L23" s="25">
        <f>SUMIFS(Presupuesto!$H$11:$H$53,Presupuesto!$B$11:$B$53,B23,Presupuesto!$D$11:$D$53,C23)</f>
        <v>290</v>
      </c>
      <c r="M23" s="26">
        <f t="shared" si="0"/>
        <v>5.7996485061511421E-2</v>
      </c>
      <c r="N23" s="25">
        <f t="shared" si="1"/>
        <v>1.7575757575757576</v>
      </c>
      <c r="O23" s="26">
        <f t="shared" si="2"/>
        <v>0.20987654320987653</v>
      </c>
      <c r="P23" s="26">
        <f t="shared" si="3"/>
        <v>0.41176470588235292</v>
      </c>
      <c r="Q23" s="25">
        <f t="shared" si="4"/>
        <v>8.5294117647058822</v>
      </c>
      <c r="R23" s="25">
        <f t="shared" si="5"/>
        <v>20.714285714285715</v>
      </c>
      <c r="S23" s="27">
        <f t="shared" si="6"/>
        <v>5.8620689655172411</v>
      </c>
    </row>
    <row r="24" spans="1:26" ht="22.05" customHeight="1" x14ac:dyDescent="0.3">
      <c r="A24" s="22" t="s">
        <v>216</v>
      </c>
      <c r="B24" s="22">
        <v>9</v>
      </c>
      <c r="C24" s="22" t="s">
        <v>118</v>
      </c>
      <c r="D24" s="22" t="s">
        <v>65</v>
      </c>
      <c r="E24" s="22" t="s">
        <v>244</v>
      </c>
      <c r="F24" s="23">
        <v>3690</v>
      </c>
      <c r="G24" s="23">
        <v>214</v>
      </c>
      <c r="H24" s="23">
        <v>210</v>
      </c>
      <c r="I24" s="23">
        <v>44</v>
      </c>
      <c r="J24" s="23">
        <v>16</v>
      </c>
      <c r="K24" s="24">
        <v>2250</v>
      </c>
      <c r="L24" s="25">
        <f>SUMIFS(Presupuesto!$H$11:$H$53,Presupuesto!$B$11:$B$53,B24,Presupuesto!$D$11:$D$53,C24)</f>
        <v>320</v>
      </c>
      <c r="M24" s="26">
        <f t="shared" si="0"/>
        <v>5.7994579945799457E-2</v>
      </c>
      <c r="N24" s="25">
        <f t="shared" si="1"/>
        <v>1.4953271028037383</v>
      </c>
      <c r="O24" s="26">
        <f t="shared" si="2"/>
        <v>0.20952380952380953</v>
      </c>
      <c r="P24" s="26">
        <f t="shared" si="3"/>
        <v>0.36363636363636365</v>
      </c>
      <c r="Q24" s="25">
        <f t="shared" si="4"/>
        <v>7.2727272727272725</v>
      </c>
      <c r="R24" s="25">
        <f t="shared" si="5"/>
        <v>20</v>
      </c>
      <c r="S24" s="27">
        <f t="shared" si="6"/>
        <v>7.03125</v>
      </c>
    </row>
    <row r="25" spans="1:26" ht="22.05" customHeight="1" x14ac:dyDescent="0.3">
      <c r="A25" s="22" t="s">
        <v>217</v>
      </c>
      <c r="B25" s="22">
        <v>10</v>
      </c>
      <c r="C25" s="22" t="s">
        <v>118</v>
      </c>
      <c r="D25" s="22" t="s">
        <v>65</v>
      </c>
      <c r="E25" s="22" t="s">
        <v>244</v>
      </c>
      <c r="F25" s="23">
        <v>4362</v>
      </c>
      <c r="G25" s="23">
        <v>253</v>
      </c>
      <c r="H25" s="23">
        <v>248</v>
      </c>
      <c r="I25" s="23">
        <v>52</v>
      </c>
      <c r="J25" s="23">
        <v>20</v>
      </c>
      <c r="K25" s="24">
        <v>2960</v>
      </c>
      <c r="L25" s="25">
        <f>SUMIFS(Presupuesto!$H$11:$H$53,Presupuesto!$B$11:$B$53,B25,Presupuesto!$D$11:$D$53,C25)</f>
        <v>350</v>
      </c>
      <c r="M25" s="26">
        <f t="shared" si="0"/>
        <v>5.8000917010545619E-2</v>
      </c>
      <c r="N25" s="25">
        <f t="shared" si="1"/>
        <v>1.383399209486166</v>
      </c>
      <c r="O25" s="26">
        <f t="shared" si="2"/>
        <v>0.20967741935483872</v>
      </c>
      <c r="P25" s="26">
        <f t="shared" si="3"/>
        <v>0.38461538461538464</v>
      </c>
      <c r="Q25" s="25">
        <f t="shared" si="4"/>
        <v>6.7307692307692308</v>
      </c>
      <c r="R25" s="25">
        <f t="shared" si="5"/>
        <v>17.5</v>
      </c>
      <c r="S25" s="27">
        <f t="shared" si="6"/>
        <v>8.4571428571428573</v>
      </c>
    </row>
    <row r="26" spans="1:26" ht="22.05" customHeight="1" x14ac:dyDescent="0.3">
      <c r="A26" s="22" t="s">
        <v>218</v>
      </c>
      <c r="B26" s="22">
        <v>11</v>
      </c>
      <c r="C26" s="22" t="s">
        <v>118</v>
      </c>
      <c r="D26" s="22" t="s">
        <v>65</v>
      </c>
      <c r="E26" s="22" t="s">
        <v>244</v>
      </c>
      <c r="F26" s="23">
        <v>6276</v>
      </c>
      <c r="G26" s="23">
        <v>364</v>
      </c>
      <c r="H26" s="23">
        <v>357</v>
      </c>
      <c r="I26" s="23">
        <v>75</v>
      </c>
      <c r="J26" s="23">
        <v>30</v>
      </c>
      <c r="K26" s="24">
        <v>5050</v>
      </c>
      <c r="L26" s="25">
        <f>SUMIFS(Presupuesto!$H$11:$H$53,Presupuesto!$B$11:$B$53,B26,Presupuesto!$D$11:$D$53,C26)</f>
        <v>440</v>
      </c>
      <c r="M26" s="26">
        <f t="shared" si="0"/>
        <v>5.7998725302740597E-2</v>
      </c>
      <c r="N26" s="25">
        <f t="shared" si="1"/>
        <v>1.2087912087912087</v>
      </c>
      <c r="O26" s="26">
        <f t="shared" si="2"/>
        <v>0.21008403361344538</v>
      </c>
      <c r="P26" s="26">
        <f t="shared" si="3"/>
        <v>0.4</v>
      </c>
      <c r="Q26" s="25">
        <f t="shared" si="4"/>
        <v>5.8666666666666663</v>
      </c>
      <c r="R26" s="25">
        <f t="shared" si="5"/>
        <v>14.666666666666666</v>
      </c>
      <c r="S26" s="27">
        <f t="shared" si="6"/>
        <v>11.477272727272727</v>
      </c>
    </row>
    <row r="27" spans="1:26" ht="22.05" customHeight="1" x14ac:dyDescent="0.3">
      <c r="A27" s="22" t="s">
        <v>219</v>
      </c>
      <c r="B27" s="22">
        <v>12</v>
      </c>
      <c r="C27" s="22" t="s">
        <v>118</v>
      </c>
      <c r="D27" s="22" t="s">
        <v>65</v>
      </c>
      <c r="E27" s="22" t="s">
        <v>244</v>
      </c>
      <c r="F27" s="23">
        <v>6534</v>
      </c>
      <c r="G27" s="23">
        <v>379</v>
      </c>
      <c r="H27" s="23">
        <v>371</v>
      </c>
      <c r="I27" s="23">
        <v>78</v>
      </c>
      <c r="J27" s="23">
        <v>28</v>
      </c>
      <c r="K27" s="24">
        <v>4470</v>
      </c>
      <c r="L27" s="25">
        <f>SUMIFS(Presupuesto!$H$11:$H$53,Presupuesto!$B$11:$B$53,B27,Presupuesto!$D$11:$D$53,C27)</f>
        <v>500</v>
      </c>
      <c r="M27" s="26">
        <f t="shared" si="0"/>
        <v>5.8004285277012547E-2</v>
      </c>
      <c r="N27" s="25">
        <f t="shared" si="1"/>
        <v>1.3192612137203166</v>
      </c>
      <c r="O27" s="26">
        <f t="shared" si="2"/>
        <v>0.21024258760107817</v>
      </c>
      <c r="P27" s="26">
        <f t="shared" si="3"/>
        <v>0.35897435897435898</v>
      </c>
      <c r="Q27" s="25">
        <f t="shared" si="4"/>
        <v>6.4102564102564106</v>
      </c>
      <c r="R27" s="25">
        <f t="shared" si="5"/>
        <v>17.857142857142858</v>
      </c>
      <c r="S27" s="27">
        <f t="shared" si="6"/>
        <v>8.94</v>
      </c>
    </row>
    <row r="28" spans="1:26" ht="22.05" customHeight="1" x14ac:dyDescent="0.3">
      <c r="A28" s="22" t="s">
        <v>210</v>
      </c>
      <c r="B28" s="22">
        <v>4</v>
      </c>
      <c r="C28" s="22" t="s">
        <v>123</v>
      </c>
      <c r="D28" s="22" t="s">
        <v>67</v>
      </c>
      <c r="E28" s="22" t="s">
        <v>245</v>
      </c>
      <c r="F28" s="23">
        <v>49526</v>
      </c>
      <c r="G28" s="23">
        <v>941</v>
      </c>
      <c r="H28" s="23">
        <v>875</v>
      </c>
      <c r="I28" s="23">
        <v>77</v>
      </c>
      <c r="J28" s="23">
        <v>23</v>
      </c>
      <c r="K28" s="24">
        <v>3860</v>
      </c>
      <c r="L28" s="25">
        <f>SUMIFS(Presupuesto!$H$11:$H$53,Presupuesto!$B$11:$B$53,B28,Presupuesto!$D$11:$D$53,C28)</f>
        <v>1620</v>
      </c>
      <c r="M28" s="26">
        <f t="shared" si="0"/>
        <v>1.9000121148487661E-2</v>
      </c>
      <c r="N28" s="25">
        <f t="shared" si="1"/>
        <v>1.7215727948990436</v>
      </c>
      <c r="O28" s="26">
        <f t="shared" si="2"/>
        <v>8.7999999999999995E-2</v>
      </c>
      <c r="P28" s="26">
        <f t="shared" si="3"/>
        <v>0.29870129870129869</v>
      </c>
      <c r="Q28" s="25">
        <f t="shared" si="4"/>
        <v>21.038961038961038</v>
      </c>
      <c r="R28" s="25">
        <f t="shared" si="5"/>
        <v>70.434782608695656</v>
      </c>
      <c r="S28" s="27">
        <f t="shared" si="6"/>
        <v>2.382716049382716</v>
      </c>
    </row>
    <row r="29" spans="1:26" ht="22.05" customHeight="1" x14ac:dyDescent="0.3">
      <c r="A29" s="22" t="s">
        <v>211</v>
      </c>
      <c r="B29" s="22">
        <v>5</v>
      </c>
      <c r="C29" s="22" t="s">
        <v>123</v>
      </c>
      <c r="D29" s="22" t="s">
        <v>67</v>
      </c>
      <c r="E29" s="22" t="s">
        <v>245</v>
      </c>
      <c r="F29" s="23">
        <v>62368</v>
      </c>
      <c r="G29" s="23">
        <v>1185</v>
      </c>
      <c r="H29" s="23">
        <v>1102</v>
      </c>
      <c r="I29" s="23">
        <v>97</v>
      </c>
      <c r="J29" s="23">
        <v>31</v>
      </c>
      <c r="K29" s="24">
        <v>5680</v>
      </c>
      <c r="L29" s="25">
        <f>SUMIFS(Presupuesto!$H$11:$H$53,Presupuesto!$B$11:$B$53,B29,Presupuesto!$D$11:$D$53,C29)</f>
        <v>1860</v>
      </c>
      <c r="M29" s="26">
        <f t="shared" si="0"/>
        <v>1.9000128270908159E-2</v>
      </c>
      <c r="N29" s="25">
        <f t="shared" si="1"/>
        <v>1.5696202531645569</v>
      </c>
      <c r="O29" s="26">
        <f t="shared" si="2"/>
        <v>8.8021778584392016E-2</v>
      </c>
      <c r="P29" s="26">
        <f t="shared" si="3"/>
        <v>0.31958762886597936</v>
      </c>
      <c r="Q29" s="25">
        <f t="shared" si="4"/>
        <v>19.175257731958762</v>
      </c>
      <c r="R29" s="25">
        <f t="shared" si="5"/>
        <v>60</v>
      </c>
      <c r="S29" s="27">
        <f t="shared" si="6"/>
        <v>3.053763440860215</v>
      </c>
    </row>
    <row r="30" spans="1:26" ht="22.05" customHeight="1" x14ac:dyDescent="0.3">
      <c r="A30" s="22" t="s">
        <v>212</v>
      </c>
      <c r="B30" s="22">
        <v>6</v>
      </c>
      <c r="C30" s="22" t="s">
        <v>123</v>
      </c>
      <c r="D30" s="22" t="s">
        <v>67</v>
      </c>
      <c r="E30" s="22" t="s">
        <v>245</v>
      </c>
      <c r="F30" s="23">
        <v>75263</v>
      </c>
      <c r="G30" s="23">
        <v>1430</v>
      </c>
      <c r="H30" s="23">
        <v>1330</v>
      </c>
      <c r="I30" s="23">
        <v>117</v>
      </c>
      <c r="J30" s="23">
        <v>34</v>
      </c>
      <c r="K30" s="24">
        <v>5940</v>
      </c>
      <c r="L30" s="25">
        <f>SUMIFS(Presupuesto!$H$11:$H$53,Presupuesto!$B$11:$B$53,B30,Presupuesto!$D$11:$D$53,C30)</f>
        <v>2320</v>
      </c>
      <c r="M30" s="26">
        <f t="shared" si="0"/>
        <v>1.9000039860223483E-2</v>
      </c>
      <c r="N30" s="25">
        <f t="shared" si="1"/>
        <v>1.6223776223776223</v>
      </c>
      <c r="O30" s="26">
        <f t="shared" si="2"/>
        <v>8.7969924812030073E-2</v>
      </c>
      <c r="P30" s="26">
        <f t="shared" si="3"/>
        <v>0.29059829059829062</v>
      </c>
      <c r="Q30" s="25">
        <f t="shared" si="4"/>
        <v>19.82905982905983</v>
      </c>
      <c r="R30" s="25">
        <f t="shared" si="5"/>
        <v>68.235294117647058</v>
      </c>
      <c r="S30" s="27">
        <f t="shared" si="6"/>
        <v>2.5603448275862069</v>
      </c>
    </row>
    <row r="31" spans="1:26" ht="22.05" customHeight="1" x14ac:dyDescent="0.3">
      <c r="A31" s="22" t="s">
        <v>211</v>
      </c>
      <c r="B31" s="22">
        <v>5</v>
      </c>
      <c r="C31" s="22" t="s">
        <v>128</v>
      </c>
      <c r="D31" s="22" t="s">
        <v>69</v>
      </c>
      <c r="E31" s="22" t="s">
        <v>243</v>
      </c>
      <c r="F31" s="23">
        <v>20823</v>
      </c>
      <c r="G31" s="23">
        <v>1291</v>
      </c>
      <c r="H31" s="23">
        <v>1239</v>
      </c>
      <c r="I31" s="23">
        <v>223</v>
      </c>
      <c r="J31" s="23">
        <v>102</v>
      </c>
      <c r="K31" s="24">
        <v>20250</v>
      </c>
      <c r="L31" s="25">
        <f>SUMIFS(Presupuesto!$H$11:$H$53,Presupuesto!$B$11:$B$53,B31,Presupuesto!$D$11:$D$53,C31)</f>
        <v>5100</v>
      </c>
      <c r="M31" s="26">
        <f t="shared" si="0"/>
        <v>6.1998751380684822E-2</v>
      </c>
      <c r="N31" s="25">
        <f t="shared" si="1"/>
        <v>3.9504260263361735</v>
      </c>
      <c r="O31" s="26">
        <f t="shared" si="2"/>
        <v>0.17998385794995964</v>
      </c>
      <c r="P31" s="26">
        <f t="shared" si="3"/>
        <v>0.45739910313901344</v>
      </c>
      <c r="Q31" s="25">
        <f t="shared" si="4"/>
        <v>22.869955156950674</v>
      </c>
      <c r="R31" s="25">
        <f t="shared" si="5"/>
        <v>50</v>
      </c>
      <c r="S31" s="27">
        <f t="shared" si="6"/>
        <v>3.9705882352941178</v>
      </c>
    </row>
    <row r="32" spans="1:26" ht="22.05" customHeight="1" x14ac:dyDescent="0.3">
      <c r="A32" s="22" t="s">
        <v>210</v>
      </c>
      <c r="B32" s="22">
        <v>4</v>
      </c>
      <c r="C32" s="22" t="s">
        <v>133</v>
      </c>
      <c r="D32" s="22" t="s">
        <v>56</v>
      </c>
      <c r="E32" s="22" t="s">
        <v>242</v>
      </c>
      <c r="F32" s="23">
        <v>164308</v>
      </c>
      <c r="G32" s="23">
        <v>2136</v>
      </c>
      <c r="H32" s="23">
        <v>1965</v>
      </c>
      <c r="I32" s="23">
        <v>167</v>
      </c>
      <c r="J32" s="23">
        <v>43</v>
      </c>
      <c r="K32" s="24">
        <v>6750</v>
      </c>
      <c r="L32" s="25">
        <f>SUMIFS(Presupuesto!$H$11:$H$53,Presupuesto!$B$11:$B$53,B32,Presupuesto!$D$11:$D$53,C32)</f>
        <v>3020</v>
      </c>
      <c r="M32" s="26">
        <f t="shared" si="0"/>
        <v>1.29999756554763E-2</v>
      </c>
      <c r="N32" s="25">
        <f t="shared" si="1"/>
        <v>1.4138576779026217</v>
      </c>
      <c r="O32" s="26">
        <f t="shared" si="2"/>
        <v>8.4987277353689564E-2</v>
      </c>
      <c r="P32" s="26">
        <f t="shared" si="3"/>
        <v>0.25748502994011974</v>
      </c>
      <c r="Q32" s="25">
        <f t="shared" si="4"/>
        <v>18.08383233532934</v>
      </c>
      <c r="R32" s="25">
        <f t="shared" si="5"/>
        <v>70.232558139534888</v>
      </c>
      <c r="S32" s="27">
        <f t="shared" si="6"/>
        <v>2.2350993377483444</v>
      </c>
    </row>
    <row r="33" spans="1:19" ht="22.05" customHeight="1" x14ac:dyDescent="0.3">
      <c r="A33" s="22" t="s">
        <v>211</v>
      </c>
      <c r="B33" s="22">
        <v>5</v>
      </c>
      <c r="C33" s="22" t="s">
        <v>133</v>
      </c>
      <c r="D33" s="22" t="s">
        <v>56</v>
      </c>
      <c r="E33" s="22" t="s">
        <v>242</v>
      </c>
      <c r="F33" s="23">
        <v>220308</v>
      </c>
      <c r="G33" s="23">
        <v>2864</v>
      </c>
      <c r="H33" s="23">
        <v>2635</v>
      </c>
      <c r="I33" s="23">
        <v>224</v>
      </c>
      <c r="J33" s="23">
        <v>61</v>
      </c>
      <c r="K33" s="24">
        <v>10430</v>
      </c>
      <c r="L33" s="25">
        <f>SUMIFS(Presupuesto!$H$11:$H$53,Presupuesto!$B$11:$B$53,B33,Presupuesto!$D$11:$D$53,C33)</f>
        <v>3680</v>
      </c>
      <c r="M33" s="26">
        <f t="shared" si="0"/>
        <v>1.2999981843600777E-2</v>
      </c>
      <c r="N33" s="25">
        <f t="shared" si="1"/>
        <v>1.2849162011173185</v>
      </c>
      <c r="O33" s="26">
        <f t="shared" si="2"/>
        <v>8.5009487666034153E-2</v>
      </c>
      <c r="P33" s="26">
        <f t="shared" si="3"/>
        <v>0.27232142857142855</v>
      </c>
      <c r="Q33" s="25">
        <f t="shared" si="4"/>
        <v>16.428571428571427</v>
      </c>
      <c r="R33" s="25">
        <f t="shared" si="5"/>
        <v>60.327868852459019</v>
      </c>
      <c r="S33" s="27">
        <f t="shared" si="6"/>
        <v>2.8342391304347827</v>
      </c>
    </row>
    <row r="34" spans="1:19" ht="22.05" customHeight="1" x14ac:dyDescent="0.3">
      <c r="A34" s="22" t="s">
        <v>212</v>
      </c>
      <c r="B34" s="22">
        <v>6</v>
      </c>
      <c r="C34" s="22" t="s">
        <v>138</v>
      </c>
      <c r="D34" s="22" t="s">
        <v>62</v>
      </c>
      <c r="E34" s="22" t="s">
        <v>243</v>
      </c>
      <c r="F34" s="23">
        <v>24265</v>
      </c>
      <c r="G34" s="23">
        <v>825</v>
      </c>
      <c r="H34" s="23">
        <v>800</v>
      </c>
      <c r="I34" s="23">
        <v>76</v>
      </c>
      <c r="J34" s="23">
        <v>22</v>
      </c>
      <c r="K34" s="24">
        <v>3580</v>
      </c>
      <c r="L34" s="25">
        <f>SUMIFS(Presupuesto!$H$11:$H$53,Presupuesto!$B$11:$B$53,B34,Presupuesto!$D$11:$D$53,C34)</f>
        <v>840</v>
      </c>
      <c r="M34" s="26">
        <f t="shared" si="0"/>
        <v>3.3999587883783225E-2</v>
      </c>
      <c r="N34" s="25">
        <f t="shared" si="1"/>
        <v>1.0181818181818181</v>
      </c>
      <c r="O34" s="26">
        <f t="shared" si="2"/>
        <v>9.5000000000000001E-2</v>
      </c>
      <c r="P34" s="26">
        <f t="shared" si="3"/>
        <v>0.28947368421052633</v>
      </c>
      <c r="Q34" s="25">
        <f t="shared" si="4"/>
        <v>11.052631578947368</v>
      </c>
      <c r="R34" s="25">
        <f t="shared" si="5"/>
        <v>38.18181818181818</v>
      </c>
      <c r="S34" s="27">
        <f t="shared" si="6"/>
        <v>4.2619047619047619</v>
      </c>
    </row>
    <row r="35" spans="1:19" ht="22.05" customHeight="1" x14ac:dyDescent="0.3">
      <c r="A35" s="22" t="s">
        <v>213</v>
      </c>
      <c r="B35" s="22">
        <v>7</v>
      </c>
      <c r="C35" s="22" t="s">
        <v>138</v>
      </c>
      <c r="D35" s="22" t="s">
        <v>62</v>
      </c>
      <c r="E35" s="22" t="s">
        <v>243</v>
      </c>
      <c r="F35" s="23">
        <v>22647</v>
      </c>
      <c r="G35" s="23">
        <v>770</v>
      </c>
      <c r="H35" s="23">
        <v>747</v>
      </c>
      <c r="I35" s="23">
        <v>71</v>
      </c>
      <c r="J35" s="23">
        <v>22</v>
      </c>
      <c r="K35" s="24">
        <v>3010</v>
      </c>
      <c r="L35" s="25">
        <f>SUMIFS(Presupuesto!$H$11:$H$53,Presupuesto!$B$11:$B$53,B35,Presupuesto!$D$11:$D$53,C35)</f>
        <v>960</v>
      </c>
      <c r="M35" s="26">
        <f t="shared" si="0"/>
        <v>3.4000088311917691E-2</v>
      </c>
      <c r="N35" s="25">
        <f t="shared" si="1"/>
        <v>1.2467532467532467</v>
      </c>
      <c r="O35" s="26">
        <f t="shared" si="2"/>
        <v>9.5046854082998664E-2</v>
      </c>
      <c r="P35" s="26">
        <f t="shared" si="3"/>
        <v>0.30985915492957744</v>
      </c>
      <c r="Q35" s="25">
        <f t="shared" si="4"/>
        <v>13.52112676056338</v>
      </c>
      <c r="R35" s="25">
        <f t="shared" si="5"/>
        <v>43.636363636363633</v>
      </c>
      <c r="S35" s="27">
        <f t="shared" si="6"/>
        <v>3.1354166666666665</v>
      </c>
    </row>
    <row r="36" spans="1:19" ht="22.05" customHeight="1" x14ac:dyDescent="0.3">
      <c r="A36" s="22" t="s">
        <v>215</v>
      </c>
      <c r="B36" s="22">
        <v>8</v>
      </c>
      <c r="C36" s="22" t="s">
        <v>138</v>
      </c>
      <c r="D36" s="22" t="s">
        <v>62</v>
      </c>
      <c r="E36" s="22" t="s">
        <v>243</v>
      </c>
      <c r="F36" s="23">
        <v>29059</v>
      </c>
      <c r="G36" s="23">
        <v>988</v>
      </c>
      <c r="H36" s="23">
        <v>958</v>
      </c>
      <c r="I36" s="23">
        <v>91</v>
      </c>
      <c r="J36" s="23">
        <v>25</v>
      </c>
      <c r="K36" s="24">
        <v>3450</v>
      </c>
      <c r="L36" s="25">
        <f>SUMIFS(Presupuesto!$H$11:$H$53,Presupuesto!$B$11:$B$53,B36,Presupuesto!$D$11:$D$53,C36)</f>
        <v>1200</v>
      </c>
      <c r="M36" s="26">
        <f t="shared" si="0"/>
        <v>3.3999793523521109E-2</v>
      </c>
      <c r="N36" s="25">
        <f t="shared" si="1"/>
        <v>1.214574898785425</v>
      </c>
      <c r="O36" s="26">
        <f t="shared" si="2"/>
        <v>9.4989561586638835E-2</v>
      </c>
      <c r="P36" s="26">
        <f t="shared" si="3"/>
        <v>0.27472527472527475</v>
      </c>
      <c r="Q36" s="25">
        <f t="shared" si="4"/>
        <v>13.186813186813186</v>
      </c>
      <c r="R36" s="25">
        <f t="shared" si="5"/>
        <v>48</v>
      </c>
      <c r="S36" s="27">
        <f t="shared" si="6"/>
        <v>2.875</v>
      </c>
    </row>
    <row r="37" spans="1:19" ht="22.05" customHeight="1" x14ac:dyDescent="0.3">
      <c r="A37" s="22" t="s">
        <v>212</v>
      </c>
      <c r="B37" s="22">
        <v>6</v>
      </c>
      <c r="C37" s="22" t="s">
        <v>143</v>
      </c>
      <c r="D37" s="22" t="s">
        <v>59</v>
      </c>
      <c r="E37" s="22" t="s">
        <v>244</v>
      </c>
      <c r="F37" s="23">
        <v>28565</v>
      </c>
      <c r="G37" s="23">
        <v>1314</v>
      </c>
      <c r="H37" s="23">
        <v>1248</v>
      </c>
      <c r="I37" s="23">
        <v>131</v>
      </c>
      <c r="J37" s="23">
        <v>43</v>
      </c>
      <c r="K37" s="24">
        <v>6660</v>
      </c>
      <c r="L37" s="25">
        <f>SUMIFS(Presupuesto!$H$11:$H$53,Presupuesto!$B$11:$B$53,B37,Presupuesto!$D$11:$D$53,C37)</f>
        <v>2130</v>
      </c>
      <c r="M37" s="26">
        <f t="shared" si="0"/>
        <v>4.6000350078767724E-2</v>
      </c>
      <c r="N37" s="25">
        <f t="shared" si="1"/>
        <v>1.6210045662100456</v>
      </c>
      <c r="O37" s="26">
        <f t="shared" si="2"/>
        <v>0.10496794871794872</v>
      </c>
      <c r="P37" s="26">
        <f t="shared" si="3"/>
        <v>0.3282442748091603</v>
      </c>
      <c r="Q37" s="25">
        <f t="shared" si="4"/>
        <v>16.259541984732824</v>
      </c>
      <c r="R37" s="25">
        <f t="shared" si="5"/>
        <v>49.534883720930232</v>
      </c>
      <c r="S37" s="27">
        <f t="shared" si="6"/>
        <v>3.1267605633802815</v>
      </c>
    </row>
    <row r="38" spans="1:19" ht="22.05" customHeight="1" x14ac:dyDescent="0.3">
      <c r="A38" s="22" t="s">
        <v>213</v>
      </c>
      <c r="B38" s="22">
        <v>7</v>
      </c>
      <c r="C38" s="22" t="s">
        <v>143</v>
      </c>
      <c r="D38" s="22" t="s">
        <v>59</v>
      </c>
      <c r="E38" s="22" t="s">
        <v>244</v>
      </c>
      <c r="F38" s="23">
        <v>31174</v>
      </c>
      <c r="G38" s="23">
        <v>1434</v>
      </c>
      <c r="H38" s="23">
        <v>1362</v>
      </c>
      <c r="I38" s="23">
        <v>143</v>
      </c>
      <c r="J38" s="23">
        <v>43</v>
      </c>
      <c r="K38" s="24">
        <v>6310</v>
      </c>
      <c r="L38" s="25">
        <f>SUMIFS(Presupuesto!$H$11:$H$53,Presupuesto!$B$11:$B$53,B38,Presupuesto!$D$11:$D$53,C38)</f>
        <v>2430</v>
      </c>
      <c r="M38" s="26">
        <f t="shared" si="0"/>
        <v>4.5999871687945081E-2</v>
      </c>
      <c r="N38" s="25">
        <f t="shared" si="1"/>
        <v>1.6945606694560669</v>
      </c>
      <c r="O38" s="26">
        <f t="shared" si="2"/>
        <v>0.10499265785609398</v>
      </c>
      <c r="P38" s="26">
        <f t="shared" si="3"/>
        <v>0.30069930069930068</v>
      </c>
      <c r="Q38" s="25">
        <f t="shared" si="4"/>
        <v>16.993006993006993</v>
      </c>
      <c r="R38" s="25">
        <f t="shared" si="5"/>
        <v>56.511627906976742</v>
      </c>
      <c r="S38" s="27">
        <f t="shared" si="6"/>
        <v>2.596707818930041</v>
      </c>
    </row>
    <row r="39" spans="1:19" ht="22.05" customHeight="1" x14ac:dyDescent="0.3">
      <c r="A39" s="22" t="s">
        <v>215</v>
      </c>
      <c r="B39" s="22">
        <v>8</v>
      </c>
      <c r="C39" s="22" t="s">
        <v>143</v>
      </c>
      <c r="D39" s="22" t="s">
        <v>59</v>
      </c>
      <c r="E39" s="22" t="s">
        <v>244</v>
      </c>
      <c r="F39" s="23">
        <v>39652</v>
      </c>
      <c r="G39" s="23">
        <v>1824</v>
      </c>
      <c r="H39" s="23">
        <v>1733</v>
      </c>
      <c r="I39" s="23">
        <v>182</v>
      </c>
      <c r="J39" s="23">
        <v>57</v>
      </c>
      <c r="K39" s="24">
        <v>8430</v>
      </c>
      <c r="L39" s="25">
        <f>SUMIFS(Presupuesto!$H$11:$H$53,Presupuesto!$B$11:$B$53,B39,Presupuesto!$D$11:$D$53,C39)</f>
        <v>3040</v>
      </c>
      <c r="M39" s="26">
        <f t="shared" si="0"/>
        <v>4.6000201755270857E-2</v>
      </c>
      <c r="N39" s="25">
        <f t="shared" si="1"/>
        <v>1.6666666666666667</v>
      </c>
      <c r="O39" s="26">
        <f t="shared" si="2"/>
        <v>0.10502019619157531</v>
      </c>
      <c r="P39" s="26">
        <f t="shared" si="3"/>
        <v>0.31318681318681318</v>
      </c>
      <c r="Q39" s="25">
        <f t="shared" si="4"/>
        <v>16.703296703296704</v>
      </c>
      <c r="R39" s="25">
        <f t="shared" si="5"/>
        <v>53.333333333333336</v>
      </c>
      <c r="S39" s="27">
        <f t="shared" si="6"/>
        <v>2.7730263157894739</v>
      </c>
    </row>
    <row r="40" spans="1:19" ht="22.05" customHeight="1" x14ac:dyDescent="0.3">
      <c r="A40" s="22" t="s">
        <v>216</v>
      </c>
      <c r="B40" s="22">
        <v>9</v>
      </c>
      <c r="C40" s="22" t="s">
        <v>148</v>
      </c>
      <c r="D40" s="22" t="s">
        <v>69</v>
      </c>
      <c r="E40" s="22" t="s">
        <v>243</v>
      </c>
      <c r="F40" s="23">
        <v>8952</v>
      </c>
      <c r="G40" s="23">
        <v>555</v>
      </c>
      <c r="H40" s="23">
        <v>533</v>
      </c>
      <c r="I40" s="23">
        <v>96</v>
      </c>
      <c r="J40" s="23">
        <v>40</v>
      </c>
      <c r="K40" s="24">
        <v>7430</v>
      </c>
      <c r="L40" s="25">
        <f>SUMIFS(Presupuesto!$H$11:$H$53,Presupuesto!$B$11:$B$53,B40,Presupuesto!$D$11:$D$53,C40)</f>
        <v>2340</v>
      </c>
      <c r="M40" s="26">
        <f t="shared" si="0"/>
        <v>6.1997319034852547E-2</v>
      </c>
      <c r="N40" s="25">
        <f t="shared" si="1"/>
        <v>4.2162162162162158</v>
      </c>
      <c r="O40" s="26">
        <f t="shared" si="2"/>
        <v>0.1801125703564728</v>
      </c>
      <c r="P40" s="26">
        <f t="shared" si="3"/>
        <v>0.41666666666666669</v>
      </c>
      <c r="Q40" s="25">
        <f t="shared" si="4"/>
        <v>24.375</v>
      </c>
      <c r="R40" s="25">
        <f t="shared" si="5"/>
        <v>58.5</v>
      </c>
      <c r="S40" s="27">
        <f t="shared" si="6"/>
        <v>3.175213675213675</v>
      </c>
    </row>
    <row r="41" spans="1:19" ht="22.05" customHeight="1" x14ac:dyDescent="0.3">
      <c r="A41" s="22" t="s">
        <v>217</v>
      </c>
      <c r="B41" s="22">
        <v>10</v>
      </c>
      <c r="C41" s="22" t="s">
        <v>148</v>
      </c>
      <c r="D41" s="22" t="s">
        <v>69</v>
      </c>
      <c r="E41" s="22" t="s">
        <v>243</v>
      </c>
      <c r="F41" s="23">
        <v>11581</v>
      </c>
      <c r="G41" s="23">
        <v>718</v>
      </c>
      <c r="H41" s="23">
        <v>689</v>
      </c>
      <c r="I41" s="23">
        <v>124</v>
      </c>
      <c r="J41" s="23">
        <v>54</v>
      </c>
      <c r="K41" s="24">
        <v>10530</v>
      </c>
      <c r="L41" s="25">
        <f>SUMIFS(Presupuesto!$H$11:$H$53,Presupuesto!$B$11:$B$53,B41,Presupuesto!$D$11:$D$53,C41)</f>
        <v>2860</v>
      </c>
      <c r="M41" s="26">
        <f t="shared" si="0"/>
        <v>6.1998100336758483E-2</v>
      </c>
      <c r="N41" s="25">
        <f t="shared" si="1"/>
        <v>3.9832869080779942</v>
      </c>
      <c r="O41" s="26">
        <f t="shared" si="2"/>
        <v>0.17997097242380261</v>
      </c>
      <c r="P41" s="26">
        <f t="shared" si="3"/>
        <v>0.43548387096774194</v>
      </c>
      <c r="Q41" s="25">
        <f t="shared" si="4"/>
        <v>23.06451612903226</v>
      </c>
      <c r="R41" s="25">
        <f t="shared" si="5"/>
        <v>52.962962962962962</v>
      </c>
      <c r="S41" s="27">
        <f t="shared" si="6"/>
        <v>3.6818181818181817</v>
      </c>
    </row>
    <row r="42" spans="1:19" ht="22.05" customHeight="1" x14ac:dyDescent="0.3">
      <c r="A42" s="22" t="s">
        <v>216</v>
      </c>
      <c r="B42" s="22">
        <v>9</v>
      </c>
      <c r="C42" s="22" t="s">
        <v>153</v>
      </c>
      <c r="D42" s="22" t="s">
        <v>67</v>
      </c>
      <c r="E42" s="22" t="s">
        <v>245</v>
      </c>
      <c r="F42" s="23">
        <v>35368</v>
      </c>
      <c r="G42" s="23">
        <v>672</v>
      </c>
      <c r="H42" s="23">
        <v>625</v>
      </c>
      <c r="I42" s="23">
        <v>55</v>
      </c>
      <c r="J42" s="23">
        <v>17</v>
      </c>
      <c r="K42" s="24">
        <v>3000</v>
      </c>
      <c r="L42" s="25">
        <f>SUMIFS(Presupuesto!$H$11:$H$53,Presupuesto!$B$11:$B$53,B42,Presupuesto!$D$11:$D$53,C42)</f>
        <v>1090</v>
      </c>
      <c r="M42" s="26">
        <f t="shared" si="0"/>
        <v>1.9000226193168965E-2</v>
      </c>
      <c r="N42" s="25">
        <f t="shared" si="1"/>
        <v>1.6220238095238095</v>
      </c>
      <c r="O42" s="26">
        <f t="shared" si="2"/>
        <v>8.7999999999999995E-2</v>
      </c>
      <c r="P42" s="26">
        <f t="shared" si="3"/>
        <v>0.30909090909090908</v>
      </c>
      <c r="Q42" s="25">
        <f t="shared" si="4"/>
        <v>19.818181818181817</v>
      </c>
      <c r="R42" s="25">
        <f t="shared" si="5"/>
        <v>64.117647058823536</v>
      </c>
      <c r="S42" s="27">
        <f t="shared" si="6"/>
        <v>2.7522935779816513</v>
      </c>
    </row>
    <row r="43" spans="1:19" ht="22.05" customHeight="1" x14ac:dyDescent="0.3">
      <c r="A43" s="22" t="s">
        <v>217</v>
      </c>
      <c r="B43" s="22">
        <v>10</v>
      </c>
      <c r="C43" s="22" t="s">
        <v>153</v>
      </c>
      <c r="D43" s="22" t="s">
        <v>67</v>
      </c>
      <c r="E43" s="22" t="s">
        <v>245</v>
      </c>
      <c r="F43" s="23">
        <v>43053</v>
      </c>
      <c r="G43" s="23">
        <v>818</v>
      </c>
      <c r="H43" s="23">
        <v>761</v>
      </c>
      <c r="I43" s="23">
        <v>67</v>
      </c>
      <c r="J43" s="23">
        <v>21</v>
      </c>
      <c r="K43" s="24">
        <v>3890</v>
      </c>
      <c r="L43" s="25">
        <f>SUMIFS(Presupuesto!$H$11:$H$53,Presupuesto!$B$11:$B$53,B43,Presupuesto!$D$11:$D$53,C43)</f>
        <v>1250</v>
      </c>
      <c r="M43" s="26">
        <f t="shared" si="0"/>
        <v>1.8999837409704318E-2</v>
      </c>
      <c r="N43" s="25">
        <f t="shared" si="1"/>
        <v>1.5281173594132029</v>
      </c>
      <c r="O43" s="26">
        <f t="shared" si="2"/>
        <v>8.8042049934296984E-2</v>
      </c>
      <c r="P43" s="26">
        <f t="shared" si="3"/>
        <v>0.31343283582089554</v>
      </c>
      <c r="Q43" s="25">
        <f t="shared" si="4"/>
        <v>18.656716417910449</v>
      </c>
      <c r="R43" s="25">
        <f t="shared" si="5"/>
        <v>59.523809523809526</v>
      </c>
      <c r="S43" s="27">
        <f t="shared" si="6"/>
        <v>3.1120000000000001</v>
      </c>
    </row>
    <row r="44" spans="1:19" ht="22.05" customHeight="1" x14ac:dyDescent="0.3">
      <c r="A44" s="22" t="s">
        <v>218</v>
      </c>
      <c r="B44" s="22">
        <v>11</v>
      </c>
      <c r="C44" s="22" t="s">
        <v>153</v>
      </c>
      <c r="D44" s="22" t="s">
        <v>67</v>
      </c>
      <c r="E44" s="22" t="s">
        <v>245</v>
      </c>
      <c r="F44" s="23">
        <v>52737</v>
      </c>
      <c r="G44" s="23">
        <v>1002</v>
      </c>
      <c r="H44" s="23">
        <v>932</v>
      </c>
      <c r="I44" s="23">
        <v>82</v>
      </c>
      <c r="J44" s="23">
        <v>24</v>
      </c>
      <c r="K44" s="24">
        <v>4500</v>
      </c>
      <c r="L44" s="25">
        <f>SUMIFS(Presupuesto!$H$11:$H$53,Presupuesto!$B$11:$B$53,B44,Presupuesto!$D$11:$D$53,C44)</f>
        <v>1560</v>
      </c>
      <c r="M44" s="26">
        <f t="shared" si="0"/>
        <v>1.8999943113942774E-2</v>
      </c>
      <c r="N44" s="25">
        <f t="shared" si="1"/>
        <v>1.5568862275449102</v>
      </c>
      <c r="O44" s="26">
        <f t="shared" si="2"/>
        <v>8.7982832618025753E-2</v>
      </c>
      <c r="P44" s="26">
        <f t="shared" si="3"/>
        <v>0.29268292682926828</v>
      </c>
      <c r="Q44" s="25">
        <f t="shared" si="4"/>
        <v>19.024390243902438</v>
      </c>
      <c r="R44" s="25">
        <f t="shared" si="5"/>
        <v>65</v>
      </c>
      <c r="S44" s="27">
        <f t="shared" si="6"/>
        <v>2.8846153846153846</v>
      </c>
    </row>
    <row r="45" spans="1:19" ht="22.05" customHeight="1" x14ac:dyDescent="0.3">
      <c r="A45" s="22" t="s">
        <v>216</v>
      </c>
      <c r="B45" s="22">
        <v>9</v>
      </c>
      <c r="C45" s="22" t="s">
        <v>158</v>
      </c>
      <c r="D45" s="22" t="s">
        <v>56</v>
      </c>
      <c r="E45" s="22" t="s">
        <v>242</v>
      </c>
      <c r="F45" s="23">
        <v>181000</v>
      </c>
      <c r="G45" s="23">
        <v>2353</v>
      </c>
      <c r="H45" s="23">
        <v>2165</v>
      </c>
      <c r="I45" s="23">
        <v>184</v>
      </c>
      <c r="J45" s="23">
        <v>53</v>
      </c>
      <c r="K45" s="24">
        <v>8480</v>
      </c>
      <c r="L45" s="25">
        <f>SUMIFS(Presupuesto!$H$11:$H$53,Presupuesto!$B$11:$B$53,B45,Presupuesto!$D$11:$D$53,C45)</f>
        <v>3240</v>
      </c>
      <c r="M45" s="26">
        <f t="shared" si="0"/>
        <v>1.2999999999999999E-2</v>
      </c>
      <c r="N45" s="25">
        <f t="shared" si="1"/>
        <v>1.3769655758606034</v>
      </c>
      <c r="O45" s="26">
        <f t="shared" si="2"/>
        <v>8.4988452655889141E-2</v>
      </c>
      <c r="P45" s="26">
        <f t="shared" si="3"/>
        <v>0.28804347826086957</v>
      </c>
      <c r="Q45" s="25">
        <f t="shared" si="4"/>
        <v>17.608695652173914</v>
      </c>
      <c r="R45" s="25">
        <f t="shared" si="5"/>
        <v>61.132075471698116</v>
      </c>
      <c r="S45" s="27">
        <f t="shared" si="6"/>
        <v>2.617283950617284</v>
      </c>
    </row>
    <row r="46" spans="1:19" ht="22.05" customHeight="1" x14ac:dyDescent="0.3">
      <c r="A46" s="22" t="s">
        <v>217</v>
      </c>
      <c r="B46" s="22">
        <v>10</v>
      </c>
      <c r="C46" s="22" t="s">
        <v>158</v>
      </c>
      <c r="D46" s="22" t="s">
        <v>56</v>
      </c>
      <c r="E46" s="22" t="s">
        <v>242</v>
      </c>
      <c r="F46" s="23">
        <v>200692</v>
      </c>
      <c r="G46" s="23">
        <v>2609</v>
      </c>
      <c r="H46" s="23">
        <v>2400</v>
      </c>
      <c r="I46" s="23">
        <v>204</v>
      </c>
      <c r="J46" s="23">
        <v>53</v>
      </c>
      <c r="K46" s="24">
        <v>7920</v>
      </c>
      <c r="L46" s="25">
        <f>SUMIFS(Presupuesto!$H$11:$H$53,Presupuesto!$B$11:$B$53,B46,Presupuesto!$D$11:$D$53,C46)</f>
        <v>3960</v>
      </c>
      <c r="M46" s="26">
        <f t="shared" si="0"/>
        <v>1.3000019931038607E-2</v>
      </c>
      <c r="N46" s="25">
        <f t="shared" si="1"/>
        <v>1.5178229206592564</v>
      </c>
      <c r="O46" s="26">
        <f t="shared" si="2"/>
        <v>8.5000000000000006E-2</v>
      </c>
      <c r="P46" s="26">
        <f t="shared" si="3"/>
        <v>0.25980392156862747</v>
      </c>
      <c r="Q46" s="25">
        <f t="shared" si="4"/>
        <v>19.411764705882351</v>
      </c>
      <c r="R46" s="25">
        <f t="shared" si="5"/>
        <v>74.716981132075475</v>
      </c>
      <c r="S46" s="27">
        <f t="shared" si="6"/>
        <v>2</v>
      </c>
    </row>
    <row r="47" spans="1:19" ht="22.05" customHeight="1" x14ac:dyDescent="0.3">
      <c r="A47" s="22" t="s">
        <v>218</v>
      </c>
      <c r="B47" s="22">
        <v>11</v>
      </c>
      <c r="C47" s="22" t="s">
        <v>163</v>
      </c>
      <c r="D47" s="22" t="s">
        <v>65</v>
      </c>
      <c r="E47" s="22" t="s">
        <v>244</v>
      </c>
      <c r="F47" s="23">
        <v>30241</v>
      </c>
      <c r="G47" s="23">
        <v>1754</v>
      </c>
      <c r="H47" s="23">
        <v>1719</v>
      </c>
      <c r="I47" s="23">
        <v>361</v>
      </c>
      <c r="J47" s="23">
        <v>132</v>
      </c>
      <c r="K47" s="24">
        <v>20350</v>
      </c>
      <c r="L47" s="25">
        <f>SUMIFS(Presupuesto!$H$11:$H$53,Presupuesto!$B$11:$B$53,B47,Presupuesto!$D$11:$D$53,C47)</f>
        <v>2400</v>
      </c>
      <c r="M47" s="26">
        <f t="shared" si="0"/>
        <v>5.8000727489170331E-2</v>
      </c>
      <c r="N47" s="25">
        <f t="shared" si="1"/>
        <v>1.3683010262257698</v>
      </c>
      <c r="O47" s="26">
        <f t="shared" si="2"/>
        <v>0.21000581733566026</v>
      </c>
      <c r="P47" s="26">
        <f t="shared" si="3"/>
        <v>0.36565096952908588</v>
      </c>
      <c r="Q47" s="25">
        <f t="shared" si="4"/>
        <v>6.6481994459833791</v>
      </c>
      <c r="R47" s="25">
        <f t="shared" si="5"/>
        <v>18.181818181818183</v>
      </c>
      <c r="S47" s="27">
        <f t="shared" si="6"/>
        <v>8.4791666666666661</v>
      </c>
    </row>
    <row r="48" spans="1:19" ht="22.05" customHeight="1" x14ac:dyDescent="0.3">
      <c r="A48" s="22" t="s">
        <v>218</v>
      </c>
      <c r="B48" s="22">
        <v>11</v>
      </c>
      <c r="C48" s="22" t="s">
        <v>168</v>
      </c>
      <c r="D48" s="22" t="s">
        <v>59</v>
      </c>
      <c r="E48" s="22" t="s">
        <v>244</v>
      </c>
      <c r="F48" s="23">
        <v>59935</v>
      </c>
      <c r="G48" s="23">
        <v>2757</v>
      </c>
      <c r="H48" s="23">
        <v>2619</v>
      </c>
      <c r="I48" s="23">
        <v>275</v>
      </c>
      <c r="J48" s="23">
        <v>86</v>
      </c>
      <c r="K48" s="24">
        <v>15650</v>
      </c>
      <c r="L48" s="25">
        <f>SUMIFS(Presupuesto!$H$11:$H$53,Presupuesto!$B$11:$B$53,B48,Presupuesto!$D$11:$D$53,C48)</f>
        <v>3780</v>
      </c>
      <c r="M48" s="26">
        <f t="shared" si="0"/>
        <v>4.5999833152581965E-2</v>
      </c>
      <c r="N48" s="25">
        <f t="shared" si="1"/>
        <v>1.3710554951033733</v>
      </c>
      <c r="O48" s="26">
        <f t="shared" si="2"/>
        <v>0.10500190912562046</v>
      </c>
      <c r="P48" s="26">
        <f t="shared" si="3"/>
        <v>0.31272727272727274</v>
      </c>
      <c r="Q48" s="25">
        <f t="shared" si="4"/>
        <v>13.745454545454546</v>
      </c>
      <c r="R48" s="25">
        <f t="shared" si="5"/>
        <v>43.953488372093027</v>
      </c>
      <c r="S48" s="27">
        <f t="shared" si="6"/>
        <v>4.14021164021164</v>
      </c>
    </row>
    <row r="49" spans="1:19" ht="22.05" customHeight="1" x14ac:dyDescent="0.3">
      <c r="A49" s="22" t="s">
        <v>219</v>
      </c>
      <c r="B49" s="22">
        <v>12</v>
      </c>
      <c r="C49" s="22" t="s">
        <v>168</v>
      </c>
      <c r="D49" s="22" t="s">
        <v>59</v>
      </c>
      <c r="E49" s="22" t="s">
        <v>244</v>
      </c>
      <c r="F49" s="23">
        <v>78891</v>
      </c>
      <c r="G49" s="23">
        <v>3629</v>
      </c>
      <c r="H49" s="23">
        <v>3448</v>
      </c>
      <c r="I49" s="23">
        <v>362</v>
      </c>
      <c r="J49" s="23">
        <v>119</v>
      </c>
      <c r="K49" s="24">
        <v>23070</v>
      </c>
      <c r="L49" s="25">
        <f>SUMIFS(Presupuesto!$H$11:$H$53,Presupuesto!$B$11:$B$53,B49,Presupuesto!$D$11:$D$53,C49)</f>
        <v>4620</v>
      </c>
      <c r="M49" s="26">
        <f t="shared" si="0"/>
        <v>4.6000177460039801E-2</v>
      </c>
      <c r="N49" s="25">
        <f t="shared" si="1"/>
        <v>1.2730779829154037</v>
      </c>
      <c r="O49" s="26">
        <f t="shared" si="2"/>
        <v>0.10498839907192575</v>
      </c>
      <c r="P49" s="26">
        <f t="shared" si="3"/>
        <v>0.32872928176795579</v>
      </c>
      <c r="Q49" s="25">
        <f t="shared" si="4"/>
        <v>12.762430939226519</v>
      </c>
      <c r="R49" s="25">
        <f t="shared" si="5"/>
        <v>38.823529411764703</v>
      </c>
      <c r="S49" s="27">
        <f t="shared" si="6"/>
        <v>4.9935064935064934</v>
      </c>
    </row>
    <row r="50" spans="1:19" ht="22.05" customHeight="1" x14ac:dyDescent="0.3">
      <c r="A50" s="22" t="s">
        <v>217</v>
      </c>
      <c r="B50" s="22">
        <v>10</v>
      </c>
      <c r="C50" s="22" t="s">
        <v>173</v>
      </c>
      <c r="D50" s="22" t="s">
        <v>62</v>
      </c>
      <c r="E50" s="22" t="s">
        <v>243</v>
      </c>
      <c r="F50" s="23">
        <v>21059</v>
      </c>
      <c r="G50" s="23">
        <v>716</v>
      </c>
      <c r="H50" s="23">
        <v>695</v>
      </c>
      <c r="I50" s="23">
        <v>66</v>
      </c>
      <c r="J50" s="23">
        <v>20</v>
      </c>
      <c r="K50" s="24">
        <v>3260</v>
      </c>
      <c r="L50" s="25">
        <f>SUMIFS(Presupuesto!$H$11:$H$53,Presupuesto!$B$11:$B$53,B50,Presupuesto!$D$11:$D$53,C50)</f>
        <v>730</v>
      </c>
      <c r="M50" s="26">
        <f t="shared" si="0"/>
        <v>3.3999715086186426E-2</v>
      </c>
      <c r="N50" s="25">
        <f t="shared" si="1"/>
        <v>1.0195530726256983</v>
      </c>
      <c r="O50" s="26">
        <f t="shared" si="2"/>
        <v>9.4964028776978418E-2</v>
      </c>
      <c r="P50" s="26">
        <f t="shared" si="3"/>
        <v>0.30303030303030304</v>
      </c>
      <c r="Q50" s="25">
        <f t="shared" si="4"/>
        <v>11.060606060606061</v>
      </c>
      <c r="R50" s="25">
        <f t="shared" si="5"/>
        <v>36.5</v>
      </c>
      <c r="S50" s="27">
        <f t="shared" si="6"/>
        <v>4.4657534246575343</v>
      </c>
    </row>
    <row r="51" spans="1:19" ht="22.05" customHeight="1" x14ac:dyDescent="0.3">
      <c r="A51" s="22" t="s">
        <v>218</v>
      </c>
      <c r="B51" s="22">
        <v>11</v>
      </c>
      <c r="C51" s="22" t="s">
        <v>173</v>
      </c>
      <c r="D51" s="22" t="s">
        <v>62</v>
      </c>
      <c r="E51" s="22" t="s">
        <v>243</v>
      </c>
      <c r="F51" s="23">
        <v>27441</v>
      </c>
      <c r="G51" s="23">
        <v>933</v>
      </c>
      <c r="H51" s="23">
        <v>905</v>
      </c>
      <c r="I51" s="23">
        <v>86</v>
      </c>
      <c r="J51" s="23">
        <v>24</v>
      </c>
      <c r="K51" s="24">
        <v>4450</v>
      </c>
      <c r="L51" s="25">
        <f>SUMIFS(Presupuesto!$H$11:$H$53,Presupuesto!$B$11:$B$53,B51,Presupuesto!$D$11:$D$53,C51)</f>
        <v>830</v>
      </c>
      <c r="M51" s="26">
        <f t="shared" si="0"/>
        <v>3.40002186509238E-2</v>
      </c>
      <c r="N51" s="25">
        <f t="shared" si="1"/>
        <v>0.88960342979635587</v>
      </c>
      <c r="O51" s="26">
        <f t="shared" si="2"/>
        <v>9.5027624309392267E-2</v>
      </c>
      <c r="P51" s="26">
        <f t="shared" si="3"/>
        <v>0.27906976744186046</v>
      </c>
      <c r="Q51" s="25">
        <f t="shared" si="4"/>
        <v>9.6511627906976738</v>
      </c>
      <c r="R51" s="25">
        <f t="shared" si="5"/>
        <v>34.583333333333336</v>
      </c>
      <c r="S51" s="27">
        <f t="shared" si="6"/>
        <v>5.3614457831325302</v>
      </c>
    </row>
    <row r="52" spans="1:19" ht="22.05" customHeight="1" x14ac:dyDescent="0.3">
      <c r="A52" s="22" t="s">
        <v>219</v>
      </c>
      <c r="B52" s="22">
        <v>12</v>
      </c>
      <c r="C52" s="22" t="s">
        <v>173</v>
      </c>
      <c r="D52" s="22" t="s">
        <v>62</v>
      </c>
      <c r="E52" s="22" t="s">
        <v>243</v>
      </c>
      <c r="F52" s="23">
        <v>31588</v>
      </c>
      <c r="G52" s="23">
        <v>1074</v>
      </c>
      <c r="H52" s="23">
        <v>1042</v>
      </c>
      <c r="I52" s="23">
        <v>99</v>
      </c>
      <c r="J52" s="23">
        <v>29</v>
      </c>
      <c r="K52" s="24">
        <v>5100</v>
      </c>
      <c r="L52" s="25">
        <f>SUMIFS(Presupuesto!$H$11:$H$53,Presupuesto!$B$11:$B$53,B52,Presupuesto!$D$11:$D$53,C52)</f>
        <v>1040</v>
      </c>
      <c r="M52" s="26">
        <f t="shared" si="0"/>
        <v>3.4000253260731923E-2</v>
      </c>
      <c r="N52" s="25">
        <f t="shared" si="1"/>
        <v>0.96834264432029793</v>
      </c>
      <c r="O52" s="26">
        <f t="shared" si="2"/>
        <v>9.5009596928982726E-2</v>
      </c>
      <c r="P52" s="26">
        <f t="shared" si="3"/>
        <v>0.29292929292929293</v>
      </c>
      <c r="Q52" s="25">
        <f t="shared" si="4"/>
        <v>10.505050505050505</v>
      </c>
      <c r="R52" s="25">
        <f t="shared" si="5"/>
        <v>35.862068965517238</v>
      </c>
      <c r="S52" s="27">
        <f t="shared" si="6"/>
        <v>4.9038461538461542</v>
      </c>
    </row>
    <row r="53" spans="1:19" ht="22.05" customHeight="1" x14ac:dyDescent="0.3">
      <c r="A53" s="22" t="s">
        <v>219</v>
      </c>
      <c r="B53" s="22">
        <v>12</v>
      </c>
      <c r="C53" s="22" t="s">
        <v>178</v>
      </c>
      <c r="D53" s="22" t="s">
        <v>69</v>
      </c>
      <c r="E53" s="22" t="s">
        <v>243</v>
      </c>
      <c r="F53" s="23">
        <v>30339</v>
      </c>
      <c r="G53" s="23">
        <v>1881</v>
      </c>
      <c r="H53" s="23">
        <v>1806</v>
      </c>
      <c r="I53" s="23">
        <v>325</v>
      </c>
      <c r="J53" s="23">
        <v>134</v>
      </c>
      <c r="K53" s="24">
        <v>30790</v>
      </c>
      <c r="L53" s="25">
        <f>SUMIFS(Presupuesto!$H$11:$H$53,Presupuesto!$B$11:$B$53,B53,Presupuesto!$D$11:$D$53,C53)</f>
        <v>6300</v>
      </c>
      <c r="M53" s="26">
        <f t="shared" si="0"/>
        <v>6.1999406704242067E-2</v>
      </c>
      <c r="N53" s="25">
        <f t="shared" si="1"/>
        <v>3.3492822966507179</v>
      </c>
      <c r="O53" s="26">
        <f t="shared" si="2"/>
        <v>0.17995570321151716</v>
      </c>
      <c r="P53" s="26">
        <f t="shared" si="3"/>
        <v>0.41230769230769232</v>
      </c>
      <c r="Q53" s="25">
        <f t="shared" si="4"/>
        <v>19.384615384615383</v>
      </c>
      <c r="R53" s="25">
        <f t="shared" si="5"/>
        <v>47.014925373134325</v>
      </c>
      <c r="S53" s="27">
        <f t="shared" si="6"/>
        <v>4.8873015873015877</v>
      </c>
    </row>
    <row r="54" spans="1:19" ht="22.05" customHeight="1" x14ac:dyDescent="0.3"/>
    <row r="55" spans="1:19" ht="22.05" customHeight="1" x14ac:dyDescent="0.3"/>
    <row r="56" spans="1:19" ht="22.05" customHeight="1" x14ac:dyDescent="0.3"/>
    <row r="57" spans="1:19" ht="22.05" customHeight="1" x14ac:dyDescent="0.3"/>
    <row r="58" spans="1:19" ht="22.05" customHeight="1" x14ac:dyDescent="0.3"/>
    <row r="59" spans="1:19" ht="22.05" customHeight="1" x14ac:dyDescent="0.3"/>
  </sheetData>
  <mergeCells count="3">
    <mergeCell ref="AC4:AH4"/>
    <mergeCell ref="A1:AH1"/>
    <mergeCell ref="U4:Z4"/>
  </mergeCells>
  <conditionalFormatting sqref="Q11:Q53">
    <cfRule type="colorScale" priority="2">
      <colorScale>
        <cfvo type="num" val="5"/>
        <cfvo type="num" val="15"/>
        <cfvo type="num" val="30"/>
        <color rgb="FFDCFCE7"/>
        <color rgb="FFFEF3C7"/>
        <color rgb="FFFECACA"/>
      </colorScale>
    </cfRule>
  </conditionalFormatting>
  <conditionalFormatting sqref="S11:S53">
    <cfRule type="colorScale" priority="1">
      <colorScale>
        <cfvo type="num" val="0.5"/>
        <cfvo type="num" val="2.5"/>
        <cfvo type="num" val="5"/>
        <color rgb="FFFECACA"/>
        <color rgb="FFFEF3C7"/>
        <color rgb="FFDCFCE7"/>
      </colorScale>
    </cfRule>
  </conditionalFormatting>
  <pageMargins left="0.7" right="0.7" top="0.75" bottom="0.75" header="0.3" footer="0.3"/>
  <drawing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13"/>
  <sheetViews>
    <sheetView workbookViewId="0"/>
  </sheetViews>
  <sheetFormatPr baseColWidth="10" defaultColWidth="8.88671875" defaultRowHeight="14.4" x14ac:dyDescent="0.3"/>
  <sheetData>
    <row r="1" spans="1:9" x14ac:dyDescent="0.3">
      <c r="A1" t="s">
        <v>31</v>
      </c>
      <c r="B1" t="s">
        <v>78</v>
      </c>
      <c r="C1" t="s">
        <v>50</v>
      </c>
      <c r="D1" t="s">
        <v>13</v>
      </c>
      <c r="E1" t="s">
        <v>191</v>
      </c>
      <c r="F1" t="s">
        <v>50</v>
      </c>
      <c r="G1" t="s">
        <v>52</v>
      </c>
      <c r="H1" t="s">
        <v>21</v>
      </c>
      <c r="I1" t="s">
        <v>246</v>
      </c>
    </row>
    <row r="2" spans="1:9" x14ac:dyDescent="0.3">
      <c r="A2" t="s">
        <v>247</v>
      </c>
      <c r="B2" t="s">
        <v>103</v>
      </c>
      <c r="C2" t="s">
        <v>56</v>
      </c>
      <c r="D2" t="s">
        <v>14</v>
      </c>
      <c r="E2" t="s">
        <v>205</v>
      </c>
      <c r="F2" t="s">
        <v>56</v>
      </c>
      <c r="G2">
        <v>20</v>
      </c>
      <c r="H2">
        <v>2.8</v>
      </c>
      <c r="I2" t="s">
        <v>57</v>
      </c>
    </row>
    <row r="3" spans="1:9" x14ac:dyDescent="0.3">
      <c r="A3" t="s">
        <v>37</v>
      </c>
      <c r="B3" t="s">
        <v>110</v>
      </c>
      <c r="C3" t="s">
        <v>59</v>
      </c>
      <c r="D3" t="s">
        <v>109</v>
      </c>
      <c r="E3" t="s">
        <v>207</v>
      </c>
      <c r="F3" t="s">
        <v>59</v>
      </c>
      <c r="G3">
        <v>17</v>
      </c>
      <c r="H3">
        <v>3.2</v>
      </c>
      <c r="I3" t="s">
        <v>60</v>
      </c>
    </row>
    <row r="4" spans="1:9" x14ac:dyDescent="0.3">
      <c r="A4" t="s">
        <v>102</v>
      </c>
      <c r="B4" t="s">
        <v>248</v>
      </c>
      <c r="C4" t="s">
        <v>62</v>
      </c>
      <c r="D4" t="s">
        <v>40</v>
      </c>
      <c r="E4" t="s">
        <v>209</v>
      </c>
      <c r="F4" t="s">
        <v>62</v>
      </c>
      <c r="G4">
        <v>12</v>
      </c>
      <c r="H4">
        <v>4</v>
      </c>
      <c r="I4" t="s">
        <v>63</v>
      </c>
    </row>
    <row r="5" spans="1:9" x14ac:dyDescent="0.3">
      <c r="A5" t="s">
        <v>249</v>
      </c>
      <c r="C5" t="s">
        <v>65</v>
      </c>
      <c r="D5" t="s">
        <v>46</v>
      </c>
      <c r="E5" t="s">
        <v>210</v>
      </c>
      <c r="F5" t="s">
        <v>65</v>
      </c>
      <c r="G5">
        <v>8</v>
      </c>
      <c r="H5">
        <v>6</v>
      </c>
      <c r="I5" t="s">
        <v>66</v>
      </c>
    </row>
    <row r="6" spans="1:9" x14ac:dyDescent="0.3">
      <c r="C6" t="s">
        <v>67</v>
      </c>
      <c r="D6" t="s">
        <v>43</v>
      </c>
      <c r="E6" t="s">
        <v>211</v>
      </c>
      <c r="F6" t="s">
        <v>67</v>
      </c>
      <c r="G6">
        <v>22</v>
      </c>
      <c r="H6">
        <v>2.6</v>
      </c>
      <c r="I6" t="s">
        <v>68</v>
      </c>
    </row>
    <row r="7" spans="1:9" x14ac:dyDescent="0.3">
      <c r="C7" t="s">
        <v>69</v>
      </c>
      <c r="E7" t="s">
        <v>212</v>
      </c>
      <c r="F7" t="s">
        <v>69</v>
      </c>
      <c r="G7">
        <v>27</v>
      </c>
      <c r="H7">
        <v>2.2999999999999998</v>
      </c>
      <c r="I7" t="s">
        <v>70</v>
      </c>
    </row>
    <row r="8" spans="1:9" x14ac:dyDescent="0.3">
      <c r="E8" t="s">
        <v>213</v>
      </c>
    </row>
    <row r="9" spans="1:9" x14ac:dyDescent="0.3">
      <c r="E9" t="s">
        <v>215</v>
      </c>
    </row>
    <row r="10" spans="1:9" x14ac:dyDescent="0.3">
      <c r="E10" t="s">
        <v>216</v>
      </c>
    </row>
    <row r="11" spans="1:9" x14ac:dyDescent="0.3">
      <c r="E11" t="s">
        <v>217</v>
      </c>
    </row>
    <row r="12" spans="1:9" x14ac:dyDescent="0.3">
      <c r="E12" t="s">
        <v>218</v>
      </c>
    </row>
    <row r="13" spans="1:9" x14ac:dyDescent="0.3">
      <c r="E13" t="s">
        <v>219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5</vt:i4>
      </vt:variant>
    </vt:vector>
  </HeadingPairs>
  <TitlesOfParts>
    <vt:vector size="5" baseType="lpstr">
      <vt:lpstr>Resumen</vt:lpstr>
      <vt:lpstr>Plan_Anual</vt:lpstr>
      <vt:lpstr>Presupuesto</vt:lpstr>
      <vt:lpstr>KPIs</vt:lpstr>
      <vt:lpstr>Listas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modified xsi:type="dcterms:W3CDTF">2026-04-11T08:20:22Z</dcterms:modified>
</cp:coreProperties>
</file>