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documento de pedido\"/>
    </mc:Choice>
  </mc:AlternateContent>
  <xr:revisionPtr revIDLastSave="0" documentId="8_{8B73560C-4F1F-42D8-80C3-3B5D220E8C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dido" sheetId="1" r:id="rId1"/>
    <sheet name="Datos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6" i="1" l="1"/>
  <c r="F46" i="1"/>
  <c r="M42" i="1"/>
  <c r="N41" i="1"/>
  <c r="N42" i="1" s="1"/>
  <c r="L36" i="1"/>
  <c r="K36" i="1"/>
  <c r="J36" i="1"/>
  <c r="I36" i="1"/>
  <c r="G36" i="1"/>
  <c r="F36" i="1"/>
  <c r="D36" i="1"/>
  <c r="C36" i="1"/>
  <c r="A36" i="1"/>
  <c r="L35" i="1"/>
  <c r="K35" i="1"/>
  <c r="J35" i="1"/>
  <c r="I35" i="1"/>
  <c r="G35" i="1"/>
  <c r="F35" i="1"/>
  <c r="D35" i="1"/>
  <c r="C35" i="1"/>
  <c r="A35" i="1"/>
  <c r="L34" i="1"/>
  <c r="K34" i="1"/>
  <c r="J34" i="1"/>
  <c r="I34" i="1"/>
  <c r="G34" i="1"/>
  <c r="F34" i="1"/>
  <c r="D34" i="1"/>
  <c r="C34" i="1"/>
  <c r="A34" i="1"/>
  <c r="L33" i="1"/>
  <c r="K33" i="1"/>
  <c r="J33" i="1"/>
  <c r="I33" i="1"/>
  <c r="G33" i="1"/>
  <c r="F33" i="1"/>
  <c r="D33" i="1"/>
  <c r="C33" i="1"/>
  <c r="A33" i="1"/>
  <c r="L32" i="1"/>
  <c r="K32" i="1"/>
  <c r="J32" i="1"/>
  <c r="I32" i="1"/>
  <c r="G32" i="1"/>
  <c r="F32" i="1"/>
  <c r="D32" i="1"/>
  <c r="C32" i="1"/>
  <c r="A32" i="1"/>
  <c r="L31" i="1"/>
  <c r="K31" i="1"/>
  <c r="J31" i="1"/>
  <c r="I31" i="1"/>
  <c r="G31" i="1"/>
  <c r="F31" i="1"/>
  <c r="D31" i="1"/>
  <c r="C31" i="1"/>
  <c r="A31" i="1"/>
  <c r="L30" i="1"/>
  <c r="K30" i="1"/>
  <c r="J30" i="1"/>
  <c r="I30" i="1"/>
  <c r="G30" i="1"/>
  <c r="F30" i="1"/>
  <c r="D30" i="1"/>
  <c r="C30" i="1"/>
  <c r="A30" i="1"/>
  <c r="L29" i="1"/>
  <c r="K29" i="1"/>
  <c r="J29" i="1"/>
  <c r="I29" i="1"/>
  <c r="G29" i="1"/>
  <c r="F29" i="1"/>
  <c r="D29" i="1"/>
  <c r="C29" i="1"/>
  <c r="A29" i="1"/>
  <c r="L28" i="1"/>
  <c r="K28" i="1"/>
  <c r="J28" i="1"/>
  <c r="I28" i="1"/>
  <c r="G28" i="1"/>
  <c r="F28" i="1"/>
  <c r="D28" i="1"/>
  <c r="C28" i="1"/>
  <c r="A28" i="1"/>
  <c r="L27" i="1"/>
  <c r="K27" i="1"/>
  <c r="J27" i="1"/>
  <c r="I27" i="1"/>
  <c r="G27" i="1"/>
  <c r="F27" i="1"/>
  <c r="D27" i="1"/>
  <c r="C27" i="1"/>
  <c r="A27" i="1"/>
  <c r="I26" i="1"/>
  <c r="G26" i="1"/>
  <c r="J26" i="1" s="1"/>
  <c r="F26" i="1"/>
  <c r="D26" i="1"/>
  <c r="C26" i="1"/>
  <c r="A26" i="1"/>
  <c r="I25" i="1"/>
  <c r="G25" i="1"/>
  <c r="J25" i="1" s="1"/>
  <c r="F25" i="1"/>
  <c r="D25" i="1"/>
  <c r="C25" i="1"/>
  <c r="A25" i="1"/>
  <c r="I24" i="1"/>
  <c r="G24" i="1"/>
  <c r="J24" i="1" s="1"/>
  <c r="F24" i="1"/>
  <c r="D24" i="1"/>
  <c r="C24" i="1"/>
  <c r="A24" i="1"/>
  <c r="I23" i="1"/>
  <c r="G23" i="1"/>
  <c r="J23" i="1" s="1"/>
  <c r="F23" i="1"/>
  <c r="D23" i="1"/>
  <c r="C23" i="1"/>
  <c r="A23" i="1"/>
  <c r="K22" i="1"/>
  <c r="J22" i="1"/>
  <c r="L22" i="1" s="1"/>
  <c r="I22" i="1"/>
  <c r="G22" i="1"/>
  <c r="F22" i="1"/>
  <c r="D22" i="1"/>
  <c r="C22" i="1"/>
  <c r="A22" i="1"/>
  <c r="I21" i="1"/>
  <c r="G21" i="1"/>
  <c r="J21" i="1" s="1"/>
  <c r="F21" i="1"/>
  <c r="D21" i="1"/>
  <c r="C21" i="1"/>
  <c r="A21" i="1"/>
  <c r="H12" i="1"/>
  <c r="H11" i="1"/>
  <c r="H10" i="1"/>
  <c r="H9" i="1"/>
  <c r="H8" i="1"/>
  <c r="H7" i="1"/>
  <c r="K5" i="1"/>
  <c r="K4" i="1"/>
  <c r="K3" i="1" s="1"/>
  <c r="K23" i="1" l="1"/>
  <c r="L23" i="1" s="1"/>
  <c r="N39" i="1"/>
  <c r="K21" i="1"/>
  <c r="N43" i="1" s="1"/>
  <c r="N44" i="1" s="1"/>
  <c r="K24" i="1"/>
  <c r="L24" i="1" s="1"/>
  <c r="K26" i="1"/>
  <c r="L26" i="1" s="1"/>
  <c r="K25" i="1"/>
  <c r="L25" i="1" s="1"/>
  <c r="N40" i="1" l="1"/>
  <c r="N45" i="1" s="1"/>
  <c r="N47" i="1" s="1"/>
  <c r="L21" i="1"/>
</calcChain>
</file>

<file path=xl/sharedStrings.xml><?xml version="1.0" encoding="utf-8"?>
<sst xmlns="http://schemas.openxmlformats.org/spreadsheetml/2006/main" count="241" uniqueCount="188">
  <si>
    <t>DOCUMENTO DE PEDIDO</t>
  </si>
  <si>
    <t>Pedido a proveedor / orden de compra con cálculo automático de importes, IVA, descuento y envío</t>
  </si>
  <si>
    <t>Nº de pedido</t>
  </si>
  <si>
    <t>Fecha pedido</t>
  </si>
  <si>
    <t>Empresa solicitante</t>
  </si>
  <si>
    <t>Proveedor</t>
  </si>
  <si>
    <t>Entrega prevista</t>
  </si>
  <si>
    <t>Nombre</t>
  </si>
  <si>
    <t>Bruma Norte S.L.</t>
  </si>
  <si>
    <t>Seleccionar proveedor</t>
  </si>
  <si>
    <t>Nova Suministros Profesionales S.L.</t>
  </si>
  <si>
    <t>Estado</t>
  </si>
  <si>
    <t>Borrador</t>
  </si>
  <si>
    <t>CIF/NIF</t>
  </si>
  <si>
    <t>B41826593</t>
  </si>
  <si>
    <t>Prioridad</t>
  </si>
  <si>
    <t>Normal</t>
  </si>
  <si>
    <t>Dirección</t>
  </si>
  <si>
    <t>Calle Ladera 16, 33009 Oviedo</t>
  </si>
  <si>
    <t>Moneda</t>
  </si>
  <si>
    <t>EUR</t>
  </si>
  <si>
    <t>Contacto</t>
  </si>
  <si>
    <t>Elena Ramos</t>
  </si>
  <si>
    <t>Email</t>
  </si>
  <si>
    <t>compras@brumanorte.example</t>
  </si>
  <si>
    <t>Teléfono</t>
  </si>
  <si>
    <t>+34 984 115 207</t>
  </si>
  <si>
    <t>Proyecto / centro de coste</t>
  </si>
  <si>
    <t>Acondicionamiento oficinas 2026</t>
  </si>
  <si>
    <t>Condiciones pago</t>
  </si>
  <si>
    <t>Entrega, pago e instrucciones</t>
  </si>
  <si>
    <t>Entrega</t>
  </si>
  <si>
    <t>Av. del Taller 5, nave 2, 33011 Oviedo</t>
  </si>
  <si>
    <t>Envío</t>
  </si>
  <si>
    <t>Entrega programada</t>
  </si>
  <si>
    <t>Pago</t>
  </si>
  <si>
    <t>Transferencia</t>
  </si>
  <si>
    <t>Notas envío</t>
  </si>
  <si>
    <t>Entregar en recepción entre las 9:00 y las 13:00. Avisar al contacto de compras antes de la salida del almacén.</t>
  </si>
  <si>
    <t>Línea</t>
  </si>
  <si>
    <t>Código</t>
  </si>
  <si>
    <t>Categoría</t>
  </si>
  <si>
    <t>Descripción</t>
  </si>
  <si>
    <t>Cantidad</t>
  </si>
  <si>
    <t>Unidad</t>
  </si>
  <si>
    <t>Precio unit.</t>
  </si>
  <si>
    <t>Dto. línea</t>
  </si>
  <si>
    <t>IVA</t>
  </si>
  <si>
    <t>Importe neto</t>
  </si>
  <si>
    <t>IVA línea</t>
  </si>
  <si>
    <t>Total línea</t>
  </si>
  <si>
    <t>Fecha necesaria</t>
  </si>
  <si>
    <t>Estado línea</t>
  </si>
  <si>
    <t>OFI-001</t>
  </si>
  <si>
    <t>Solicitado</t>
  </si>
  <si>
    <t>TEC-001</t>
  </si>
  <si>
    <t>OFI-003</t>
  </si>
  <si>
    <t>MNT-001</t>
  </si>
  <si>
    <t>Pendiente</t>
  </si>
  <si>
    <t>SEG-001</t>
  </si>
  <si>
    <t>LOG-001</t>
  </si>
  <si>
    <t>Notas internas y aprobación</t>
  </si>
  <si>
    <t>Resumen económico</t>
  </si>
  <si>
    <t>Notas del pedido</t>
  </si>
  <si>
    <t>Confirmar disponibilidad antes de aprobar el pedido si algún artículo supera el plazo habitual.</t>
  </si>
  <si>
    <t>Subtotal neto líneas</t>
  </si>
  <si>
    <t>Solicitado por</t>
  </si>
  <si>
    <t>Descuento global</t>
  </si>
  <si>
    <t>Revisado por</t>
  </si>
  <si>
    <t>Gastos de envío</t>
  </si>
  <si>
    <t>Aprobado por</t>
  </si>
  <si>
    <t>IVA envío</t>
  </si>
  <si>
    <t>Firma / aceptación</t>
  </si>
  <si>
    <t>IVA líneas ajustado</t>
  </si>
  <si>
    <t>Total IVA</t>
  </si>
  <si>
    <t>TOTAL PEDIDO</t>
  </si>
  <si>
    <t>Celdas amarillas = datos editables. Celdas grises = autocompletadas por fórmula.</t>
  </si>
  <si>
    <t>Anticipo / pago a cuenta</t>
  </si>
  <si>
    <t>PENDIENTE DE PAGO</t>
  </si>
  <si>
    <t>Datos editables para el documento de pedido</t>
  </si>
  <si>
    <t>Actualiza proveedores, catálogo y opciones. La hoja Pedido toma de aquí los desplegables y autocompleta datos.</t>
  </si>
  <si>
    <t>Catálogo</t>
  </si>
  <si>
    <t>Proveedores</t>
  </si>
  <si>
    <t>Opciones desplegables</t>
  </si>
  <si>
    <t>Precio unitario</t>
  </si>
  <si>
    <t>Observaciones</t>
  </si>
  <si>
    <t>Condiciones de pago</t>
  </si>
  <si>
    <t>Estado pedido</t>
  </si>
  <si>
    <t>Método envío</t>
  </si>
  <si>
    <t>Forma de pago</t>
  </si>
  <si>
    <t>Papel reciclado A4 80 g</t>
  </si>
  <si>
    <t>Material oficina</t>
  </si>
  <si>
    <t>paquete</t>
  </si>
  <si>
    <t>Paquete de 500 hojas</t>
  </si>
  <si>
    <t>B72841936</t>
  </si>
  <si>
    <t>Laura Méndez</t>
  </si>
  <si>
    <t>pedidos@novasuministros.example</t>
  </si>
  <si>
    <t>+34 910 245 118</t>
  </si>
  <si>
    <t>Calle del Roble 18, 28045 Madrid</t>
  </si>
  <si>
    <t>30 días fecha factura</t>
  </si>
  <si>
    <t>Proveedor principal de oficina</t>
  </si>
  <si>
    <t>Recogida en proveedor</t>
  </si>
  <si>
    <t>OFI-002</t>
  </si>
  <si>
    <t>Cuadernos corporativos A5</t>
  </si>
  <si>
    <t>unidad</t>
  </si>
  <si>
    <t>Tapa blanda, 80 hojas</t>
  </si>
  <si>
    <t>Arco Norte Servicios Integrales S.L.</t>
  </si>
  <si>
    <t>B60481275</t>
  </si>
  <si>
    <t>Héctor Vidal</t>
  </si>
  <si>
    <t>compras@arconorte.example</t>
  </si>
  <si>
    <t>+34 944 110 782</t>
  </si>
  <si>
    <t>Av. de la Industria 7, 48004 Bilbao</t>
  </si>
  <si>
    <t>Transferencia 15 días</t>
  </si>
  <si>
    <t>Servicios de mantenimiento</t>
  </si>
  <si>
    <t>Pendiente aprobación</t>
  </si>
  <si>
    <t>Alta</t>
  </si>
  <si>
    <t>Mensajería estándar</t>
  </si>
  <si>
    <t>Tarjeta empresa</t>
  </si>
  <si>
    <t>USD</t>
  </si>
  <si>
    <t>Bolígrafos tinta gel azul</t>
  </si>
  <si>
    <t>caja</t>
  </si>
  <si>
    <t>Caja de 12 unidades</t>
  </si>
  <si>
    <t>Mistral Equipamiento S.L.</t>
  </si>
  <si>
    <t>B19384720</t>
  </si>
  <si>
    <t>Nerea Solís</t>
  </si>
  <si>
    <t>ventas@mistraleq.example</t>
  </si>
  <si>
    <t>+34 963 781 204</t>
  </si>
  <si>
    <t>Carrer de la Nau 21, 46003 Valencia</t>
  </si>
  <si>
    <t>50% anticipo / 50% entrega</t>
  </si>
  <si>
    <t>Equipamiento y mobiliario</t>
  </si>
  <si>
    <t>Aprobado</t>
  </si>
  <si>
    <t>Urgente</t>
  </si>
  <si>
    <t>Mensajería urgente</t>
  </si>
  <si>
    <t>Domiciliación</t>
  </si>
  <si>
    <t>GBP</t>
  </si>
  <si>
    <t>Recibido</t>
  </si>
  <si>
    <t>Soporte ajustable para portátil</t>
  </si>
  <si>
    <t>Equipamiento</t>
  </si>
  <si>
    <t>Aluminio, altura regulable</t>
  </si>
  <si>
    <t>Dalia Logística Urbana S.L.</t>
  </si>
  <si>
    <t>B85903741</t>
  </si>
  <si>
    <t>Mario León</t>
  </si>
  <si>
    <t>operaciones@dalialogistica.example</t>
  </si>
  <si>
    <t>+34 931 472 606</t>
  </si>
  <si>
    <t>Passeig del Parc 44, 08018 Barcelona</t>
  </si>
  <si>
    <t>Contado</t>
  </si>
  <si>
    <t>Mensajería y logística</t>
  </si>
  <si>
    <t>Enviado a proveedor</t>
  </si>
  <si>
    <t>Baja</t>
  </si>
  <si>
    <t>MXN</t>
  </si>
  <si>
    <t>Sustituido</t>
  </si>
  <si>
    <t>TEC-002</t>
  </si>
  <si>
    <t>Base múltiple con protección</t>
  </si>
  <si>
    <t>6 tomas y cable de 1,5 m</t>
  </si>
  <si>
    <t>Recibido parcial</t>
  </si>
  <si>
    <t>Transporte proveedor</t>
  </si>
  <si>
    <t>Según contrato</t>
  </si>
  <si>
    <t>Cancelado</t>
  </si>
  <si>
    <t>Revisión mensual de impresora</t>
  </si>
  <si>
    <t>Servicio</t>
  </si>
  <si>
    <t>servicio</t>
  </si>
  <si>
    <t>Incluye limpieza y pruebas</t>
  </si>
  <si>
    <t>Recibido completo</t>
  </si>
  <si>
    <t>Envío urbano programado</t>
  </si>
  <si>
    <t>Logística</t>
  </si>
  <si>
    <t>Entrega en franja horaria</t>
  </si>
  <si>
    <t>Señalética interior de evacuación</t>
  </si>
  <si>
    <t>Seguridad</t>
  </si>
  <si>
    <t>Vinilo adhesivo</t>
  </si>
  <si>
    <t>CAF-001</t>
  </si>
  <si>
    <t>Café molido oficina 1 kg</t>
  </si>
  <si>
    <t>Consumibles</t>
  </si>
  <si>
    <t>Tueste natural</t>
  </si>
  <si>
    <t>LIM-001</t>
  </si>
  <si>
    <t>Kit limpieza zonas comunes</t>
  </si>
  <si>
    <t>Limpieza</t>
  </si>
  <si>
    <t>kit</t>
  </si>
  <si>
    <t>Paños, spray y guantes</t>
  </si>
  <si>
    <t>IMP-001</t>
  </si>
  <si>
    <t>Tóner compatible negro</t>
  </si>
  <si>
    <t>Rendimiento medio</t>
  </si>
  <si>
    <t>MOB-001</t>
  </si>
  <si>
    <t>Organizador de escritorio modular</t>
  </si>
  <si>
    <t>Bambú y metal</t>
  </si>
  <si>
    <t>Secuencia pedido</t>
  </si>
  <si>
    <t>Código empresa</t>
  </si>
  <si>
    <t>BN</t>
  </si>
  <si>
    <t>IVA gastos de envío por defecto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</si>
</sst>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14">
    <font>
      <sz val="11"/>
      <name val="Carlito"/>
    </font>
    <font>
      <b/>
      <sz val="11"/>
      <color rgb="FF233238"/>
      <name val="Calibri"/>
    </font>
    <font>
      <b/>
      <sz val="16"/>
      <color rgb="FF233238"/>
      <name val="Calibri"/>
    </font>
    <font>
      <sz val="10"/>
      <color rgb="FF607178"/>
      <name val="Calibri"/>
    </font>
    <font>
      <b/>
      <sz val="11"/>
      <color rgb="FF233238"/>
      <name val="Carlito"/>
    </font>
    <font>
      <b/>
      <sz val="11"/>
      <color rgb="FFFFFFFF"/>
      <name val="Carlito"/>
    </font>
    <font>
      <sz val="10"/>
      <color rgb="FF233238"/>
      <name val="Calibri"/>
    </font>
    <font>
      <sz val="10"/>
      <color rgb="FF607178"/>
      <name val="Calibri"/>
    </font>
    <font>
      <b/>
      <sz val="10"/>
      <color rgb="FF233238"/>
      <name val="Calibri"/>
    </font>
    <font>
      <b/>
      <sz val="10"/>
      <color rgb="FFFFFFFF"/>
      <name val="Calibri"/>
    </font>
    <font>
      <b/>
      <sz val="12"/>
      <color rgb="FF244A52"/>
      <name val="Calibri"/>
    </font>
    <font>
      <sz val="9"/>
      <color rgb="FF607178"/>
      <name val="Calibri"/>
    </font>
    <font>
      <sz val="11"/>
      <name val="Carlito"/>
    </font>
    <font>
      <b/>
      <sz val="25"/>
      <color rgb="FF244A52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EAF4F4"/>
      </patternFill>
    </fill>
    <fill>
      <patternFill patternType="solid">
        <fgColor rgb="FFE6F0FF"/>
      </patternFill>
    </fill>
    <fill>
      <patternFill patternType="solid">
        <fgColor rgb="FF3E7C7C"/>
      </patternFill>
    </fill>
    <fill>
      <patternFill patternType="solid">
        <fgColor rgb="FFF2F0FF"/>
      </patternFill>
    </fill>
    <fill>
      <patternFill patternType="solid">
        <fgColor rgb="FFFFF8E7"/>
      </patternFill>
    </fill>
    <fill>
      <patternFill patternType="solid">
        <fgColor rgb="FFF1F5F9"/>
      </patternFill>
    </fill>
    <fill>
      <patternFill patternType="solid">
        <fgColor rgb="FFF4F6F8"/>
      </patternFill>
    </fill>
    <fill>
      <patternFill patternType="solid">
        <fgColor rgb="FFDCEFEA"/>
      </patternFill>
    </fill>
  </fills>
  <borders count="16">
    <border>
      <left/>
      <right/>
      <top/>
      <bottom/>
      <diagonal/>
    </border>
    <border>
      <left style="thin">
        <color rgb="FFD7DEE2"/>
      </left>
      <right style="thin">
        <color rgb="FFD7DEE2"/>
      </right>
      <top style="thin">
        <color rgb="FFD7DEE2"/>
      </top>
      <bottom style="thin">
        <color rgb="FFD7DEE2"/>
      </bottom>
      <diagonal/>
    </border>
    <border>
      <left style="thin">
        <color rgb="FFD7DEE2"/>
      </left>
      <right/>
      <top style="thin">
        <color rgb="FFD7DEE2"/>
      </top>
      <bottom style="thin">
        <color rgb="FFD7DEE2"/>
      </bottom>
      <diagonal/>
    </border>
    <border>
      <left/>
      <right/>
      <top style="thin">
        <color rgb="FFD7DEE2"/>
      </top>
      <bottom style="thin">
        <color rgb="FFD7DEE2"/>
      </bottom>
      <diagonal/>
    </border>
    <border>
      <left style="thin">
        <color rgb="FFCBD5DC"/>
      </left>
      <right/>
      <top style="thin">
        <color rgb="FFCBD5DC"/>
      </top>
      <bottom/>
      <diagonal/>
    </border>
    <border>
      <left/>
      <right/>
      <top style="thin">
        <color rgb="FFCBD5DC"/>
      </top>
      <bottom/>
      <diagonal/>
    </border>
    <border>
      <left/>
      <right style="thin">
        <color rgb="FFCBD5DC"/>
      </right>
      <top style="thin">
        <color rgb="FFCBD5DC"/>
      </top>
      <bottom/>
      <diagonal/>
    </border>
    <border>
      <left style="thin">
        <color rgb="FFCBD5DC"/>
      </left>
      <right/>
      <top/>
      <bottom/>
      <diagonal/>
    </border>
    <border>
      <left/>
      <right style="thin">
        <color rgb="FFCBD5DC"/>
      </right>
      <top/>
      <bottom/>
      <diagonal/>
    </border>
    <border>
      <left/>
      <right style="thin">
        <color rgb="FFCBD5DC"/>
      </right>
      <top style="thin">
        <color rgb="FFD7DEE2"/>
      </top>
      <bottom style="thin">
        <color rgb="FFD7DEE2"/>
      </bottom>
      <diagonal/>
    </border>
    <border>
      <left style="thin">
        <color rgb="FFCBD5DC"/>
      </left>
      <right style="thin">
        <color rgb="FFD7DEE2"/>
      </right>
      <top style="thin">
        <color rgb="FFD7DEE2"/>
      </top>
      <bottom style="thin">
        <color rgb="FFD7DEE2"/>
      </bottom>
      <diagonal/>
    </border>
    <border>
      <left style="thin">
        <color rgb="FFD7DEE2"/>
      </left>
      <right style="thin">
        <color rgb="FFCBD5DC"/>
      </right>
      <top style="thin">
        <color rgb="FFD7DEE2"/>
      </top>
      <bottom style="thin">
        <color rgb="FFD7DEE2"/>
      </bottom>
      <diagonal/>
    </border>
    <border>
      <left style="thin">
        <color rgb="FFCBD5DC"/>
      </left>
      <right/>
      <top/>
      <bottom style="thin">
        <color rgb="FFCBD5DC"/>
      </bottom>
      <diagonal/>
    </border>
    <border>
      <left/>
      <right/>
      <top/>
      <bottom style="thin">
        <color rgb="FFCBD5DC"/>
      </bottom>
      <diagonal/>
    </border>
    <border>
      <left style="thin">
        <color rgb="FFD7DEE2"/>
      </left>
      <right style="thin">
        <color rgb="FFD7DEE2"/>
      </right>
      <top style="thin">
        <color rgb="FFD7DEE2"/>
      </top>
      <bottom style="thin">
        <color rgb="FFCBD5DC"/>
      </bottom>
      <diagonal/>
    </border>
    <border>
      <left style="thin">
        <color rgb="FFD7DEE2"/>
      </left>
      <right style="thin">
        <color rgb="FFCBD5DC"/>
      </right>
      <top style="thin">
        <color rgb="FFD7DEE2"/>
      </top>
      <bottom style="thin">
        <color rgb="FFCBD5DC"/>
      </bottom>
      <diagonal/>
    </border>
  </borders>
  <cellStyleXfs count="2">
    <xf numFmtId="0" fontId="0" fillId="0" borderId="0"/>
    <xf numFmtId="0" fontId="12" fillId="0" borderId="0"/>
  </cellStyleXfs>
  <cellXfs count="87">
    <xf numFmtId="0" fontId="0" fillId="0" borderId="0" xfId="0"/>
    <xf numFmtId="0" fontId="0" fillId="0" borderId="1" xfId="1" applyFont="1" applyBorder="1"/>
    <xf numFmtId="0" fontId="5" fillId="4" borderId="1" xfId="1" applyFont="1" applyFill="1" applyBorder="1" applyAlignment="1">
      <alignment horizontal="center"/>
    </xf>
    <xf numFmtId="0" fontId="6" fillId="0" borderId="1" xfId="1" applyFont="1" applyBorder="1" applyAlignment="1">
      <alignment vertical="center"/>
    </xf>
    <xf numFmtId="164" fontId="6" fillId="0" borderId="1" xfId="1" applyNumberFormat="1" applyFont="1" applyBorder="1" applyAlignment="1">
      <alignment vertical="center"/>
    </xf>
    <xf numFmtId="9" fontId="6" fillId="0" borderId="1" xfId="1" applyNumberFormat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4" fillId="2" borderId="1" xfId="1" applyFont="1" applyFill="1" applyBorder="1"/>
    <xf numFmtId="0" fontId="0" fillId="6" borderId="1" xfId="1" applyFont="1" applyFill="1" applyBorder="1"/>
    <xf numFmtId="9" fontId="0" fillId="6" borderId="1" xfId="1" applyNumberFormat="1" applyFont="1" applyFill="1" applyBorder="1"/>
    <xf numFmtId="0" fontId="6" fillId="0" borderId="0" xfId="1" applyFont="1" applyAlignment="1">
      <alignment vertical="center"/>
    </xf>
    <xf numFmtId="0" fontId="9" fillId="4" borderId="0" xfId="1" applyFont="1" applyFill="1" applyAlignment="1">
      <alignment vertical="center"/>
    </xf>
    <xf numFmtId="0" fontId="8" fillId="7" borderId="1" xfId="1" applyFont="1" applyFill="1" applyBorder="1" applyAlignment="1">
      <alignment horizontal="right" vertical="center"/>
    </xf>
    <xf numFmtId="0" fontId="6" fillId="6" borderId="1" xfId="1" applyFont="1" applyFill="1" applyBorder="1" applyAlignment="1">
      <alignment vertical="center"/>
    </xf>
    <xf numFmtId="0" fontId="6" fillId="8" borderId="1" xfId="1" applyFont="1" applyFill="1" applyBorder="1" applyAlignment="1">
      <alignment vertical="center"/>
    </xf>
    <xf numFmtId="0" fontId="6" fillId="8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164" fontId="6" fillId="8" borderId="1" xfId="1" applyNumberFormat="1" applyFont="1" applyFill="1" applyBorder="1" applyAlignment="1">
      <alignment vertical="center"/>
    </xf>
    <xf numFmtId="9" fontId="6" fillId="6" borderId="1" xfId="1" applyNumberFormat="1" applyFont="1" applyFill="1" applyBorder="1" applyAlignment="1">
      <alignment vertical="center"/>
    </xf>
    <xf numFmtId="0" fontId="6" fillId="8" borderId="1" xfId="1" applyFont="1" applyFill="1" applyBorder="1" applyAlignment="1">
      <alignment horizontal="center" vertical="center"/>
    </xf>
    <xf numFmtId="4" fontId="6" fillId="6" borderId="1" xfId="1" applyNumberFormat="1" applyFont="1" applyFill="1" applyBorder="1" applyAlignment="1">
      <alignment horizontal="center" vertical="center"/>
    </xf>
    <xf numFmtId="9" fontId="6" fillId="6" borderId="1" xfId="1" applyNumberFormat="1" applyFont="1" applyFill="1" applyBorder="1" applyAlignment="1">
      <alignment horizontal="center" vertical="center"/>
    </xf>
    <xf numFmtId="9" fontId="6" fillId="8" borderId="1" xfId="1" applyNumberFormat="1" applyFont="1" applyFill="1" applyBorder="1" applyAlignment="1">
      <alignment horizontal="center" vertical="center"/>
    </xf>
    <xf numFmtId="14" fontId="6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vertical="center"/>
    </xf>
    <xf numFmtId="164" fontId="10" fillId="9" borderId="1" xfId="1" applyNumberFormat="1" applyFont="1" applyFill="1" applyBorder="1" applyAlignment="1">
      <alignment vertical="center"/>
    </xf>
    <xf numFmtId="0" fontId="6" fillId="0" borderId="5" xfId="1" applyFont="1" applyBorder="1" applyAlignment="1">
      <alignment vertical="center"/>
    </xf>
    <xf numFmtId="0" fontId="6" fillId="0" borderId="6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7" xfId="1" applyFont="1" applyBorder="1" applyAlignment="1">
      <alignment vertical="center"/>
    </xf>
    <xf numFmtId="0" fontId="8" fillId="7" borderId="10" xfId="1" applyFont="1" applyFill="1" applyBorder="1" applyAlignment="1">
      <alignment horizontal="right" vertical="center"/>
    </xf>
    <xf numFmtId="0" fontId="6" fillId="8" borderId="10" xfId="1" applyFont="1" applyFill="1" applyBorder="1" applyAlignment="1">
      <alignment horizontal="center" vertical="center"/>
    </xf>
    <xf numFmtId="0" fontId="6" fillId="6" borderId="11" xfId="1" applyFont="1" applyFill="1" applyBorder="1" applyAlignment="1">
      <alignment horizontal="center" vertical="center"/>
    </xf>
    <xf numFmtId="164" fontId="6" fillId="8" borderId="11" xfId="1" applyNumberFormat="1" applyFont="1" applyFill="1" applyBorder="1" applyAlignment="1">
      <alignment vertical="center"/>
    </xf>
    <xf numFmtId="164" fontId="10" fillId="9" borderId="11" xfId="1" applyNumberFormat="1" applyFont="1" applyFill="1" applyBorder="1" applyAlignment="1">
      <alignment vertical="center"/>
    </xf>
    <xf numFmtId="0" fontId="6" fillId="0" borderId="13" xfId="1" applyFont="1" applyBorder="1" applyAlignment="1">
      <alignment vertical="center"/>
    </xf>
    <xf numFmtId="164" fontId="10" fillId="2" borderId="14" xfId="1" applyNumberFormat="1" applyFont="1" applyFill="1" applyBorder="1" applyAlignment="1">
      <alignment vertical="center"/>
    </xf>
    <xf numFmtId="164" fontId="10" fillId="2" borderId="15" xfId="1" applyNumberFormat="1" applyFont="1" applyFill="1" applyBorder="1" applyAlignment="1">
      <alignment vertical="center"/>
    </xf>
    <xf numFmtId="0" fontId="9" fillId="4" borderId="10" xfId="1" applyFont="1" applyFill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/>
    </xf>
    <xf numFmtId="0" fontId="9" fillId="4" borderId="11" xfId="1" applyFont="1" applyFill="1" applyBorder="1" applyAlignment="1">
      <alignment horizontal="center" vertical="center"/>
    </xf>
    <xf numFmtId="0" fontId="7" fillId="0" borderId="7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8" fillId="7" borderId="0" xfId="1" applyFont="1" applyFill="1" applyAlignment="1">
      <alignment horizontal="right" vertical="center"/>
    </xf>
    <xf numFmtId="0" fontId="6" fillId="8" borderId="2" xfId="1" applyFont="1" applyFill="1" applyBorder="1" applyAlignment="1">
      <alignment vertical="center"/>
    </xf>
    <xf numFmtId="0" fontId="6" fillId="8" borderId="3" xfId="1" applyFont="1" applyFill="1" applyBorder="1" applyAlignment="1">
      <alignment vertical="center"/>
    </xf>
    <xf numFmtId="0" fontId="6" fillId="8" borderId="9" xfId="1" applyFont="1" applyFill="1" applyBorder="1" applyAlignment="1">
      <alignment vertical="center"/>
    </xf>
    <xf numFmtId="14" fontId="6" fillId="8" borderId="2" xfId="1" applyNumberFormat="1" applyFont="1" applyFill="1" applyBorder="1" applyAlignment="1">
      <alignment vertical="center"/>
    </xf>
    <xf numFmtId="0" fontId="9" fillId="4" borderId="0" xfId="1" applyFont="1" applyFill="1" applyAlignment="1">
      <alignment horizontal="right" vertical="center"/>
    </xf>
    <xf numFmtId="14" fontId="9" fillId="4" borderId="2" xfId="1" applyNumberFormat="1" applyFont="1" applyFill="1" applyBorder="1" applyAlignment="1">
      <alignment vertical="center"/>
    </xf>
    <xf numFmtId="0" fontId="9" fillId="4" borderId="3" xfId="1" applyFont="1" applyFill="1" applyBorder="1" applyAlignment="1">
      <alignment vertical="center"/>
    </xf>
    <xf numFmtId="0" fontId="9" fillId="4" borderId="9" xfId="1" applyFont="1" applyFill="1" applyBorder="1" applyAlignment="1">
      <alignment vertical="center"/>
    </xf>
    <xf numFmtId="0" fontId="8" fillId="6" borderId="1" xfId="1" applyFont="1" applyFill="1" applyBorder="1" applyAlignment="1">
      <alignment horizontal="right" vertical="center"/>
    </xf>
    <xf numFmtId="0" fontId="6" fillId="6" borderId="1" xfId="1" applyFont="1" applyFill="1" applyBorder="1" applyAlignment="1">
      <alignment vertical="center"/>
    </xf>
    <xf numFmtId="0" fontId="6" fillId="6" borderId="11" xfId="1" applyFont="1" applyFill="1" applyBorder="1" applyAlignment="1">
      <alignment vertical="center"/>
    </xf>
    <xf numFmtId="0" fontId="8" fillId="8" borderId="1" xfId="1" applyFont="1" applyFill="1" applyBorder="1" applyAlignment="1">
      <alignment horizontal="right" vertical="center"/>
    </xf>
    <xf numFmtId="0" fontId="6" fillId="8" borderId="1" xfId="1" applyFont="1" applyFill="1" applyBorder="1" applyAlignment="1">
      <alignment vertical="center"/>
    </xf>
    <xf numFmtId="0" fontId="6" fillId="8" borderId="11" xfId="1" applyFont="1" applyFill="1" applyBorder="1" applyAlignment="1">
      <alignment vertical="center"/>
    </xf>
    <xf numFmtId="0" fontId="9" fillId="4" borderId="7" xfId="1" applyFont="1" applyFill="1" applyBorder="1" applyAlignment="1">
      <alignment vertical="center"/>
    </xf>
    <xf numFmtId="0" fontId="9" fillId="4" borderId="0" xfId="1" applyFont="1" applyFill="1" applyAlignment="1">
      <alignment vertical="center"/>
    </xf>
    <xf numFmtId="0" fontId="8" fillId="7" borderId="10" xfId="1" applyFont="1" applyFill="1" applyBorder="1" applyAlignment="1">
      <alignment horizontal="right" vertical="center"/>
    </xf>
    <xf numFmtId="0" fontId="8" fillId="7" borderId="1" xfId="1" applyFont="1" applyFill="1" applyBorder="1" applyAlignment="1">
      <alignment horizontal="right" vertical="center"/>
    </xf>
    <xf numFmtId="0" fontId="8" fillId="2" borderId="7" xfId="1" applyFont="1" applyFill="1" applyBorder="1" applyAlignment="1">
      <alignment vertical="center"/>
    </xf>
    <xf numFmtId="0" fontId="8" fillId="2" borderId="0" xfId="1" applyFont="1" applyFill="1" applyAlignment="1">
      <alignment vertical="center"/>
    </xf>
    <xf numFmtId="0" fontId="8" fillId="2" borderId="8" xfId="1" applyFont="1" applyFill="1" applyBorder="1" applyAlignment="1">
      <alignment vertical="center"/>
    </xf>
    <xf numFmtId="0" fontId="6" fillId="6" borderId="1" xfId="1" applyFont="1" applyFill="1" applyBorder="1" applyAlignment="1">
      <alignment vertical="center" wrapText="1"/>
    </xf>
    <xf numFmtId="0" fontId="6" fillId="6" borderId="11" xfId="1" applyFont="1" applyFill="1" applyBorder="1" applyAlignment="1">
      <alignment vertical="center" wrapText="1"/>
    </xf>
    <xf numFmtId="0" fontId="9" fillId="4" borderId="0" xfId="1" applyFont="1" applyFill="1" applyAlignment="1">
      <alignment horizontal="center" vertical="center"/>
    </xf>
    <xf numFmtId="0" fontId="9" fillId="4" borderId="8" xfId="1" applyFont="1" applyFill="1" applyBorder="1" applyAlignment="1">
      <alignment horizontal="center" vertical="center"/>
    </xf>
    <xf numFmtId="0" fontId="10" fillId="9" borderId="1" xfId="1" applyFont="1" applyFill="1" applyBorder="1" applyAlignment="1">
      <alignment horizontal="right" vertical="center"/>
    </xf>
    <xf numFmtId="0" fontId="10" fillId="2" borderId="14" xfId="1" applyFont="1" applyFill="1" applyBorder="1" applyAlignment="1">
      <alignment horizontal="right" vertical="center"/>
    </xf>
    <xf numFmtId="0" fontId="11" fillId="6" borderId="7" xfId="1" applyFont="1" applyFill="1" applyBorder="1" applyAlignment="1">
      <alignment vertical="center" wrapText="1"/>
    </xf>
    <xf numFmtId="0" fontId="11" fillId="6" borderId="0" xfId="1" applyFont="1" applyFill="1" applyAlignment="1">
      <alignment vertical="center" wrapText="1"/>
    </xf>
    <xf numFmtId="0" fontId="11" fillId="6" borderId="12" xfId="1" applyFont="1" applyFill="1" applyBorder="1" applyAlignment="1">
      <alignment vertical="center" wrapText="1"/>
    </xf>
    <xf numFmtId="0" fontId="11" fillId="6" borderId="13" xfId="1" applyFont="1" applyFill="1" applyBorder="1" applyAlignment="1">
      <alignment vertical="center" wrapText="1"/>
    </xf>
    <xf numFmtId="0" fontId="11" fillId="8" borderId="0" xfId="1" applyFont="1" applyFill="1" applyAlignment="1">
      <alignment vertical="center" wrapText="1"/>
    </xf>
    <xf numFmtId="0" fontId="11" fillId="8" borderId="13" xfId="1" applyFont="1" applyFill="1" applyBorder="1" applyAlignment="1">
      <alignment vertical="center" wrapText="1"/>
    </xf>
    <xf numFmtId="0" fontId="2" fillId="2" borderId="0" xfId="1" applyFont="1" applyFill="1" applyAlignment="1">
      <alignment vertical="center" wrapText="1"/>
    </xf>
    <xf numFmtId="0" fontId="1" fillId="2" borderId="0" xfId="1" applyFont="1" applyFill="1" applyAlignment="1">
      <alignment vertical="center" wrapText="1"/>
    </xf>
    <xf numFmtId="0" fontId="3" fillId="2" borderId="0" xfId="1" applyFont="1" applyFill="1" applyAlignment="1">
      <alignment vertical="center" wrapText="1"/>
    </xf>
    <xf numFmtId="0" fontId="4" fillId="3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4" fillId="5" borderId="0" xfId="1" applyFont="1" applyFill="1" applyAlignment="1">
      <alignment vertical="center"/>
    </xf>
    <xf numFmtId="0" fontId="13" fillId="2" borderId="4" xfId="1" applyFont="1" applyFill="1" applyBorder="1" applyAlignment="1">
      <alignment vertical="center"/>
    </xf>
    <xf numFmtId="0" fontId="13" fillId="2" borderId="5" xfId="1" applyFont="1" applyFill="1" applyBorder="1" applyAlignment="1">
      <alignment vertical="center"/>
    </xf>
    <xf numFmtId="0" fontId="13" fillId="2" borderId="7" xfId="1" applyFont="1" applyFill="1" applyBorder="1" applyAlignment="1">
      <alignment vertical="center"/>
    </xf>
    <xf numFmtId="0" fontId="13" fillId="2" borderId="0" xfId="1" applyFont="1" applyFill="1" applyAlignment="1">
      <alignment vertical="center"/>
    </xf>
  </cellXfs>
  <cellStyles count="2">
    <cellStyle name="Normal" xfId="1" xr:uid="{00000000-0005-0000-0000-000000000000}"/>
    <cellStyle name="Standard" xfId="0" builtinId="0"/>
  </cellStyles>
  <dxfs count="10">
    <dxf>
      <font>
        <b/>
        <color rgb="FF991B1B"/>
      </font>
      <fill>
        <patternFill>
          <bgColor rgb="FFFDE7E9"/>
        </patternFill>
      </fill>
    </dxf>
    <dxf>
      <font>
        <b/>
        <color rgb="FF1D4ED8"/>
      </font>
      <fill>
        <patternFill>
          <bgColor rgb="FFE8F1FB"/>
        </patternFill>
      </fill>
    </dxf>
    <dxf>
      <font>
        <b/>
        <color rgb="FF7A4A00"/>
      </font>
      <fill>
        <patternFill>
          <bgColor rgb="FFFFF4CE"/>
        </patternFill>
      </fill>
    </dxf>
    <dxf>
      <font>
        <b/>
        <color rgb="FF166534"/>
      </font>
      <fill>
        <patternFill>
          <bgColor rgb="FFE6F4EA"/>
        </patternFill>
      </fill>
    </dxf>
    <dxf>
      <font>
        <b/>
        <color rgb="FF991B1B"/>
      </font>
      <fill>
        <patternFill>
          <bgColor rgb="FFFDE7E9"/>
        </patternFill>
      </fill>
    </dxf>
    <dxf>
      <font>
        <b/>
        <color rgb="FF1D4ED8"/>
      </font>
      <fill>
        <patternFill>
          <bgColor rgb="FFE8F1FB"/>
        </patternFill>
      </fill>
    </dxf>
    <dxf>
      <font>
        <b/>
        <color rgb="FF7A4A00"/>
      </font>
      <fill>
        <patternFill>
          <bgColor rgb="FFFFF4CE"/>
        </patternFill>
      </fill>
    </dxf>
    <dxf>
      <font>
        <b/>
        <color rgb="FF166534"/>
      </font>
      <fill>
        <patternFill>
          <bgColor rgb="FFE6F4EA"/>
        </patternFill>
      </fill>
    </dxf>
    <dxf>
      <font>
        <color rgb="FF991B1B"/>
      </font>
      <fill>
        <patternFill>
          <bgColor rgb="FFFDE7E9"/>
        </patternFill>
      </fill>
    </dxf>
    <dxf>
      <fill>
        <patternFill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LineasPedido" displayName="TablaLineasPedido" ref="A20:N36">
  <tableColumns count="14">
    <tableColumn id="1" xr3:uid="{00000000-0010-0000-0000-000001000000}" name="Línea"/>
    <tableColumn id="2" xr3:uid="{00000000-0010-0000-0000-000002000000}" name="Código"/>
    <tableColumn id="3" xr3:uid="{00000000-0010-0000-0000-000003000000}" name="Categoría"/>
    <tableColumn id="4" xr3:uid="{00000000-0010-0000-0000-000004000000}" name="Descripción"/>
    <tableColumn id="5" xr3:uid="{00000000-0010-0000-0000-000005000000}" name="Cantidad"/>
    <tableColumn id="6" xr3:uid="{00000000-0010-0000-0000-000006000000}" name="Unidad"/>
    <tableColumn id="7" xr3:uid="{00000000-0010-0000-0000-000007000000}" name="Precio unit."/>
    <tableColumn id="8" xr3:uid="{00000000-0010-0000-0000-000008000000}" name="Dto. línea"/>
    <tableColumn id="9" xr3:uid="{00000000-0010-0000-0000-000009000000}" name="IVA"/>
    <tableColumn id="10" xr3:uid="{00000000-0010-0000-0000-00000A000000}" name="Importe neto"/>
    <tableColumn id="11" xr3:uid="{00000000-0010-0000-0000-00000B000000}" name="IVA línea"/>
    <tableColumn id="12" xr3:uid="{00000000-0010-0000-0000-00000C000000}" name="Total línea"/>
    <tableColumn id="13" xr3:uid="{00000000-0010-0000-0000-00000D000000}" name="Fecha necesaria"/>
    <tableColumn id="14" xr3:uid="{00000000-0010-0000-0000-00000E000000}" name="Estado líne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Catalogo" displayName="TablaCatalogo" ref="A5:G17">
  <tableColumns count="7">
    <tableColumn id="1" xr3:uid="{00000000-0010-0000-0100-000001000000}" name="Código"/>
    <tableColumn id="2" xr3:uid="{00000000-0010-0000-0100-000002000000}" name="Descripción"/>
    <tableColumn id="3" xr3:uid="{00000000-0010-0000-0100-000003000000}" name="Categoría"/>
    <tableColumn id="4" xr3:uid="{00000000-0010-0000-0100-000004000000}" name="Unidad"/>
    <tableColumn id="5" xr3:uid="{00000000-0010-0000-0100-000005000000}" name="Precio unitario"/>
    <tableColumn id="6" xr3:uid="{00000000-0010-0000-0100-000006000000}" name="IVA"/>
    <tableColumn id="7" xr3:uid="{00000000-0010-0000-0100-000007000000}" name="Observacion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aProveedores" displayName="TablaProveedores" ref="I5:P9">
  <tableColumns count="8">
    <tableColumn id="1" xr3:uid="{00000000-0010-0000-0200-000001000000}" name="Proveedor"/>
    <tableColumn id="2" xr3:uid="{00000000-0010-0000-0200-000002000000}" name="CIF/NIF"/>
    <tableColumn id="3" xr3:uid="{00000000-0010-0000-0200-000003000000}" name="Contacto"/>
    <tableColumn id="4" xr3:uid="{00000000-0010-0000-0200-000004000000}" name="Email"/>
    <tableColumn id="5" xr3:uid="{00000000-0010-0000-0200-000005000000}" name="Teléfono"/>
    <tableColumn id="6" xr3:uid="{00000000-0010-0000-0200-000006000000}" name="Dirección"/>
    <tableColumn id="7" xr3:uid="{00000000-0010-0000-0200-000007000000}" name="Condiciones de pago"/>
    <tableColumn id="8" xr3:uid="{00000000-0010-0000-0200-000008000000}" name="Observacion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zoomScale="80" zoomScaleNormal="80" workbookViewId="0">
      <selection activeCell="U26" sqref="U26"/>
    </sheetView>
  </sheetViews>
  <sheetFormatPr baseColWidth="10" defaultColWidth="8.796875" defaultRowHeight="13.8"/>
  <cols>
    <col min="1" max="1" width="9.296875" bestFit="1" customWidth="1"/>
    <col min="2" max="2" width="7.5" bestFit="1" customWidth="1"/>
    <col min="3" max="3" width="12.09765625" bestFit="1" customWidth="1"/>
    <col min="4" max="4" width="24.09765625" bestFit="1" customWidth="1"/>
    <col min="5" max="5" width="7.09765625" bestFit="1" customWidth="1"/>
    <col min="6" max="6" width="8.296875" bestFit="1" customWidth="1"/>
    <col min="7" max="7" width="9" bestFit="1" customWidth="1"/>
    <col min="8" max="8" width="25.796875" bestFit="1" customWidth="1"/>
    <col min="9" max="9" width="4.296875" bestFit="1" customWidth="1"/>
    <col min="10" max="10" width="10.3984375" bestFit="1" customWidth="1"/>
    <col min="11" max="11" width="7.19921875" bestFit="1" customWidth="1"/>
    <col min="12" max="12" width="8.19921875" bestFit="1" customWidth="1"/>
    <col min="13" max="13" width="12.09765625" bestFit="1" customWidth="1"/>
    <col min="14" max="14" width="9.3984375" bestFit="1" customWidth="1"/>
  </cols>
  <sheetData>
    <row r="1" spans="1:14" ht="24" customHeight="1">
      <c r="A1" s="83" t="s">
        <v>0</v>
      </c>
      <c r="B1" s="84"/>
      <c r="C1" s="84"/>
      <c r="D1" s="84"/>
      <c r="E1" s="84"/>
      <c r="F1" s="84"/>
      <c r="G1" s="84"/>
      <c r="H1" s="84"/>
      <c r="I1" s="26"/>
      <c r="J1" s="26"/>
      <c r="K1" s="26"/>
      <c r="L1" s="26"/>
      <c r="M1" s="26"/>
      <c r="N1" s="27"/>
    </row>
    <row r="2" spans="1:14" ht="24" customHeight="1">
      <c r="A2" s="85"/>
      <c r="B2" s="86"/>
      <c r="C2" s="86"/>
      <c r="D2" s="86"/>
      <c r="E2" s="86"/>
      <c r="F2" s="86"/>
      <c r="G2" s="86"/>
      <c r="H2" s="86"/>
      <c r="I2" s="10"/>
      <c r="J2" s="10"/>
      <c r="K2" s="10"/>
      <c r="L2" s="10"/>
      <c r="M2" s="10"/>
      <c r="N2" s="28"/>
    </row>
    <row r="3" spans="1:14" ht="16.05" customHeight="1">
      <c r="A3" s="41" t="s">
        <v>1</v>
      </c>
      <c r="B3" s="42"/>
      <c r="C3" s="42"/>
      <c r="D3" s="42"/>
      <c r="E3" s="42"/>
      <c r="F3" s="42"/>
      <c r="G3" s="42"/>
      <c r="H3" s="42"/>
      <c r="I3" s="43" t="s">
        <v>2</v>
      </c>
      <c r="J3" s="43"/>
      <c r="K3" s="44" t="str">
        <f ca="1">"PED-"&amp;TEXT(K4,"yyyymm")&amp;"-"&amp;TEXT(Datos!$B$20,"0000")</f>
        <v>PED-yyyy04-0042</v>
      </c>
      <c r="L3" s="45"/>
      <c r="M3" s="45"/>
      <c r="N3" s="46"/>
    </row>
    <row r="4" spans="1:14">
      <c r="A4" s="29"/>
      <c r="B4" s="10"/>
      <c r="C4" s="10"/>
      <c r="D4" s="10"/>
      <c r="E4" s="10"/>
      <c r="F4" s="10"/>
      <c r="G4" s="10"/>
      <c r="H4" s="10"/>
      <c r="I4" s="43" t="s">
        <v>3</v>
      </c>
      <c r="J4" s="43"/>
      <c r="K4" s="47">
        <f ca="1">TODAY()</f>
        <v>46136</v>
      </c>
      <c r="L4" s="45"/>
      <c r="M4" s="45"/>
      <c r="N4" s="46"/>
    </row>
    <row r="5" spans="1:14" ht="16.8" customHeight="1">
      <c r="A5" s="58" t="s">
        <v>4</v>
      </c>
      <c r="B5" s="59"/>
      <c r="C5" s="59"/>
      <c r="D5" s="59"/>
      <c r="E5" s="59"/>
      <c r="F5" s="11" t="s">
        <v>5</v>
      </c>
      <c r="G5" s="11"/>
      <c r="H5" s="11"/>
      <c r="I5" s="48" t="s">
        <v>6</v>
      </c>
      <c r="J5" s="48"/>
      <c r="K5" s="49">
        <f>IFERROR(MAX(M21:M36),"")</f>
        <v>46152</v>
      </c>
      <c r="L5" s="50"/>
      <c r="M5" s="50"/>
      <c r="N5" s="51"/>
    </row>
    <row r="6" spans="1:14" ht="16.8" customHeight="1">
      <c r="A6" s="60" t="s">
        <v>7</v>
      </c>
      <c r="B6" s="61"/>
      <c r="C6" s="53" t="s">
        <v>8</v>
      </c>
      <c r="D6" s="53"/>
      <c r="E6" s="53"/>
      <c r="F6" s="61" t="s">
        <v>9</v>
      </c>
      <c r="G6" s="61"/>
      <c r="H6" s="13" t="s">
        <v>10</v>
      </c>
      <c r="I6" s="52" t="s">
        <v>11</v>
      </c>
      <c r="J6" s="52"/>
      <c r="K6" s="53" t="s">
        <v>12</v>
      </c>
      <c r="L6" s="53"/>
      <c r="M6" s="53"/>
      <c r="N6" s="54"/>
    </row>
    <row r="7" spans="1:14" ht="16.8" customHeight="1">
      <c r="A7" s="60" t="s">
        <v>13</v>
      </c>
      <c r="B7" s="61"/>
      <c r="C7" s="53" t="s">
        <v>14</v>
      </c>
      <c r="D7" s="53"/>
      <c r="E7" s="53"/>
      <c r="F7" s="61" t="s">
        <v>13</v>
      </c>
      <c r="G7" s="61"/>
      <c r="H7" s="14" t="str">
        <f>IFERROR(INDEX(Datos!$J$6:$J$9,MATCH($H$6,Datos!$I$6:$I$9,0)),"")</f>
        <v>B72841936</v>
      </c>
      <c r="I7" s="55" t="s">
        <v>15</v>
      </c>
      <c r="J7" s="55"/>
      <c r="K7" s="56" t="s">
        <v>16</v>
      </c>
      <c r="L7" s="56"/>
      <c r="M7" s="56"/>
      <c r="N7" s="57"/>
    </row>
    <row r="8" spans="1:14" ht="16.8" customHeight="1">
      <c r="A8" s="60" t="s">
        <v>17</v>
      </c>
      <c r="B8" s="61"/>
      <c r="C8" s="53" t="s">
        <v>18</v>
      </c>
      <c r="D8" s="53"/>
      <c r="E8" s="53"/>
      <c r="F8" s="61" t="s">
        <v>17</v>
      </c>
      <c r="G8" s="61"/>
      <c r="H8" s="14" t="str">
        <f>IFERROR(INDEX(Datos!$N$6:$N$9,MATCH($H$6,Datos!$I$6:$I$9,0)),"")</f>
        <v>Calle del Roble 18, 28045 Madrid</v>
      </c>
      <c r="I8" s="55" t="s">
        <v>19</v>
      </c>
      <c r="J8" s="55"/>
      <c r="K8" s="56" t="s">
        <v>20</v>
      </c>
      <c r="L8" s="56"/>
      <c r="M8" s="56"/>
      <c r="N8" s="57"/>
    </row>
    <row r="9" spans="1:14" ht="16.8" customHeight="1">
      <c r="A9" s="60" t="s">
        <v>21</v>
      </c>
      <c r="B9" s="61"/>
      <c r="C9" s="53" t="s">
        <v>22</v>
      </c>
      <c r="D9" s="53"/>
      <c r="E9" s="53"/>
      <c r="F9" s="61" t="s">
        <v>21</v>
      </c>
      <c r="G9" s="61"/>
      <c r="H9" s="56" t="str">
        <f>IFERROR(INDEX(Datos!$K$6:$K$9,MATCH($H$6,Datos!$I$6:$I$9,0)),"")</f>
        <v>Laura Méndez</v>
      </c>
      <c r="I9" s="56"/>
      <c r="J9" s="56"/>
      <c r="K9" s="56"/>
      <c r="L9" s="56"/>
      <c r="M9" s="56"/>
      <c r="N9" s="57"/>
    </row>
    <row r="10" spans="1:14" ht="16.8" customHeight="1">
      <c r="A10" s="60" t="s">
        <v>23</v>
      </c>
      <c r="B10" s="61"/>
      <c r="C10" s="53" t="s">
        <v>24</v>
      </c>
      <c r="D10" s="53"/>
      <c r="E10" s="53"/>
      <c r="F10" s="61" t="s">
        <v>23</v>
      </c>
      <c r="G10" s="61"/>
      <c r="H10" s="56" t="str">
        <f>IFERROR(INDEX(Datos!$L$6:$L$9,MATCH($H$6,Datos!$I$6:$I$9,0)),"")</f>
        <v>pedidos@novasuministros.example</v>
      </c>
      <c r="I10" s="56"/>
      <c r="J10" s="56"/>
      <c r="K10" s="56"/>
      <c r="L10" s="56"/>
      <c r="M10" s="56"/>
      <c r="N10" s="57"/>
    </row>
    <row r="11" spans="1:14" ht="16.8" customHeight="1">
      <c r="A11" s="60" t="s">
        <v>25</v>
      </c>
      <c r="B11" s="61"/>
      <c r="C11" s="53" t="s">
        <v>26</v>
      </c>
      <c r="D11" s="53"/>
      <c r="E11" s="53"/>
      <c r="F11" s="61" t="s">
        <v>25</v>
      </c>
      <c r="G11" s="61"/>
      <c r="H11" s="56" t="str">
        <f>IFERROR(INDEX(Datos!$M$6:$M$9,MATCH($H$6,Datos!$I$6:$I$9,0)),"")</f>
        <v>+34 910 245 118</v>
      </c>
      <c r="I11" s="56"/>
      <c r="J11" s="56"/>
      <c r="K11" s="56"/>
      <c r="L11" s="56"/>
      <c r="M11" s="56"/>
      <c r="N11" s="57"/>
    </row>
    <row r="12" spans="1:14" ht="16.8" customHeight="1">
      <c r="A12" s="60" t="s">
        <v>27</v>
      </c>
      <c r="B12" s="61"/>
      <c r="C12" s="53" t="s">
        <v>28</v>
      </c>
      <c r="D12" s="53"/>
      <c r="E12" s="53"/>
      <c r="F12" s="61" t="s">
        <v>29</v>
      </c>
      <c r="G12" s="61"/>
      <c r="H12" s="56" t="str">
        <f>IFERROR(INDEX(Datos!$O$6:$O$9,MATCH($H$6,Datos!$I$6:$I$9,0)),"")</f>
        <v>30 días fecha factura</v>
      </c>
      <c r="I12" s="56"/>
      <c r="J12" s="56"/>
      <c r="K12" s="56"/>
      <c r="L12" s="56"/>
      <c r="M12" s="56"/>
      <c r="N12" s="57"/>
    </row>
    <row r="13" spans="1:14" ht="16.8" customHeight="1">
      <c r="A13" s="2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28"/>
    </row>
    <row r="14" spans="1:14" ht="16.8" customHeight="1">
      <c r="A14" s="2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8"/>
    </row>
    <row r="15" spans="1:14" ht="16.8" customHeight="1">
      <c r="A15" s="62" t="s">
        <v>30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4"/>
    </row>
    <row r="16" spans="1:14" ht="16.8" customHeight="1">
      <c r="A16" s="30" t="s">
        <v>31</v>
      </c>
      <c r="B16" s="53" t="s">
        <v>32</v>
      </c>
      <c r="C16" s="53"/>
      <c r="D16" s="53"/>
      <c r="E16" s="53"/>
      <c r="F16" s="12" t="s">
        <v>33</v>
      </c>
      <c r="G16" s="53" t="s">
        <v>34</v>
      </c>
      <c r="H16" s="53"/>
      <c r="I16" s="12" t="s">
        <v>35</v>
      </c>
      <c r="J16" s="53" t="s">
        <v>36</v>
      </c>
      <c r="K16" s="53"/>
      <c r="L16" s="53"/>
      <c r="M16" s="53"/>
      <c r="N16" s="54"/>
    </row>
    <row r="17" spans="1:14" ht="16.8" customHeight="1">
      <c r="A17" s="30" t="s">
        <v>37</v>
      </c>
      <c r="B17" s="65" t="s">
        <v>38</v>
      </c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6"/>
    </row>
    <row r="18" spans="1:14">
      <c r="A18" s="2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28"/>
    </row>
    <row r="19" spans="1:14">
      <c r="A19" s="2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28"/>
    </row>
    <row r="20" spans="1:14" ht="24" customHeight="1">
      <c r="A20" s="38" t="s">
        <v>39</v>
      </c>
      <c r="B20" s="39" t="s">
        <v>40</v>
      </c>
      <c r="C20" s="39" t="s">
        <v>41</v>
      </c>
      <c r="D20" s="16" t="s">
        <v>42</v>
      </c>
      <c r="E20" s="39" t="s">
        <v>43</v>
      </c>
      <c r="F20" s="39" t="s">
        <v>44</v>
      </c>
      <c r="G20" s="39" t="s">
        <v>45</v>
      </c>
      <c r="H20" s="39" t="s">
        <v>46</v>
      </c>
      <c r="I20" s="39" t="s">
        <v>47</v>
      </c>
      <c r="J20" s="39" t="s">
        <v>48</v>
      </c>
      <c r="K20" s="39" t="s">
        <v>49</v>
      </c>
      <c r="L20" s="39" t="s">
        <v>50</v>
      </c>
      <c r="M20" s="39" t="s">
        <v>51</v>
      </c>
      <c r="N20" s="40" t="s">
        <v>52</v>
      </c>
    </row>
    <row r="21" spans="1:14" ht="18.45" customHeight="1">
      <c r="A21" s="31">
        <f t="shared" ref="A21:A36" si="0">IF($B21="","",ROW()-20)</f>
        <v>1</v>
      </c>
      <c r="B21" s="13" t="s">
        <v>53</v>
      </c>
      <c r="C21" s="14" t="str">
        <f>IF($B21="","",IFERROR(INDEX(Datos!$C$6:$C$17,MATCH($B21,Datos!$A$6:$A$17,0)),""))</f>
        <v>Material oficina</v>
      </c>
      <c r="D21" s="15" t="str">
        <f>IF($B21="","",IFERROR(INDEX(Datos!$B$6:$B$17,MATCH($B21,Datos!$A$6:$A$17,0)),""))</f>
        <v>Papel reciclado A4 80 g</v>
      </c>
      <c r="E21" s="20">
        <v>20</v>
      </c>
      <c r="F21" s="19" t="str">
        <f>IF($B21="","",IFERROR(INDEX(Datos!$D$6:$D$17,MATCH($B21,Datos!$A$6:$A$17,0)),""))</f>
        <v>paquete</v>
      </c>
      <c r="G21" s="17">
        <f>IF($B21="","",IFERROR(INDEX(Datos!$E$6:$E$17,MATCH($B21,Datos!$A$6:$A$17,0)),0))</f>
        <v>4.25</v>
      </c>
      <c r="H21" s="21">
        <v>0</v>
      </c>
      <c r="I21" s="22">
        <f>IF($B21="","",IFERROR(INDEX(Datos!$F$6:$F$17,MATCH($B21,Datos!$A$6:$A$17,0)),0))</f>
        <v>0.21</v>
      </c>
      <c r="J21" s="17">
        <f t="shared" ref="J21:J36" si="1">IF($B21="","",ROUND($E21*$G21*(1-$H21),2))</f>
        <v>85</v>
      </c>
      <c r="K21" s="17">
        <f t="shared" ref="K21:K36" si="2">IF($B21="","",ROUND($J21*$I21,2))</f>
        <v>17.850000000000001</v>
      </c>
      <c r="L21" s="17">
        <f t="shared" ref="L21:L36" si="3">IF($B21="","",ROUND($J21+$K21,2))</f>
        <v>102.85</v>
      </c>
      <c r="M21" s="23">
        <v>46148</v>
      </c>
      <c r="N21" s="32" t="s">
        <v>54</v>
      </c>
    </row>
    <row r="22" spans="1:14" ht="18.45" customHeight="1">
      <c r="A22" s="31">
        <f t="shared" si="0"/>
        <v>2</v>
      </c>
      <c r="B22" s="13" t="s">
        <v>55</v>
      </c>
      <c r="C22" s="14" t="str">
        <f>IF($B22="","",IFERROR(INDEX(Datos!$C$6:$C$17,MATCH($B22,Datos!$A$6:$A$17,0)),""))</f>
        <v>Equipamiento</v>
      </c>
      <c r="D22" s="15" t="str">
        <f>IF($B22="","",IFERROR(INDEX(Datos!$B$6:$B$17,MATCH($B22,Datos!$A$6:$A$17,0)),""))</f>
        <v>Soporte ajustable para portátil</v>
      </c>
      <c r="E22" s="20">
        <v>8</v>
      </c>
      <c r="F22" s="19" t="str">
        <f>IF($B22="","",IFERROR(INDEX(Datos!$D$6:$D$17,MATCH($B22,Datos!$A$6:$A$17,0)),""))</f>
        <v>unidad</v>
      </c>
      <c r="G22" s="17">
        <f>IF($B22="","",IFERROR(INDEX(Datos!$E$6:$E$17,MATCH($B22,Datos!$A$6:$A$17,0)),0))</f>
        <v>24.5</v>
      </c>
      <c r="H22" s="21">
        <v>0.05</v>
      </c>
      <c r="I22" s="22">
        <f>IF($B22="","",IFERROR(INDEX(Datos!$F$6:$F$17,MATCH($B22,Datos!$A$6:$A$17,0)),0))</f>
        <v>0.21</v>
      </c>
      <c r="J22" s="17">
        <f t="shared" si="1"/>
        <v>186.2</v>
      </c>
      <c r="K22" s="17">
        <f t="shared" si="2"/>
        <v>39.1</v>
      </c>
      <c r="L22" s="17">
        <f t="shared" si="3"/>
        <v>225.3</v>
      </c>
      <c r="M22" s="23">
        <v>46148</v>
      </c>
      <c r="N22" s="32" t="s">
        <v>54</v>
      </c>
    </row>
    <row r="23" spans="1:14" ht="18.45" customHeight="1">
      <c r="A23" s="31">
        <f t="shared" si="0"/>
        <v>3</v>
      </c>
      <c r="B23" s="13" t="s">
        <v>56</v>
      </c>
      <c r="C23" s="14" t="str">
        <f>IF($B23="","",IFERROR(INDEX(Datos!$C$6:$C$17,MATCH($B23,Datos!$A$6:$A$17,0)),""))</f>
        <v>Material oficina</v>
      </c>
      <c r="D23" s="15" t="str">
        <f>IF($B23="","",IFERROR(INDEX(Datos!$B$6:$B$17,MATCH($B23,Datos!$A$6:$A$17,0)),""))</f>
        <v>Bolígrafos tinta gel azul</v>
      </c>
      <c r="E23" s="20">
        <v>12</v>
      </c>
      <c r="F23" s="19" t="str">
        <f>IF($B23="","",IFERROR(INDEX(Datos!$D$6:$D$17,MATCH($B23,Datos!$A$6:$A$17,0)),""))</f>
        <v>caja</v>
      </c>
      <c r="G23" s="17">
        <f>IF($B23="","",IFERROR(INDEX(Datos!$E$6:$E$17,MATCH($B23,Datos!$A$6:$A$17,0)),0))</f>
        <v>8.9</v>
      </c>
      <c r="H23" s="21">
        <v>0</v>
      </c>
      <c r="I23" s="22">
        <f>IF($B23="","",IFERROR(INDEX(Datos!$F$6:$F$17,MATCH($B23,Datos!$A$6:$A$17,0)),0))</f>
        <v>0.21</v>
      </c>
      <c r="J23" s="17">
        <f t="shared" si="1"/>
        <v>106.8</v>
      </c>
      <c r="K23" s="17">
        <f t="shared" si="2"/>
        <v>22.43</v>
      </c>
      <c r="L23" s="17">
        <f t="shared" si="3"/>
        <v>129.22999999999999</v>
      </c>
      <c r="M23" s="23">
        <v>46148</v>
      </c>
      <c r="N23" s="32" t="s">
        <v>54</v>
      </c>
    </row>
    <row r="24" spans="1:14" ht="18.45" customHeight="1">
      <c r="A24" s="31">
        <f t="shared" si="0"/>
        <v>4</v>
      </c>
      <c r="B24" s="13" t="s">
        <v>57</v>
      </c>
      <c r="C24" s="14" t="str">
        <f>IF($B24="","",IFERROR(INDEX(Datos!$C$6:$C$17,MATCH($B24,Datos!$A$6:$A$17,0)),""))</f>
        <v>Servicio</v>
      </c>
      <c r="D24" s="15" t="str">
        <f>IF($B24="","",IFERROR(INDEX(Datos!$B$6:$B$17,MATCH($B24,Datos!$A$6:$A$17,0)),""))</f>
        <v>Revisión mensual de impresora</v>
      </c>
      <c r="E24" s="20">
        <v>1</v>
      </c>
      <c r="F24" s="19" t="str">
        <f>IF($B24="","",IFERROR(INDEX(Datos!$D$6:$D$17,MATCH($B24,Datos!$A$6:$A$17,0)),""))</f>
        <v>servicio</v>
      </c>
      <c r="G24" s="17">
        <f>IF($B24="","",IFERROR(INDEX(Datos!$E$6:$E$17,MATCH($B24,Datos!$A$6:$A$17,0)),0))</f>
        <v>38</v>
      </c>
      <c r="H24" s="21">
        <v>0</v>
      </c>
      <c r="I24" s="22">
        <f>IF($B24="","",IFERROR(INDEX(Datos!$F$6:$F$17,MATCH($B24,Datos!$A$6:$A$17,0)),0))</f>
        <v>0.21</v>
      </c>
      <c r="J24" s="17">
        <f t="shared" si="1"/>
        <v>38</v>
      </c>
      <c r="K24" s="17">
        <f t="shared" si="2"/>
        <v>7.98</v>
      </c>
      <c r="L24" s="17">
        <f t="shared" si="3"/>
        <v>45.98</v>
      </c>
      <c r="M24" s="23">
        <v>46152</v>
      </c>
      <c r="N24" s="32" t="s">
        <v>58</v>
      </c>
    </row>
    <row r="25" spans="1:14" ht="18.45" customHeight="1">
      <c r="A25" s="31">
        <f t="shared" si="0"/>
        <v>5</v>
      </c>
      <c r="B25" s="13" t="s">
        <v>59</v>
      </c>
      <c r="C25" s="14" t="str">
        <f>IF($B25="","",IFERROR(INDEX(Datos!$C$6:$C$17,MATCH($B25,Datos!$A$6:$A$17,0)),""))</f>
        <v>Seguridad</v>
      </c>
      <c r="D25" s="15" t="str">
        <f>IF($B25="","",IFERROR(INDEX(Datos!$B$6:$B$17,MATCH($B25,Datos!$A$6:$A$17,0)),""))</f>
        <v>Señalética interior de evacuación</v>
      </c>
      <c r="E25" s="20">
        <v>18</v>
      </c>
      <c r="F25" s="19" t="str">
        <f>IF($B25="","",IFERROR(INDEX(Datos!$D$6:$D$17,MATCH($B25,Datos!$A$6:$A$17,0)),""))</f>
        <v>unidad</v>
      </c>
      <c r="G25" s="17">
        <f>IF($B25="","",IFERROR(INDEX(Datos!$E$6:$E$17,MATCH($B25,Datos!$A$6:$A$17,0)),0))</f>
        <v>6.75</v>
      </c>
      <c r="H25" s="21">
        <v>0.1</v>
      </c>
      <c r="I25" s="22">
        <f>IF($B25="","",IFERROR(INDEX(Datos!$F$6:$F$17,MATCH($B25,Datos!$A$6:$A$17,0)),0))</f>
        <v>0.21</v>
      </c>
      <c r="J25" s="17">
        <f t="shared" si="1"/>
        <v>109.35</v>
      </c>
      <c r="K25" s="17">
        <f t="shared" si="2"/>
        <v>22.96</v>
      </c>
      <c r="L25" s="17">
        <f t="shared" si="3"/>
        <v>132.31</v>
      </c>
      <c r="M25" s="23">
        <v>46150</v>
      </c>
      <c r="N25" s="32" t="s">
        <v>58</v>
      </c>
    </row>
    <row r="26" spans="1:14" ht="18.45" customHeight="1">
      <c r="A26" s="31">
        <f t="shared" si="0"/>
        <v>6</v>
      </c>
      <c r="B26" s="13" t="s">
        <v>60</v>
      </c>
      <c r="C26" s="14" t="str">
        <f>IF($B26="","",IFERROR(INDEX(Datos!$C$6:$C$17,MATCH($B26,Datos!$A$6:$A$17,0)),""))</f>
        <v>Logística</v>
      </c>
      <c r="D26" s="15" t="str">
        <f>IF($B26="","",IFERROR(INDEX(Datos!$B$6:$B$17,MATCH($B26,Datos!$A$6:$A$17,0)),""))</f>
        <v>Envío urbano programado</v>
      </c>
      <c r="E26" s="20">
        <v>1</v>
      </c>
      <c r="F26" s="19" t="str">
        <f>IF($B26="","",IFERROR(INDEX(Datos!$D$6:$D$17,MATCH($B26,Datos!$A$6:$A$17,0)),""))</f>
        <v>servicio</v>
      </c>
      <c r="G26" s="17">
        <f>IF($B26="","",IFERROR(INDEX(Datos!$E$6:$E$17,MATCH($B26,Datos!$A$6:$A$17,0)),0))</f>
        <v>9.5</v>
      </c>
      <c r="H26" s="21">
        <v>0</v>
      </c>
      <c r="I26" s="22">
        <f>IF($B26="","",IFERROR(INDEX(Datos!$F$6:$F$17,MATCH($B26,Datos!$A$6:$A$17,0)),0))</f>
        <v>0.21</v>
      </c>
      <c r="J26" s="17">
        <f t="shared" si="1"/>
        <v>9.5</v>
      </c>
      <c r="K26" s="17">
        <f t="shared" si="2"/>
        <v>2</v>
      </c>
      <c r="L26" s="17">
        <f t="shared" si="3"/>
        <v>11.5</v>
      </c>
      <c r="M26" s="23">
        <v>46148</v>
      </c>
      <c r="N26" s="32" t="s">
        <v>54</v>
      </c>
    </row>
    <row r="27" spans="1:14" ht="18.45" customHeight="1">
      <c r="A27" s="31" t="str">
        <f t="shared" si="0"/>
        <v/>
      </c>
      <c r="B27" s="13"/>
      <c r="C27" s="14" t="str">
        <f>IF($B27="","",IFERROR(INDEX(Datos!$C$6:$C$17,MATCH($B27,Datos!$A$6:$A$17,0)),""))</f>
        <v/>
      </c>
      <c r="D27" s="15" t="str">
        <f>IF($B27="","",IFERROR(INDEX(Datos!$B$6:$B$17,MATCH($B27,Datos!$A$6:$A$17,0)),""))</f>
        <v/>
      </c>
      <c r="E27" s="20"/>
      <c r="F27" s="19" t="str">
        <f>IF($B27="","",IFERROR(INDEX(Datos!$D$6:$D$17,MATCH($B27,Datos!$A$6:$A$17,0)),""))</f>
        <v/>
      </c>
      <c r="G27" s="17" t="str">
        <f>IF($B27="","",IFERROR(INDEX(Datos!$E$6:$E$17,MATCH($B27,Datos!$A$6:$A$17,0)),0))</f>
        <v/>
      </c>
      <c r="H27" s="21"/>
      <c r="I27" s="22" t="str">
        <f>IF($B27="","",IFERROR(INDEX(Datos!$F$6:$F$17,MATCH($B27,Datos!$A$6:$A$17,0)),0))</f>
        <v/>
      </c>
      <c r="J27" s="17" t="str">
        <f t="shared" si="1"/>
        <v/>
      </c>
      <c r="K27" s="17" t="str">
        <f t="shared" si="2"/>
        <v/>
      </c>
      <c r="L27" s="17" t="str">
        <f t="shared" si="3"/>
        <v/>
      </c>
      <c r="M27" s="23"/>
      <c r="N27" s="32"/>
    </row>
    <row r="28" spans="1:14" ht="18.45" customHeight="1">
      <c r="A28" s="31" t="str">
        <f t="shared" si="0"/>
        <v/>
      </c>
      <c r="B28" s="13"/>
      <c r="C28" s="14" t="str">
        <f>IF($B28="","",IFERROR(INDEX(Datos!$C$6:$C$17,MATCH($B28,Datos!$A$6:$A$17,0)),""))</f>
        <v/>
      </c>
      <c r="D28" s="15" t="str">
        <f>IF($B28="","",IFERROR(INDEX(Datos!$B$6:$B$17,MATCH($B28,Datos!$A$6:$A$17,0)),""))</f>
        <v/>
      </c>
      <c r="E28" s="20"/>
      <c r="F28" s="19" t="str">
        <f>IF($B28="","",IFERROR(INDEX(Datos!$D$6:$D$17,MATCH($B28,Datos!$A$6:$A$17,0)),""))</f>
        <v/>
      </c>
      <c r="G28" s="17" t="str">
        <f>IF($B28="","",IFERROR(INDEX(Datos!$E$6:$E$17,MATCH($B28,Datos!$A$6:$A$17,0)),0))</f>
        <v/>
      </c>
      <c r="H28" s="21"/>
      <c r="I28" s="22" t="str">
        <f>IF($B28="","",IFERROR(INDEX(Datos!$F$6:$F$17,MATCH($B28,Datos!$A$6:$A$17,0)),0))</f>
        <v/>
      </c>
      <c r="J28" s="17" t="str">
        <f t="shared" si="1"/>
        <v/>
      </c>
      <c r="K28" s="17" t="str">
        <f t="shared" si="2"/>
        <v/>
      </c>
      <c r="L28" s="17" t="str">
        <f t="shared" si="3"/>
        <v/>
      </c>
      <c r="M28" s="23"/>
      <c r="N28" s="32"/>
    </row>
    <row r="29" spans="1:14" ht="18.45" customHeight="1">
      <c r="A29" s="31" t="str">
        <f t="shared" si="0"/>
        <v/>
      </c>
      <c r="B29" s="13"/>
      <c r="C29" s="14" t="str">
        <f>IF($B29="","",IFERROR(INDEX(Datos!$C$6:$C$17,MATCH($B29,Datos!$A$6:$A$17,0)),""))</f>
        <v/>
      </c>
      <c r="D29" s="15" t="str">
        <f>IF($B29="","",IFERROR(INDEX(Datos!$B$6:$B$17,MATCH($B29,Datos!$A$6:$A$17,0)),""))</f>
        <v/>
      </c>
      <c r="E29" s="20"/>
      <c r="F29" s="19" t="str">
        <f>IF($B29="","",IFERROR(INDEX(Datos!$D$6:$D$17,MATCH($B29,Datos!$A$6:$A$17,0)),""))</f>
        <v/>
      </c>
      <c r="G29" s="17" t="str">
        <f>IF($B29="","",IFERROR(INDEX(Datos!$E$6:$E$17,MATCH($B29,Datos!$A$6:$A$17,0)),0))</f>
        <v/>
      </c>
      <c r="H29" s="21"/>
      <c r="I29" s="22" t="str">
        <f>IF($B29="","",IFERROR(INDEX(Datos!$F$6:$F$17,MATCH($B29,Datos!$A$6:$A$17,0)),0))</f>
        <v/>
      </c>
      <c r="J29" s="17" t="str">
        <f t="shared" si="1"/>
        <v/>
      </c>
      <c r="K29" s="17" t="str">
        <f t="shared" si="2"/>
        <v/>
      </c>
      <c r="L29" s="17" t="str">
        <f t="shared" si="3"/>
        <v/>
      </c>
      <c r="M29" s="23"/>
      <c r="N29" s="32"/>
    </row>
    <row r="30" spans="1:14" ht="18.45" customHeight="1">
      <c r="A30" s="31" t="str">
        <f t="shared" si="0"/>
        <v/>
      </c>
      <c r="B30" s="13"/>
      <c r="C30" s="14" t="str">
        <f>IF($B30="","",IFERROR(INDEX(Datos!$C$6:$C$17,MATCH($B30,Datos!$A$6:$A$17,0)),""))</f>
        <v/>
      </c>
      <c r="D30" s="15" t="str">
        <f>IF($B30="","",IFERROR(INDEX(Datos!$B$6:$B$17,MATCH($B30,Datos!$A$6:$A$17,0)),""))</f>
        <v/>
      </c>
      <c r="E30" s="20"/>
      <c r="F30" s="19" t="str">
        <f>IF($B30="","",IFERROR(INDEX(Datos!$D$6:$D$17,MATCH($B30,Datos!$A$6:$A$17,0)),""))</f>
        <v/>
      </c>
      <c r="G30" s="17" t="str">
        <f>IF($B30="","",IFERROR(INDEX(Datos!$E$6:$E$17,MATCH($B30,Datos!$A$6:$A$17,0)),0))</f>
        <v/>
      </c>
      <c r="H30" s="21"/>
      <c r="I30" s="22" t="str">
        <f>IF($B30="","",IFERROR(INDEX(Datos!$F$6:$F$17,MATCH($B30,Datos!$A$6:$A$17,0)),0))</f>
        <v/>
      </c>
      <c r="J30" s="17" t="str">
        <f t="shared" si="1"/>
        <v/>
      </c>
      <c r="K30" s="17" t="str">
        <f t="shared" si="2"/>
        <v/>
      </c>
      <c r="L30" s="17" t="str">
        <f t="shared" si="3"/>
        <v/>
      </c>
      <c r="M30" s="23"/>
      <c r="N30" s="32"/>
    </row>
    <row r="31" spans="1:14" ht="18.45" customHeight="1">
      <c r="A31" s="31" t="str">
        <f t="shared" si="0"/>
        <v/>
      </c>
      <c r="B31" s="13"/>
      <c r="C31" s="14" t="str">
        <f>IF($B31="","",IFERROR(INDEX(Datos!$C$6:$C$17,MATCH($B31,Datos!$A$6:$A$17,0)),""))</f>
        <v/>
      </c>
      <c r="D31" s="15" t="str">
        <f>IF($B31="","",IFERROR(INDEX(Datos!$B$6:$B$17,MATCH($B31,Datos!$A$6:$A$17,0)),""))</f>
        <v/>
      </c>
      <c r="E31" s="20"/>
      <c r="F31" s="19" t="str">
        <f>IF($B31="","",IFERROR(INDEX(Datos!$D$6:$D$17,MATCH($B31,Datos!$A$6:$A$17,0)),""))</f>
        <v/>
      </c>
      <c r="G31" s="17" t="str">
        <f>IF($B31="","",IFERROR(INDEX(Datos!$E$6:$E$17,MATCH($B31,Datos!$A$6:$A$17,0)),0))</f>
        <v/>
      </c>
      <c r="H31" s="21"/>
      <c r="I31" s="22" t="str">
        <f>IF($B31="","",IFERROR(INDEX(Datos!$F$6:$F$17,MATCH($B31,Datos!$A$6:$A$17,0)),0))</f>
        <v/>
      </c>
      <c r="J31" s="17" t="str">
        <f t="shared" si="1"/>
        <v/>
      </c>
      <c r="K31" s="17" t="str">
        <f t="shared" si="2"/>
        <v/>
      </c>
      <c r="L31" s="17" t="str">
        <f t="shared" si="3"/>
        <v/>
      </c>
      <c r="M31" s="23"/>
      <c r="N31" s="32"/>
    </row>
    <row r="32" spans="1:14" ht="18.45" customHeight="1">
      <c r="A32" s="31" t="str">
        <f t="shared" si="0"/>
        <v/>
      </c>
      <c r="B32" s="13"/>
      <c r="C32" s="14" t="str">
        <f>IF($B32="","",IFERROR(INDEX(Datos!$C$6:$C$17,MATCH($B32,Datos!$A$6:$A$17,0)),""))</f>
        <v/>
      </c>
      <c r="D32" s="15" t="str">
        <f>IF($B32="","",IFERROR(INDEX(Datos!$B$6:$B$17,MATCH($B32,Datos!$A$6:$A$17,0)),""))</f>
        <v/>
      </c>
      <c r="E32" s="20"/>
      <c r="F32" s="19" t="str">
        <f>IF($B32="","",IFERROR(INDEX(Datos!$D$6:$D$17,MATCH($B32,Datos!$A$6:$A$17,0)),""))</f>
        <v/>
      </c>
      <c r="G32" s="17" t="str">
        <f>IF($B32="","",IFERROR(INDEX(Datos!$E$6:$E$17,MATCH($B32,Datos!$A$6:$A$17,0)),0))</f>
        <v/>
      </c>
      <c r="H32" s="21"/>
      <c r="I32" s="22" t="str">
        <f>IF($B32="","",IFERROR(INDEX(Datos!$F$6:$F$17,MATCH($B32,Datos!$A$6:$A$17,0)),0))</f>
        <v/>
      </c>
      <c r="J32" s="17" t="str">
        <f t="shared" si="1"/>
        <v/>
      </c>
      <c r="K32" s="17" t="str">
        <f t="shared" si="2"/>
        <v/>
      </c>
      <c r="L32" s="17" t="str">
        <f t="shared" si="3"/>
        <v/>
      </c>
      <c r="M32" s="23"/>
      <c r="N32" s="32"/>
    </row>
    <row r="33" spans="1:14" ht="18.45" customHeight="1">
      <c r="A33" s="31" t="str">
        <f t="shared" si="0"/>
        <v/>
      </c>
      <c r="B33" s="13"/>
      <c r="C33" s="14" t="str">
        <f>IF($B33="","",IFERROR(INDEX(Datos!$C$6:$C$17,MATCH($B33,Datos!$A$6:$A$17,0)),""))</f>
        <v/>
      </c>
      <c r="D33" s="15" t="str">
        <f>IF($B33="","",IFERROR(INDEX(Datos!$B$6:$B$17,MATCH($B33,Datos!$A$6:$A$17,0)),""))</f>
        <v/>
      </c>
      <c r="E33" s="20"/>
      <c r="F33" s="19" t="str">
        <f>IF($B33="","",IFERROR(INDEX(Datos!$D$6:$D$17,MATCH($B33,Datos!$A$6:$A$17,0)),""))</f>
        <v/>
      </c>
      <c r="G33" s="17" t="str">
        <f>IF($B33="","",IFERROR(INDEX(Datos!$E$6:$E$17,MATCH($B33,Datos!$A$6:$A$17,0)),0))</f>
        <v/>
      </c>
      <c r="H33" s="21"/>
      <c r="I33" s="22" t="str">
        <f>IF($B33="","",IFERROR(INDEX(Datos!$F$6:$F$17,MATCH($B33,Datos!$A$6:$A$17,0)),0))</f>
        <v/>
      </c>
      <c r="J33" s="17" t="str">
        <f t="shared" si="1"/>
        <v/>
      </c>
      <c r="K33" s="17" t="str">
        <f t="shared" si="2"/>
        <v/>
      </c>
      <c r="L33" s="17" t="str">
        <f t="shared" si="3"/>
        <v/>
      </c>
      <c r="M33" s="23"/>
      <c r="N33" s="32"/>
    </row>
    <row r="34" spans="1:14" ht="18.45" customHeight="1">
      <c r="A34" s="31" t="str">
        <f t="shared" si="0"/>
        <v/>
      </c>
      <c r="B34" s="13"/>
      <c r="C34" s="14" t="str">
        <f>IF($B34="","",IFERROR(INDEX(Datos!$C$6:$C$17,MATCH($B34,Datos!$A$6:$A$17,0)),""))</f>
        <v/>
      </c>
      <c r="D34" s="15" t="str">
        <f>IF($B34="","",IFERROR(INDEX(Datos!$B$6:$B$17,MATCH($B34,Datos!$A$6:$A$17,0)),""))</f>
        <v/>
      </c>
      <c r="E34" s="20"/>
      <c r="F34" s="19" t="str">
        <f>IF($B34="","",IFERROR(INDEX(Datos!$D$6:$D$17,MATCH($B34,Datos!$A$6:$A$17,0)),""))</f>
        <v/>
      </c>
      <c r="G34" s="17" t="str">
        <f>IF($B34="","",IFERROR(INDEX(Datos!$E$6:$E$17,MATCH($B34,Datos!$A$6:$A$17,0)),0))</f>
        <v/>
      </c>
      <c r="H34" s="21"/>
      <c r="I34" s="22" t="str">
        <f>IF($B34="","",IFERROR(INDEX(Datos!$F$6:$F$17,MATCH($B34,Datos!$A$6:$A$17,0)),0))</f>
        <v/>
      </c>
      <c r="J34" s="17" t="str">
        <f t="shared" si="1"/>
        <v/>
      </c>
      <c r="K34" s="17" t="str">
        <f t="shared" si="2"/>
        <v/>
      </c>
      <c r="L34" s="17" t="str">
        <f t="shared" si="3"/>
        <v/>
      </c>
      <c r="M34" s="23"/>
      <c r="N34" s="32"/>
    </row>
    <row r="35" spans="1:14" ht="18.45" customHeight="1">
      <c r="A35" s="31" t="str">
        <f t="shared" si="0"/>
        <v/>
      </c>
      <c r="B35" s="13"/>
      <c r="C35" s="14" t="str">
        <f>IF($B35="","",IFERROR(INDEX(Datos!$C$6:$C$17,MATCH($B35,Datos!$A$6:$A$17,0)),""))</f>
        <v/>
      </c>
      <c r="D35" s="15" t="str">
        <f>IF($B35="","",IFERROR(INDEX(Datos!$B$6:$B$17,MATCH($B35,Datos!$A$6:$A$17,0)),""))</f>
        <v/>
      </c>
      <c r="E35" s="20"/>
      <c r="F35" s="19" t="str">
        <f>IF($B35="","",IFERROR(INDEX(Datos!$D$6:$D$17,MATCH($B35,Datos!$A$6:$A$17,0)),""))</f>
        <v/>
      </c>
      <c r="G35" s="17" t="str">
        <f>IF($B35="","",IFERROR(INDEX(Datos!$E$6:$E$17,MATCH($B35,Datos!$A$6:$A$17,0)),0))</f>
        <v/>
      </c>
      <c r="H35" s="21"/>
      <c r="I35" s="22" t="str">
        <f>IF($B35="","",IFERROR(INDEX(Datos!$F$6:$F$17,MATCH($B35,Datos!$A$6:$A$17,0)),0))</f>
        <v/>
      </c>
      <c r="J35" s="17" t="str">
        <f t="shared" si="1"/>
        <v/>
      </c>
      <c r="K35" s="17" t="str">
        <f t="shared" si="2"/>
        <v/>
      </c>
      <c r="L35" s="17" t="str">
        <f t="shared" si="3"/>
        <v/>
      </c>
      <c r="M35" s="23"/>
      <c r="N35" s="32"/>
    </row>
    <row r="36" spans="1:14" ht="18.45" customHeight="1">
      <c r="A36" s="31" t="str">
        <f t="shared" si="0"/>
        <v/>
      </c>
      <c r="B36" s="13"/>
      <c r="C36" s="14" t="str">
        <f>IF($B36="","",IFERROR(INDEX(Datos!$C$6:$C$17,MATCH($B36,Datos!$A$6:$A$17,0)),""))</f>
        <v/>
      </c>
      <c r="D36" s="15" t="str">
        <f>IF($B36="","",IFERROR(INDEX(Datos!$B$6:$B$17,MATCH($B36,Datos!$A$6:$A$17,0)),""))</f>
        <v/>
      </c>
      <c r="E36" s="20"/>
      <c r="F36" s="19" t="str">
        <f>IF($B36="","",IFERROR(INDEX(Datos!$D$6:$D$17,MATCH($B36,Datos!$A$6:$A$17,0)),""))</f>
        <v/>
      </c>
      <c r="G36" s="17" t="str">
        <f>IF($B36="","",IFERROR(INDEX(Datos!$E$6:$E$17,MATCH($B36,Datos!$A$6:$A$17,0)),0))</f>
        <v/>
      </c>
      <c r="H36" s="21"/>
      <c r="I36" s="22" t="str">
        <f>IF($B36="","",IFERROR(INDEX(Datos!$F$6:$F$17,MATCH($B36,Datos!$A$6:$A$17,0)),0))</f>
        <v/>
      </c>
      <c r="J36" s="17" t="str">
        <f t="shared" si="1"/>
        <v/>
      </c>
      <c r="K36" s="17" t="str">
        <f t="shared" si="2"/>
        <v/>
      </c>
      <c r="L36" s="17" t="str">
        <f t="shared" si="3"/>
        <v/>
      </c>
      <c r="M36" s="23"/>
      <c r="N36" s="32"/>
    </row>
    <row r="37" spans="1:14">
      <c r="A37" s="29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28"/>
    </row>
    <row r="38" spans="1:14" ht="17.55" customHeight="1">
      <c r="A38" s="62" t="s">
        <v>61</v>
      </c>
      <c r="B38" s="63"/>
      <c r="C38" s="63"/>
      <c r="D38" s="63"/>
      <c r="E38" s="63"/>
      <c r="F38" s="63"/>
      <c r="G38" s="63"/>
      <c r="H38" s="63"/>
      <c r="I38" s="63"/>
      <c r="J38" s="10"/>
      <c r="K38" s="67" t="s">
        <v>62</v>
      </c>
      <c r="L38" s="67"/>
      <c r="M38" s="67"/>
      <c r="N38" s="68"/>
    </row>
    <row r="39" spans="1:14" ht="17.55" customHeight="1">
      <c r="A39" s="60" t="s">
        <v>63</v>
      </c>
      <c r="B39" s="61"/>
      <c r="C39" s="65" t="s">
        <v>64</v>
      </c>
      <c r="D39" s="65"/>
      <c r="E39" s="65"/>
      <c r="F39" s="65"/>
      <c r="G39" s="65"/>
      <c r="H39" s="65"/>
      <c r="I39" s="65"/>
      <c r="J39" s="10"/>
      <c r="K39" s="61" t="s">
        <v>65</v>
      </c>
      <c r="L39" s="61"/>
      <c r="M39" s="17"/>
      <c r="N39" s="33">
        <f>SUM(J21:J36)</f>
        <v>534.85</v>
      </c>
    </row>
    <row r="40" spans="1:14" ht="17.55" customHeight="1">
      <c r="A40" s="60" t="s">
        <v>66</v>
      </c>
      <c r="B40" s="61"/>
      <c r="C40" s="53" t="s">
        <v>22</v>
      </c>
      <c r="D40" s="53"/>
      <c r="E40" s="53"/>
      <c r="F40" s="53"/>
      <c r="G40" s="53"/>
      <c r="H40" s="53"/>
      <c r="I40" s="53"/>
      <c r="J40" s="10"/>
      <c r="K40" s="61" t="s">
        <v>67</v>
      </c>
      <c r="L40" s="61"/>
      <c r="M40" s="18">
        <v>0.03</v>
      </c>
      <c r="N40" s="33">
        <f>ROUND(N39*M40,2)</f>
        <v>16.05</v>
      </c>
    </row>
    <row r="41" spans="1:14" ht="17.55" customHeight="1">
      <c r="A41" s="60" t="s">
        <v>68</v>
      </c>
      <c r="B41" s="61"/>
      <c r="C41" s="53"/>
      <c r="D41" s="53"/>
      <c r="E41" s="53"/>
      <c r="F41" s="53"/>
      <c r="G41" s="53"/>
      <c r="H41" s="53"/>
      <c r="I41" s="53"/>
      <c r="J41" s="10"/>
      <c r="K41" s="61" t="s">
        <v>69</v>
      </c>
      <c r="L41" s="61"/>
      <c r="M41" s="24">
        <v>18</v>
      </c>
      <c r="N41" s="33">
        <f>M41</f>
        <v>18</v>
      </c>
    </row>
    <row r="42" spans="1:14" ht="17.55" customHeight="1">
      <c r="A42" s="60" t="s">
        <v>70</v>
      </c>
      <c r="B42" s="61"/>
      <c r="C42" s="53"/>
      <c r="D42" s="53"/>
      <c r="E42" s="53"/>
      <c r="F42" s="53"/>
      <c r="G42" s="53"/>
      <c r="H42" s="53"/>
      <c r="I42" s="53"/>
      <c r="J42" s="10"/>
      <c r="K42" s="61" t="s">
        <v>71</v>
      </c>
      <c r="L42" s="61"/>
      <c r="M42" s="18">
        <f>Datos!$B$22</f>
        <v>0.21</v>
      </c>
      <c r="N42" s="33">
        <f>ROUND(N41*M42,2)</f>
        <v>3.78</v>
      </c>
    </row>
    <row r="43" spans="1:14" ht="17.55" customHeight="1">
      <c r="A43" s="60" t="s">
        <v>72</v>
      </c>
      <c r="B43" s="61"/>
      <c r="C43" s="53"/>
      <c r="D43" s="53"/>
      <c r="E43" s="53"/>
      <c r="F43" s="53"/>
      <c r="G43" s="53"/>
      <c r="H43" s="53"/>
      <c r="I43" s="53"/>
      <c r="J43" s="10"/>
      <c r="K43" s="61" t="s">
        <v>73</v>
      </c>
      <c r="L43" s="61"/>
      <c r="M43" s="17"/>
      <c r="N43" s="33">
        <f>ROUND(SUM(K21:K36)*(1-M40),2)</f>
        <v>108.95</v>
      </c>
    </row>
    <row r="44" spans="1:14" ht="17.55" customHeight="1">
      <c r="A44" s="29"/>
      <c r="B44" s="10"/>
      <c r="C44" s="10"/>
      <c r="D44" s="10"/>
      <c r="E44" s="10"/>
      <c r="F44" s="10"/>
      <c r="G44" s="10"/>
      <c r="H44" s="10"/>
      <c r="I44" s="10"/>
      <c r="J44" s="10"/>
      <c r="K44" s="61" t="s">
        <v>74</v>
      </c>
      <c r="L44" s="61"/>
      <c r="M44" s="17"/>
      <c r="N44" s="33">
        <f>N42+N43</f>
        <v>112.73</v>
      </c>
    </row>
    <row r="45" spans="1:14" ht="17.55" customHeight="1">
      <c r="A45" s="29"/>
      <c r="B45" s="10"/>
      <c r="C45" s="10"/>
      <c r="D45" s="10"/>
      <c r="E45" s="10"/>
      <c r="F45" s="10"/>
      <c r="G45" s="10"/>
      <c r="H45" s="10"/>
      <c r="I45" s="10"/>
      <c r="J45" s="10"/>
      <c r="K45" s="69" t="s">
        <v>75</v>
      </c>
      <c r="L45" s="69"/>
      <c r="M45" s="25"/>
      <c r="N45" s="34">
        <f>N39-N40+N41+N44</f>
        <v>649.53000000000009</v>
      </c>
    </row>
    <row r="46" spans="1:14" ht="17.55" customHeight="1">
      <c r="A46" s="71" t="s">
        <v>76</v>
      </c>
      <c r="B46" s="72"/>
      <c r="C46" s="72"/>
      <c r="D46" s="72"/>
      <c r="E46" s="10"/>
      <c r="F46" s="75" t="str">
        <f>"Líneas activas: "&amp;COUNTIF(B21:B36,"&lt;&gt;")&amp;" | Unidades: "&amp;TEXT(SUM(E21:E36),"#,##0.##")</f>
        <v>Líneas activas: 6 | Unidades: 60,0</v>
      </c>
      <c r="G46" s="75"/>
      <c r="H46" s="75"/>
      <c r="I46" s="75"/>
      <c r="J46" s="10"/>
      <c r="K46" s="61" t="s">
        <v>77</v>
      </c>
      <c r="L46" s="61"/>
      <c r="M46" s="24">
        <v>0</v>
      </c>
      <c r="N46" s="33">
        <f>M46</f>
        <v>0</v>
      </c>
    </row>
    <row r="47" spans="1:14" ht="17.55" customHeight="1">
      <c r="A47" s="73"/>
      <c r="B47" s="74"/>
      <c r="C47" s="74"/>
      <c r="D47" s="74"/>
      <c r="E47" s="35"/>
      <c r="F47" s="76"/>
      <c r="G47" s="76"/>
      <c r="H47" s="76"/>
      <c r="I47" s="76"/>
      <c r="J47" s="35"/>
      <c r="K47" s="70" t="s">
        <v>78</v>
      </c>
      <c r="L47" s="70"/>
      <c r="M47" s="36"/>
      <c r="N47" s="37">
        <f>N45-N46</f>
        <v>649.53000000000009</v>
      </c>
    </row>
    <row r="48" spans="1:14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</row>
  </sheetData>
  <mergeCells count="68">
    <mergeCell ref="K46:L46"/>
    <mergeCell ref="K47:L47"/>
    <mergeCell ref="A46:D47"/>
    <mergeCell ref="F46:I47"/>
    <mergeCell ref="K41:L41"/>
    <mergeCell ref="K42:L42"/>
    <mergeCell ref="K43:L43"/>
    <mergeCell ref="K44:L44"/>
    <mergeCell ref="K45:L45"/>
    <mergeCell ref="A41:B41"/>
    <mergeCell ref="C41:I41"/>
    <mergeCell ref="A42:B42"/>
    <mergeCell ref="C42:I42"/>
    <mergeCell ref="A43:B43"/>
    <mergeCell ref="C43:I43"/>
    <mergeCell ref="B17:N17"/>
    <mergeCell ref="A38:I38"/>
    <mergeCell ref="A39:B39"/>
    <mergeCell ref="C39:I39"/>
    <mergeCell ref="A40:B40"/>
    <mergeCell ref="C40:I40"/>
    <mergeCell ref="K38:N38"/>
    <mergeCell ref="K39:L39"/>
    <mergeCell ref="K40:L40"/>
    <mergeCell ref="H12:N12"/>
    <mergeCell ref="A15:N15"/>
    <mergeCell ref="B16:E16"/>
    <mergeCell ref="G16:H16"/>
    <mergeCell ref="J16:N16"/>
    <mergeCell ref="H9:N9"/>
    <mergeCell ref="F10:G10"/>
    <mergeCell ref="H10:N10"/>
    <mergeCell ref="F11:G11"/>
    <mergeCell ref="H11:N11"/>
    <mergeCell ref="A12:B12"/>
    <mergeCell ref="C12:E12"/>
    <mergeCell ref="F6:G6"/>
    <mergeCell ref="F7:G7"/>
    <mergeCell ref="F8:G8"/>
    <mergeCell ref="F9:G9"/>
    <mergeCell ref="F12:G12"/>
    <mergeCell ref="A9:B9"/>
    <mergeCell ref="C9:E9"/>
    <mergeCell ref="A10:B10"/>
    <mergeCell ref="C10:E10"/>
    <mergeCell ref="A11:B11"/>
    <mergeCell ref="C11:E11"/>
    <mergeCell ref="I8:J8"/>
    <mergeCell ref="K8:N8"/>
    <mergeCell ref="A5:E5"/>
    <mergeCell ref="A6:B6"/>
    <mergeCell ref="C6:E6"/>
    <mergeCell ref="A7:B7"/>
    <mergeCell ref="C7:E7"/>
    <mergeCell ref="A8:B8"/>
    <mergeCell ref="C8:E8"/>
    <mergeCell ref="I5:J5"/>
    <mergeCell ref="K5:N5"/>
    <mergeCell ref="I6:J6"/>
    <mergeCell ref="K6:N6"/>
    <mergeCell ref="I7:J7"/>
    <mergeCell ref="K7:N7"/>
    <mergeCell ref="A1:H2"/>
    <mergeCell ref="A3:H3"/>
    <mergeCell ref="I3:J3"/>
    <mergeCell ref="K3:N3"/>
    <mergeCell ref="I4:J4"/>
    <mergeCell ref="K4:N4"/>
  </mergeCells>
  <conditionalFormatting sqref="B21:B36">
    <cfRule type="containsBlanks" dxfId="9" priority="13"/>
  </conditionalFormatting>
  <conditionalFormatting sqref="E21:E36">
    <cfRule type="cellIs" dxfId="8" priority="12" operator="lessThanOrEqual">
      <formula>0</formula>
    </cfRule>
  </conditionalFormatting>
  <conditionalFormatting sqref="K6:N6">
    <cfRule type="containsText" dxfId="7" priority="1" operator="containsText" text="Aprobado"/>
    <cfRule type="containsText" dxfId="6" priority="3" operator="containsText" text="Pendiente"/>
    <cfRule type="containsText" dxfId="5" priority="4" operator="containsText" text="Borrador"/>
    <cfRule type="containsText" dxfId="4" priority="5" operator="containsText" text="Cancelado"/>
  </conditionalFormatting>
  <conditionalFormatting sqref="L21:L36">
    <cfRule type="dataBar" priority="11">
      <dataBar>
        <cfvo type="min"/>
        <cfvo type="max"/>
        <color rgb="FF9AC7C7"/>
      </dataBar>
    </cfRule>
    <cfRule type="dataBar" priority="14">
      <dataBar>
        <cfvo type="min"/>
        <cfvo type="max"/>
        <color rgb="FF9AC7C7"/>
      </dataBar>
      <extLst>
        <ext xmlns:x14="http://schemas.microsoft.com/office/spreadsheetml/2009/9/main" uri="{B025F937-C7B1-47D3-B67F-A62EFF666E3E}">
          <x14:id>{48A388A8-4F34-96D4-F37E-4A104614B2FB}</x14:id>
        </ext>
      </extLst>
    </cfRule>
  </conditionalFormatting>
  <conditionalFormatting sqref="N21:N36">
    <cfRule type="containsText" dxfId="3" priority="6" operator="containsText" text="Aprobado"/>
    <cfRule type="containsText" dxfId="2" priority="8" operator="containsText" text="Pendiente"/>
    <cfRule type="containsText" dxfId="1" priority="9" operator="containsText" text="Borrador"/>
    <cfRule type="containsText" dxfId="0" priority="10" operator="containsText" text="Cancelado"/>
  </conditionalFormatting>
  <dataValidations count="3">
    <dataValidation type="decimal" errorStyle="warning" operator="greaterThan" allowBlank="1" showErrorMessage="1" errorTitle="Cantidad no válida" error="Introduce una cantidad mayor que 0." sqref="E21:E36" xr:uid="{00000000-0002-0000-0000-000008000000}">
      <formula1>0</formula1>
    </dataValidation>
    <dataValidation type="decimal" errorStyle="warning" allowBlank="1" showErrorMessage="1" errorTitle="Descuento no válido" error="Introduce un descuento entre 0% y 100%." sqref="H21:H36" xr:uid="{00000000-0002-0000-0000-000009000000}">
      <formula1>0</formula1>
      <formula2>1</formula2>
    </dataValidation>
    <dataValidation type="decimal" allowBlank="1" sqref="M40 M42" xr:uid="{00000000-0002-0000-0000-00000A000000}">
      <formula1>0</formula1>
      <formula2>1</formula2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8A388A8-4F34-96D4-F37E-4A104614B2FB}">
            <x14:dataBar>
              <x14:cfvo type="min"/>
              <x14:cfvo type="max"/>
              <x14:negativeFillColor auto="1"/>
              <x14:axisColor auto="1"/>
            </x14:dataBar>
          </x14:cfRule>
          <xm:sqref>L21:L36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8">
        <x14:dataValidation type="list" xr:uid="{00000000-0002-0000-0000-000000000000}">
          <x14:formula1>
            <xm:f>Datos!$I$6:$I$9</xm:f>
          </x14:formula1>
          <xm:sqref>H6:N6</xm:sqref>
        </x14:dataValidation>
        <x14:dataValidation type="list" xr:uid="{00000000-0002-0000-0000-000001000000}">
          <x14:formula1>
            <xm:f>Datos!$R$6:$R$12</xm:f>
          </x14:formula1>
          <xm:sqref>K6:N6</xm:sqref>
        </x14:dataValidation>
        <x14:dataValidation type="list" xr:uid="{00000000-0002-0000-0000-000002000000}">
          <x14:formula1>
            <xm:f>Datos!$S$6:$S$9</xm:f>
          </x14:formula1>
          <xm:sqref>K7:N7</xm:sqref>
        </x14:dataValidation>
        <x14:dataValidation type="list" xr:uid="{00000000-0002-0000-0000-000003000000}">
          <x14:formula1>
            <xm:f>Datos!$V$6:$V$9</xm:f>
          </x14:formula1>
          <xm:sqref>K8:N8</xm:sqref>
        </x14:dataValidation>
        <x14:dataValidation type="list" allowBlank="1" xr:uid="{00000000-0002-0000-0000-000004000000}">
          <x14:formula1>
            <xm:f>Datos!$T$6:$T$10</xm:f>
          </x14:formula1>
          <xm:sqref>G16:H16</xm:sqref>
        </x14:dataValidation>
        <x14:dataValidation type="list" allowBlank="1" xr:uid="{00000000-0002-0000-0000-000005000000}">
          <x14:formula1>
            <xm:f>Datos!$U$6:$U$10</xm:f>
          </x14:formula1>
          <xm:sqref>J16:N16</xm:sqref>
        </x14:dataValidation>
        <x14:dataValidation type="list" allowBlank="1" xr:uid="{00000000-0002-0000-0000-000006000000}">
          <x14:formula1>
            <xm:f>Datos!$A$6:$A$17</xm:f>
          </x14:formula1>
          <xm:sqref>B21:B36</xm:sqref>
        </x14:dataValidation>
        <x14:dataValidation type="list" allowBlank="1" xr:uid="{00000000-0002-0000-0000-000007000000}">
          <x14:formula1>
            <xm:f>Datos!$W$6:$W$10</xm:f>
          </x14:formula1>
          <xm:sqref>N21:N36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2"/>
  <sheetViews>
    <sheetView workbookViewId="0"/>
  </sheetViews>
  <sheetFormatPr baseColWidth="10" defaultColWidth="8.796875" defaultRowHeight="13.8"/>
  <cols>
    <col min="1" max="1" width="13" customWidth="1"/>
    <col min="2" max="2" width="36" customWidth="1"/>
    <col min="3" max="3" width="18" customWidth="1"/>
    <col min="4" max="4" width="12" customWidth="1"/>
    <col min="5" max="5" width="14" customWidth="1"/>
    <col min="6" max="6" width="9" customWidth="1"/>
    <col min="7" max="7" width="26" customWidth="1"/>
    <col min="9" max="9" width="32" customWidth="1"/>
    <col min="10" max="10" width="12" customWidth="1"/>
    <col min="11" max="11" width="16" customWidth="1"/>
    <col min="12" max="12" width="28" customWidth="1"/>
    <col min="13" max="13" width="15" customWidth="1"/>
    <col min="14" max="14" width="38" customWidth="1"/>
    <col min="15" max="15" width="22" customWidth="1"/>
    <col min="16" max="16" width="26" customWidth="1"/>
    <col min="18" max="23" width="22" customWidth="1"/>
  </cols>
  <sheetData>
    <row r="1" spans="1:23" ht="19.2" customHeight="1">
      <c r="A1" s="77" t="s">
        <v>79</v>
      </c>
      <c r="B1" s="78"/>
      <c r="C1" s="78"/>
      <c r="D1" s="78"/>
      <c r="E1" s="78"/>
      <c r="F1" s="78"/>
      <c r="G1" s="78"/>
      <c r="H1" s="78"/>
    </row>
    <row r="2" spans="1:23" ht="19.2" customHeight="1">
      <c r="A2" s="79" t="s">
        <v>80</v>
      </c>
      <c r="B2" s="78"/>
      <c r="C2" s="78"/>
      <c r="D2" s="78"/>
      <c r="E2" s="78"/>
      <c r="F2" s="78"/>
      <c r="G2" s="78"/>
      <c r="H2" s="78"/>
    </row>
    <row r="4" spans="1:23" ht="17.55" customHeight="1">
      <c r="A4" s="80" t="s">
        <v>81</v>
      </c>
      <c r="B4" s="80"/>
      <c r="C4" s="80"/>
      <c r="D4" s="80"/>
      <c r="E4" s="80"/>
      <c r="F4" s="80"/>
      <c r="G4" s="80"/>
      <c r="I4" s="81" t="s">
        <v>82</v>
      </c>
      <c r="J4" s="81"/>
      <c r="K4" s="81"/>
      <c r="L4" s="81"/>
      <c r="M4" s="81"/>
      <c r="N4" s="81"/>
      <c r="O4" s="81"/>
      <c r="P4" s="81"/>
      <c r="R4" s="82" t="s">
        <v>83</v>
      </c>
      <c r="S4" s="82"/>
      <c r="T4" s="82"/>
      <c r="U4" s="82"/>
      <c r="V4" s="82"/>
      <c r="W4" s="82"/>
    </row>
    <row r="5" spans="1:23" ht="17.55" customHeight="1">
      <c r="A5" s="2" t="s">
        <v>40</v>
      </c>
      <c r="B5" s="2" t="s">
        <v>42</v>
      </c>
      <c r="C5" s="2" t="s">
        <v>41</v>
      </c>
      <c r="D5" s="2" t="s">
        <v>44</v>
      </c>
      <c r="E5" s="2" t="s">
        <v>84</v>
      </c>
      <c r="F5" s="2" t="s">
        <v>47</v>
      </c>
      <c r="G5" s="2" t="s">
        <v>85</v>
      </c>
      <c r="I5" s="2" t="s">
        <v>5</v>
      </c>
      <c r="J5" s="2" t="s">
        <v>13</v>
      </c>
      <c r="K5" s="2" t="s">
        <v>21</v>
      </c>
      <c r="L5" s="2" t="s">
        <v>23</v>
      </c>
      <c r="M5" s="2" t="s">
        <v>25</v>
      </c>
      <c r="N5" s="2" t="s">
        <v>17</v>
      </c>
      <c r="O5" s="2" t="s">
        <v>86</v>
      </c>
      <c r="P5" s="2" t="s">
        <v>85</v>
      </c>
      <c r="R5" s="2" t="s">
        <v>87</v>
      </c>
      <c r="S5" s="2" t="s">
        <v>15</v>
      </c>
      <c r="T5" s="2" t="s">
        <v>88</v>
      </c>
      <c r="U5" s="2" t="s">
        <v>89</v>
      </c>
      <c r="V5" s="2" t="s">
        <v>19</v>
      </c>
      <c r="W5" s="2" t="s">
        <v>52</v>
      </c>
    </row>
    <row r="6" spans="1:23">
      <c r="A6" s="3" t="s">
        <v>53</v>
      </c>
      <c r="B6" s="3" t="s">
        <v>90</v>
      </c>
      <c r="C6" s="3" t="s">
        <v>91</v>
      </c>
      <c r="D6" s="3" t="s">
        <v>92</v>
      </c>
      <c r="E6" s="4">
        <v>4.25</v>
      </c>
      <c r="F6" s="5">
        <v>0.21</v>
      </c>
      <c r="G6" s="3" t="s">
        <v>93</v>
      </c>
      <c r="I6" s="6" t="s">
        <v>10</v>
      </c>
      <c r="J6" s="6" t="s">
        <v>94</v>
      </c>
      <c r="K6" s="6" t="s">
        <v>95</v>
      </c>
      <c r="L6" s="6" t="s">
        <v>96</v>
      </c>
      <c r="M6" s="6" t="s">
        <v>97</v>
      </c>
      <c r="N6" s="6" t="s">
        <v>98</v>
      </c>
      <c r="O6" s="6" t="s">
        <v>99</v>
      </c>
      <c r="P6" s="6" t="s">
        <v>100</v>
      </c>
      <c r="R6" s="1" t="s">
        <v>12</v>
      </c>
      <c r="S6" s="1" t="s">
        <v>16</v>
      </c>
      <c r="T6" s="1" t="s">
        <v>101</v>
      </c>
      <c r="U6" s="1" t="s">
        <v>36</v>
      </c>
      <c r="V6" s="1" t="s">
        <v>20</v>
      </c>
      <c r="W6" s="1" t="s">
        <v>58</v>
      </c>
    </row>
    <row r="7" spans="1:23">
      <c r="A7" s="3" t="s">
        <v>102</v>
      </c>
      <c r="B7" s="3" t="s">
        <v>103</v>
      </c>
      <c r="C7" s="3" t="s">
        <v>91</v>
      </c>
      <c r="D7" s="3" t="s">
        <v>104</v>
      </c>
      <c r="E7" s="4">
        <v>2.8</v>
      </c>
      <c r="F7" s="5">
        <v>0.21</v>
      </c>
      <c r="G7" s="3" t="s">
        <v>105</v>
      </c>
      <c r="I7" s="6" t="s">
        <v>106</v>
      </c>
      <c r="J7" s="6" t="s">
        <v>107</v>
      </c>
      <c r="K7" s="6" t="s">
        <v>108</v>
      </c>
      <c r="L7" s="6" t="s">
        <v>109</v>
      </c>
      <c r="M7" s="6" t="s">
        <v>110</v>
      </c>
      <c r="N7" s="6" t="s">
        <v>111</v>
      </c>
      <c r="O7" s="6" t="s">
        <v>112</v>
      </c>
      <c r="P7" s="6" t="s">
        <v>113</v>
      </c>
      <c r="R7" s="1" t="s">
        <v>114</v>
      </c>
      <c r="S7" s="1" t="s">
        <v>115</v>
      </c>
      <c r="T7" s="1" t="s">
        <v>116</v>
      </c>
      <c r="U7" s="1" t="s">
        <v>117</v>
      </c>
      <c r="V7" s="1" t="s">
        <v>118</v>
      </c>
      <c r="W7" s="1" t="s">
        <v>54</v>
      </c>
    </row>
    <row r="8" spans="1:23">
      <c r="A8" s="3" t="s">
        <v>56</v>
      </c>
      <c r="B8" s="3" t="s">
        <v>119</v>
      </c>
      <c r="C8" s="3" t="s">
        <v>91</v>
      </c>
      <c r="D8" s="3" t="s">
        <v>120</v>
      </c>
      <c r="E8" s="4">
        <v>8.9</v>
      </c>
      <c r="F8" s="5">
        <v>0.21</v>
      </c>
      <c r="G8" s="3" t="s">
        <v>121</v>
      </c>
      <c r="I8" s="6" t="s">
        <v>122</v>
      </c>
      <c r="J8" s="6" t="s">
        <v>123</v>
      </c>
      <c r="K8" s="6" t="s">
        <v>124</v>
      </c>
      <c r="L8" s="6" t="s">
        <v>125</v>
      </c>
      <c r="M8" s="6" t="s">
        <v>126</v>
      </c>
      <c r="N8" s="6" t="s">
        <v>127</v>
      </c>
      <c r="O8" s="6" t="s">
        <v>128</v>
      </c>
      <c r="P8" s="6" t="s">
        <v>129</v>
      </c>
      <c r="R8" s="1" t="s">
        <v>130</v>
      </c>
      <c r="S8" s="1" t="s">
        <v>131</v>
      </c>
      <c r="T8" s="1" t="s">
        <v>132</v>
      </c>
      <c r="U8" s="1" t="s">
        <v>133</v>
      </c>
      <c r="V8" s="1" t="s">
        <v>134</v>
      </c>
      <c r="W8" s="1" t="s">
        <v>135</v>
      </c>
    </row>
    <row r="9" spans="1:23">
      <c r="A9" s="3" t="s">
        <v>55</v>
      </c>
      <c r="B9" s="3" t="s">
        <v>136</v>
      </c>
      <c r="C9" s="3" t="s">
        <v>137</v>
      </c>
      <c r="D9" s="3" t="s">
        <v>104</v>
      </c>
      <c r="E9" s="4">
        <v>24.5</v>
      </c>
      <c r="F9" s="5">
        <v>0.21</v>
      </c>
      <c r="G9" s="3" t="s">
        <v>138</v>
      </c>
      <c r="I9" s="6" t="s">
        <v>139</v>
      </c>
      <c r="J9" s="6" t="s">
        <v>140</v>
      </c>
      <c r="K9" s="6" t="s">
        <v>141</v>
      </c>
      <c r="L9" s="6" t="s">
        <v>142</v>
      </c>
      <c r="M9" s="6" t="s">
        <v>143</v>
      </c>
      <c r="N9" s="6" t="s">
        <v>144</v>
      </c>
      <c r="O9" s="6" t="s">
        <v>145</v>
      </c>
      <c r="P9" s="6" t="s">
        <v>146</v>
      </c>
      <c r="R9" s="1" t="s">
        <v>147</v>
      </c>
      <c r="S9" s="1" t="s">
        <v>148</v>
      </c>
      <c r="T9" s="1" t="s">
        <v>34</v>
      </c>
      <c r="U9" s="1" t="s">
        <v>145</v>
      </c>
      <c r="V9" s="1" t="s">
        <v>149</v>
      </c>
      <c r="W9" s="1" t="s">
        <v>150</v>
      </c>
    </row>
    <row r="10" spans="1:23">
      <c r="A10" s="3" t="s">
        <v>151</v>
      </c>
      <c r="B10" s="3" t="s">
        <v>152</v>
      </c>
      <c r="C10" s="3" t="s">
        <v>137</v>
      </c>
      <c r="D10" s="3" t="s">
        <v>104</v>
      </c>
      <c r="E10" s="4">
        <v>16.899999999999999</v>
      </c>
      <c r="F10" s="5">
        <v>0.21</v>
      </c>
      <c r="G10" s="3" t="s">
        <v>153</v>
      </c>
      <c r="R10" s="1" t="s">
        <v>154</v>
      </c>
      <c r="T10" s="1" t="s">
        <v>155</v>
      </c>
      <c r="U10" s="1" t="s">
        <v>156</v>
      </c>
      <c r="W10" s="1" t="s">
        <v>157</v>
      </c>
    </row>
    <row r="11" spans="1:23">
      <c r="A11" s="3" t="s">
        <v>57</v>
      </c>
      <c r="B11" s="3" t="s">
        <v>158</v>
      </c>
      <c r="C11" s="3" t="s">
        <v>159</v>
      </c>
      <c r="D11" s="3" t="s">
        <v>160</v>
      </c>
      <c r="E11" s="4">
        <v>38</v>
      </c>
      <c r="F11" s="5">
        <v>0.21</v>
      </c>
      <c r="G11" s="3" t="s">
        <v>161</v>
      </c>
      <c r="R11" s="1" t="s">
        <v>162</v>
      </c>
    </row>
    <row r="12" spans="1:23">
      <c r="A12" s="3" t="s">
        <v>60</v>
      </c>
      <c r="B12" s="3" t="s">
        <v>163</v>
      </c>
      <c r="C12" s="3" t="s">
        <v>164</v>
      </c>
      <c r="D12" s="3" t="s">
        <v>160</v>
      </c>
      <c r="E12" s="4">
        <v>9.5</v>
      </c>
      <c r="F12" s="5">
        <v>0.21</v>
      </c>
      <c r="G12" s="3" t="s">
        <v>165</v>
      </c>
      <c r="R12" s="1" t="s">
        <v>157</v>
      </c>
    </row>
    <row r="13" spans="1:23">
      <c r="A13" s="3" t="s">
        <v>59</v>
      </c>
      <c r="B13" s="3" t="s">
        <v>166</v>
      </c>
      <c r="C13" s="3" t="s">
        <v>167</v>
      </c>
      <c r="D13" s="3" t="s">
        <v>104</v>
      </c>
      <c r="E13" s="4">
        <v>6.75</v>
      </c>
      <c r="F13" s="5">
        <v>0.21</v>
      </c>
      <c r="G13" s="3" t="s">
        <v>168</v>
      </c>
    </row>
    <row r="14" spans="1:23">
      <c r="A14" s="3" t="s">
        <v>169</v>
      </c>
      <c r="B14" s="3" t="s">
        <v>170</v>
      </c>
      <c r="C14" s="3" t="s">
        <v>171</v>
      </c>
      <c r="D14" s="3" t="s">
        <v>104</v>
      </c>
      <c r="E14" s="4">
        <v>13.4</v>
      </c>
      <c r="F14" s="5">
        <v>0.1</v>
      </c>
      <c r="G14" s="3" t="s">
        <v>172</v>
      </c>
    </row>
    <row r="15" spans="1:23">
      <c r="A15" s="3" t="s">
        <v>173</v>
      </c>
      <c r="B15" s="3" t="s">
        <v>174</v>
      </c>
      <c r="C15" s="3" t="s">
        <v>175</v>
      </c>
      <c r="D15" s="3" t="s">
        <v>176</v>
      </c>
      <c r="E15" s="4">
        <v>18.600000000000001</v>
      </c>
      <c r="F15" s="5">
        <v>0.21</v>
      </c>
      <c r="G15" s="3" t="s">
        <v>177</v>
      </c>
    </row>
    <row r="16" spans="1:23">
      <c r="A16" s="3" t="s">
        <v>178</v>
      </c>
      <c r="B16" s="3" t="s">
        <v>179</v>
      </c>
      <c r="C16" s="3" t="s">
        <v>171</v>
      </c>
      <c r="D16" s="3" t="s">
        <v>104</v>
      </c>
      <c r="E16" s="4">
        <v>42</v>
      </c>
      <c r="F16" s="5">
        <v>0.21</v>
      </c>
      <c r="G16" s="3" t="s">
        <v>180</v>
      </c>
    </row>
    <row r="17" spans="1:7">
      <c r="A17" s="3" t="s">
        <v>181</v>
      </c>
      <c r="B17" s="3" t="s">
        <v>182</v>
      </c>
      <c r="C17" s="3" t="s">
        <v>137</v>
      </c>
      <c r="D17" s="3" t="s">
        <v>104</v>
      </c>
      <c r="E17" s="4">
        <v>11.8</v>
      </c>
      <c r="F17" s="5">
        <v>0.21</v>
      </c>
      <c r="G17" s="3" t="s">
        <v>183</v>
      </c>
    </row>
    <row r="20" spans="1:7">
      <c r="A20" s="7" t="s">
        <v>184</v>
      </c>
      <c r="B20" s="8">
        <v>42</v>
      </c>
    </row>
    <row r="21" spans="1:7">
      <c r="A21" s="7" t="s">
        <v>185</v>
      </c>
      <c r="B21" s="8" t="s">
        <v>186</v>
      </c>
    </row>
    <row r="22" spans="1:7">
      <c r="A22" s="7" t="s">
        <v>187</v>
      </c>
      <c r="B22" s="9">
        <v>0.21</v>
      </c>
    </row>
  </sheetData>
  <mergeCells count="5">
    <mergeCell ref="A1:H1"/>
    <mergeCell ref="A2:H2"/>
    <mergeCell ref="A4:G4"/>
    <mergeCell ref="I4:P4"/>
    <mergeCell ref="R4:W4"/>
  </mergeCells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Pedido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2026-04-24T06:41:54Z</dcterms:modified>
</cp:coreProperties>
</file>