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uadro ventas\"/>
    </mc:Choice>
  </mc:AlternateContent>
  <xr:revisionPtr revIDLastSave="0" documentId="13_ncr:1_{D8180406-75B6-4949-9ECC-AFDF405312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Operaciones" sheetId="2" r:id="rId2"/>
    <sheet name="Catalogo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P133" i="2" l="1"/>
  <c r="O133" i="2"/>
  <c r="L133" i="2"/>
  <c r="T133" i="2" s="1"/>
  <c r="J133" i="2"/>
  <c r="Q133" i="2" s="1"/>
  <c r="G133" i="2"/>
  <c r="T132" i="2"/>
  <c r="Q132" i="2"/>
  <c r="P132" i="2"/>
  <c r="O132" i="2"/>
  <c r="L132" i="2"/>
  <c r="J132" i="2"/>
  <c r="G132" i="2"/>
  <c r="P131" i="2"/>
  <c r="O131" i="2"/>
  <c r="L131" i="2"/>
  <c r="T131" i="2" s="1"/>
  <c r="J131" i="2"/>
  <c r="Q131" i="2" s="1"/>
  <c r="G131" i="2"/>
  <c r="Q130" i="2"/>
  <c r="R130" i="2" s="1"/>
  <c r="S130" i="2" s="1"/>
  <c r="U130" i="2" s="1"/>
  <c r="V130" i="2" s="1"/>
  <c r="P130" i="2"/>
  <c r="O130" i="2"/>
  <c r="L130" i="2"/>
  <c r="T130" i="2" s="1"/>
  <c r="J130" i="2"/>
  <c r="G130" i="2"/>
  <c r="P129" i="2"/>
  <c r="O129" i="2"/>
  <c r="L129" i="2"/>
  <c r="T129" i="2" s="1"/>
  <c r="J129" i="2"/>
  <c r="Q129" i="2" s="1"/>
  <c r="G129" i="2"/>
  <c r="P128" i="2"/>
  <c r="O128" i="2"/>
  <c r="L128" i="2"/>
  <c r="T128" i="2" s="1"/>
  <c r="J128" i="2"/>
  <c r="Q128" i="2" s="1"/>
  <c r="G128" i="2"/>
  <c r="Q127" i="2"/>
  <c r="P127" i="2"/>
  <c r="O127" i="2"/>
  <c r="L127" i="2"/>
  <c r="T127" i="2" s="1"/>
  <c r="J127" i="2"/>
  <c r="G127" i="2"/>
  <c r="P126" i="2"/>
  <c r="O126" i="2"/>
  <c r="L126" i="2"/>
  <c r="T126" i="2" s="1"/>
  <c r="J126" i="2"/>
  <c r="Q126" i="2" s="1"/>
  <c r="G126" i="2"/>
  <c r="Q125" i="2"/>
  <c r="P125" i="2"/>
  <c r="O125" i="2"/>
  <c r="L125" i="2"/>
  <c r="T125" i="2" s="1"/>
  <c r="J125" i="2"/>
  <c r="G125" i="2"/>
  <c r="T124" i="2"/>
  <c r="R124" i="2"/>
  <c r="Q124" i="2"/>
  <c r="S124" i="2" s="1"/>
  <c r="U124" i="2" s="1"/>
  <c r="V124" i="2" s="1"/>
  <c r="P124" i="2"/>
  <c r="O124" i="2"/>
  <c r="L124" i="2"/>
  <c r="J124" i="2"/>
  <c r="G124" i="2"/>
  <c r="T123" i="2"/>
  <c r="Q123" i="2"/>
  <c r="R123" i="2" s="1"/>
  <c r="S123" i="2" s="1"/>
  <c r="U123" i="2" s="1"/>
  <c r="V123" i="2" s="1"/>
  <c r="P123" i="2"/>
  <c r="O123" i="2"/>
  <c r="L123" i="2"/>
  <c r="J123" i="2"/>
  <c r="G123" i="2"/>
  <c r="T122" i="2"/>
  <c r="P122" i="2"/>
  <c r="O122" i="2"/>
  <c r="L122" i="2"/>
  <c r="J122" i="2"/>
  <c r="Q122" i="2" s="1"/>
  <c r="G122" i="2"/>
  <c r="T121" i="2"/>
  <c r="P121" i="2"/>
  <c r="O121" i="2"/>
  <c r="L121" i="2"/>
  <c r="J121" i="2"/>
  <c r="Q121" i="2" s="1"/>
  <c r="G121" i="2"/>
  <c r="T120" i="2"/>
  <c r="P120" i="2"/>
  <c r="O120" i="2"/>
  <c r="L120" i="2"/>
  <c r="J120" i="2"/>
  <c r="Q120" i="2" s="1"/>
  <c r="G120" i="2"/>
  <c r="T119" i="2"/>
  <c r="P119" i="2"/>
  <c r="O119" i="2"/>
  <c r="L119" i="2"/>
  <c r="J119" i="2"/>
  <c r="Q119" i="2" s="1"/>
  <c r="G119" i="2"/>
  <c r="P118" i="2"/>
  <c r="O118" i="2"/>
  <c r="L118" i="2"/>
  <c r="T118" i="2" s="1"/>
  <c r="J118" i="2"/>
  <c r="Q118" i="2" s="1"/>
  <c r="G118" i="2"/>
  <c r="T117" i="2"/>
  <c r="P117" i="2"/>
  <c r="O117" i="2"/>
  <c r="L117" i="2"/>
  <c r="J117" i="2"/>
  <c r="Q117" i="2" s="1"/>
  <c r="G117" i="2"/>
  <c r="Q116" i="2"/>
  <c r="P116" i="2"/>
  <c r="O116" i="2"/>
  <c r="L116" i="2"/>
  <c r="T116" i="2" s="1"/>
  <c r="J116" i="2"/>
  <c r="G116" i="2"/>
  <c r="Q115" i="2"/>
  <c r="P115" i="2"/>
  <c r="O115" i="2"/>
  <c r="L115" i="2"/>
  <c r="T115" i="2" s="1"/>
  <c r="J115" i="2"/>
  <c r="G115" i="2"/>
  <c r="T114" i="2"/>
  <c r="R114" i="2"/>
  <c r="S114" i="2" s="1"/>
  <c r="U114" i="2" s="1"/>
  <c r="V114" i="2" s="1"/>
  <c r="Q114" i="2"/>
  <c r="P114" i="2"/>
  <c r="O114" i="2"/>
  <c r="L114" i="2"/>
  <c r="J114" i="2"/>
  <c r="G114" i="2"/>
  <c r="T113" i="2"/>
  <c r="Q113" i="2"/>
  <c r="P113" i="2"/>
  <c r="O113" i="2"/>
  <c r="L113" i="2"/>
  <c r="J113" i="2"/>
  <c r="G113" i="2"/>
  <c r="T112" i="2"/>
  <c r="Q112" i="2"/>
  <c r="P112" i="2"/>
  <c r="O112" i="2"/>
  <c r="L112" i="2"/>
  <c r="J112" i="2"/>
  <c r="G112" i="2"/>
  <c r="P111" i="2"/>
  <c r="O111" i="2"/>
  <c r="L111" i="2"/>
  <c r="T111" i="2" s="1"/>
  <c r="J111" i="2"/>
  <c r="Q111" i="2" s="1"/>
  <c r="G111" i="2"/>
  <c r="Q110" i="2"/>
  <c r="R110" i="2" s="1"/>
  <c r="S110" i="2" s="1"/>
  <c r="U110" i="2" s="1"/>
  <c r="V110" i="2" s="1"/>
  <c r="P110" i="2"/>
  <c r="O110" i="2"/>
  <c r="L110" i="2"/>
  <c r="T110" i="2" s="1"/>
  <c r="J110" i="2"/>
  <c r="G110" i="2"/>
  <c r="P109" i="2"/>
  <c r="O109" i="2"/>
  <c r="L109" i="2"/>
  <c r="T109" i="2" s="1"/>
  <c r="J109" i="2"/>
  <c r="Q109" i="2" s="1"/>
  <c r="G109" i="2"/>
  <c r="P108" i="2"/>
  <c r="O108" i="2"/>
  <c r="L108" i="2"/>
  <c r="T108" i="2" s="1"/>
  <c r="J108" i="2"/>
  <c r="Q108" i="2" s="1"/>
  <c r="G108" i="2"/>
  <c r="Q107" i="2"/>
  <c r="P107" i="2"/>
  <c r="O107" i="2"/>
  <c r="L107" i="2"/>
  <c r="T107" i="2" s="1"/>
  <c r="J107" i="2"/>
  <c r="G107" i="2"/>
  <c r="P106" i="2"/>
  <c r="O106" i="2"/>
  <c r="L106" i="2"/>
  <c r="T106" i="2" s="1"/>
  <c r="J106" i="2"/>
  <c r="Q106" i="2" s="1"/>
  <c r="G106" i="2"/>
  <c r="Q105" i="2"/>
  <c r="P105" i="2"/>
  <c r="O105" i="2"/>
  <c r="L105" i="2"/>
  <c r="T105" i="2" s="1"/>
  <c r="J105" i="2"/>
  <c r="G105" i="2"/>
  <c r="T104" i="2"/>
  <c r="R104" i="2"/>
  <c r="Q104" i="2"/>
  <c r="S104" i="2" s="1"/>
  <c r="U104" i="2" s="1"/>
  <c r="V104" i="2" s="1"/>
  <c r="P104" i="2"/>
  <c r="O104" i="2"/>
  <c r="L104" i="2"/>
  <c r="J104" i="2"/>
  <c r="G104" i="2"/>
  <c r="T103" i="2"/>
  <c r="Q103" i="2"/>
  <c r="R103" i="2" s="1"/>
  <c r="S103" i="2" s="1"/>
  <c r="U103" i="2" s="1"/>
  <c r="V103" i="2" s="1"/>
  <c r="P103" i="2"/>
  <c r="O103" i="2"/>
  <c r="L103" i="2"/>
  <c r="J103" i="2"/>
  <c r="G103" i="2"/>
  <c r="T102" i="2"/>
  <c r="P102" i="2"/>
  <c r="O102" i="2"/>
  <c r="L102" i="2"/>
  <c r="J102" i="2"/>
  <c r="Q102" i="2" s="1"/>
  <c r="G102" i="2"/>
  <c r="T101" i="2"/>
  <c r="P101" i="2"/>
  <c r="O101" i="2"/>
  <c r="L101" i="2"/>
  <c r="J101" i="2"/>
  <c r="Q101" i="2" s="1"/>
  <c r="G101" i="2"/>
  <c r="T100" i="2"/>
  <c r="P100" i="2"/>
  <c r="O100" i="2"/>
  <c r="L100" i="2"/>
  <c r="J100" i="2"/>
  <c r="Q100" i="2" s="1"/>
  <c r="G100" i="2"/>
  <c r="T99" i="2"/>
  <c r="P99" i="2"/>
  <c r="O99" i="2"/>
  <c r="L99" i="2"/>
  <c r="J99" i="2"/>
  <c r="Q99" i="2" s="1"/>
  <c r="G99" i="2"/>
  <c r="P98" i="2"/>
  <c r="O98" i="2"/>
  <c r="L98" i="2"/>
  <c r="T98" i="2" s="1"/>
  <c r="J98" i="2"/>
  <c r="Q98" i="2" s="1"/>
  <c r="G98" i="2"/>
  <c r="T97" i="2"/>
  <c r="P97" i="2"/>
  <c r="O97" i="2"/>
  <c r="L97" i="2"/>
  <c r="J97" i="2"/>
  <c r="Q97" i="2" s="1"/>
  <c r="G97" i="2"/>
  <c r="Q96" i="2"/>
  <c r="P96" i="2"/>
  <c r="O96" i="2"/>
  <c r="L96" i="2"/>
  <c r="T96" i="2" s="1"/>
  <c r="J96" i="2"/>
  <c r="G96" i="2"/>
  <c r="Q95" i="2"/>
  <c r="P95" i="2"/>
  <c r="O95" i="2"/>
  <c r="L95" i="2"/>
  <c r="T95" i="2" s="1"/>
  <c r="J95" i="2"/>
  <c r="G95" i="2"/>
  <c r="T94" i="2"/>
  <c r="R94" i="2"/>
  <c r="S94" i="2" s="1"/>
  <c r="U94" i="2" s="1"/>
  <c r="V94" i="2" s="1"/>
  <c r="Q94" i="2"/>
  <c r="P94" i="2"/>
  <c r="O94" i="2"/>
  <c r="L94" i="2"/>
  <c r="J94" i="2"/>
  <c r="G94" i="2"/>
  <c r="T93" i="2"/>
  <c r="Q93" i="2"/>
  <c r="P93" i="2"/>
  <c r="O93" i="2"/>
  <c r="L93" i="2"/>
  <c r="J93" i="2"/>
  <c r="G93" i="2"/>
  <c r="T92" i="2"/>
  <c r="Q92" i="2"/>
  <c r="P92" i="2"/>
  <c r="O92" i="2"/>
  <c r="L92" i="2"/>
  <c r="J92" i="2"/>
  <c r="G92" i="2"/>
  <c r="P91" i="2"/>
  <c r="O91" i="2"/>
  <c r="L91" i="2"/>
  <c r="T91" i="2" s="1"/>
  <c r="J91" i="2"/>
  <c r="Q91" i="2" s="1"/>
  <c r="G91" i="2"/>
  <c r="Q90" i="2"/>
  <c r="R90" i="2" s="1"/>
  <c r="S90" i="2" s="1"/>
  <c r="P90" i="2"/>
  <c r="O90" i="2"/>
  <c r="L90" i="2"/>
  <c r="T90" i="2" s="1"/>
  <c r="J90" i="2"/>
  <c r="G90" i="2"/>
  <c r="P89" i="2"/>
  <c r="O89" i="2"/>
  <c r="L89" i="2"/>
  <c r="T89" i="2" s="1"/>
  <c r="J89" i="2"/>
  <c r="Q89" i="2" s="1"/>
  <c r="G89" i="2"/>
  <c r="P88" i="2"/>
  <c r="O88" i="2"/>
  <c r="L88" i="2"/>
  <c r="T88" i="2" s="1"/>
  <c r="J88" i="2"/>
  <c r="Q88" i="2" s="1"/>
  <c r="G88" i="2"/>
  <c r="Q87" i="2"/>
  <c r="P87" i="2"/>
  <c r="O87" i="2"/>
  <c r="L87" i="2"/>
  <c r="T87" i="2" s="1"/>
  <c r="J87" i="2"/>
  <c r="G87" i="2"/>
  <c r="R86" i="2"/>
  <c r="Q86" i="2"/>
  <c r="S86" i="2" s="1"/>
  <c r="P86" i="2"/>
  <c r="O86" i="2"/>
  <c r="L86" i="2"/>
  <c r="T86" i="2" s="1"/>
  <c r="J86" i="2"/>
  <c r="G86" i="2"/>
  <c r="Q85" i="2"/>
  <c r="P85" i="2"/>
  <c r="O85" i="2"/>
  <c r="L85" i="2"/>
  <c r="T85" i="2" s="1"/>
  <c r="J85" i="2"/>
  <c r="G85" i="2"/>
  <c r="T84" i="2"/>
  <c r="R84" i="2"/>
  <c r="Q84" i="2"/>
  <c r="S84" i="2" s="1"/>
  <c r="U84" i="2" s="1"/>
  <c r="V84" i="2" s="1"/>
  <c r="P84" i="2"/>
  <c r="O84" i="2"/>
  <c r="L84" i="2"/>
  <c r="J84" i="2"/>
  <c r="G84" i="2"/>
  <c r="T83" i="2"/>
  <c r="Q83" i="2"/>
  <c r="R83" i="2" s="1"/>
  <c r="S83" i="2" s="1"/>
  <c r="U83" i="2" s="1"/>
  <c r="V83" i="2" s="1"/>
  <c r="P83" i="2"/>
  <c r="O83" i="2"/>
  <c r="L83" i="2"/>
  <c r="J83" i="2"/>
  <c r="G83" i="2"/>
  <c r="T82" i="2"/>
  <c r="P82" i="2"/>
  <c r="O82" i="2"/>
  <c r="L82" i="2"/>
  <c r="J82" i="2"/>
  <c r="Q82" i="2" s="1"/>
  <c r="G82" i="2"/>
  <c r="T81" i="2"/>
  <c r="P81" i="2"/>
  <c r="O81" i="2"/>
  <c r="L81" i="2"/>
  <c r="J81" i="2"/>
  <c r="Q81" i="2" s="1"/>
  <c r="G81" i="2"/>
  <c r="T80" i="2"/>
  <c r="P80" i="2"/>
  <c r="O80" i="2"/>
  <c r="L80" i="2"/>
  <c r="J80" i="2"/>
  <c r="Q80" i="2" s="1"/>
  <c r="G80" i="2"/>
  <c r="T79" i="2"/>
  <c r="P79" i="2"/>
  <c r="O79" i="2"/>
  <c r="L79" i="2"/>
  <c r="J79" i="2"/>
  <c r="Q79" i="2" s="1"/>
  <c r="G79" i="2"/>
  <c r="P78" i="2"/>
  <c r="O78" i="2"/>
  <c r="L78" i="2"/>
  <c r="T78" i="2" s="1"/>
  <c r="J78" i="2"/>
  <c r="Q78" i="2" s="1"/>
  <c r="G78" i="2"/>
  <c r="T77" i="2"/>
  <c r="P77" i="2"/>
  <c r="O77" i="2"/>
  <c r="L77" i="2"/>
  <c r="J77" i="2"/>
  <c r="Q77" i="2" s="1"/>
  <c r="G77" i="2"/>
  <c r="Q76" i="2"/>
  <c r="P76" i="2"/>
  <c r="O76" i="2"/>
  <c r="L76" i="2"/>
  <c r="T76" i="2" s="1"/>
  <c r="J76" i="2"/>
  <c r="G76" i="2"/>
  <c r="Q75" i="2"/>
  <c r="P75" i="2"/>
  <c r="O75" i="2"/>
  <c r="L75" i="2"/>
  <c r="T75" i="2" s="1"/>
  <c r="J75" i="2"/>
  <c r="G75" i="2"/>
  <c r="T74" i="2"/>
  <c r="R74" i="2"/>
  <c r="S74" i="2" s="1"/>
  <c r="U74" i="2" s="1"/>
  <c r="V74" i="2" s="1"/>
  <c r="Q74" i="2"/>
  <c r="P74" i="2"/>
  <c r="O74" i="2"/>
  <c r="L74" i="2"/>
  <c r="J74" i="2"/>
  <c r="G74" i="2"/>
  <c r="T73" i="2"/>
  <c r="Q73" i="2"/>
  <c r="P73" i="2"/>
  <c r="O73" i="2"/>
  <c r="L73" i="2"/>
  <c r="J73" i="2"/>
  <c r="G73" i="2"/>
  <c r="T72" i="2"/>
  <c r="Q72" i="2"/>
  <c r="P72" i="2"/>
  <c r="O72" i="2"/>
  <c r="L72" i="2"/>
  <c r="J72" i="2"/>
  <c r="G72" i="2"/>
  <c r="P71" i="2"/>
  <c r="O71" i="2"/>
  <c r="L71" i="2"/>
  <c r="T71" i="2" s="1"/>
  <c r="J71" i="2"/>
  <c r="Q71" i="2" s="1"/>
  <c r="G71" i="2"/>
  <c r="Q70" i="2"/>
  <c r="R70" i="2" s="1"/>
  <c r="S70" i="2" s="1"/>
  <c r="P70" i="2"/>
  <c r="O70" i="2"/>
  <c r="L70" i="2"/>
  <c r="T70" i="2" s="1"/>
  <c r="J70" i="2"/>
  <c r="G70" i="2"/>
  <c r="P69" i="2"/>
  <c r="O69" i="2"/>
  <c r="L69" i="2"/>
  <c r="T69" i="2" s="1"/>
  <c r="J69" i="2"/>
  <c r="Q69" i="2" s="1"/>
  <c r="G69" i="2"/>
  <c r="P68" i="2"/>
  <c r="O68" i="2"/>
  <c r="L68" i="2"/>
  <c r="T68" i="2" s="1"/>
  <c r="J68" i="2"/>
  <c r="Q68" i="2" s="1"/>
  <c r="G68" i="2"/>
  <c r="Q67" i="2"/>
  <c r="P67" i="2"/>
  <c r="O67" i="2"/>
  <c r="L67" i="2"/>
  <c r="T67" i="2" s="1"/>
  <c r="J67" i="2"/>
  <c r="G67" i="2"/>
  <c r="R66" i="2"/>
  <c r="Q66" i="2"/>
  <c r="S66" i="2" s="1"/>
  <c r="U66" i="2" s="1"/>
  <c r="V66" i="2" s="1"/>
  <c r="P66" i="2"/>
  <c r="O66" i="2"/>
  <c r="L66" i="2"/>
  <c r="T66" i="2" s="1"/>
  <c r="J66" i="2"/>
  <c r="G66" i="2"/>
  <c r="Q65" i="2"/>
  <c r="P65" i="2"/>
  <c r="O65" i="2"/>
  <c r="L65" i="2"/>
  <c r="T65" i="2" s="1"/>
  <c r="J65" i="2"/>
  <c r="G65" i="2"/>
  <c r="T64" i="2"/>
  <c r="R64" i="2"/>
  <c r="Q64" i="2"/>
  <c r="S64" i="2" s="1"/>
  <c r="U64" i="2" s="1"/>
  <c r="V64" i="2" s="1"/>
  <c r="P64" i="2"/>
  <c r="O64" i="2"/>
  <c r="L64" i="2"/>
  <c r="J64" i="2"/>
  <c r="G64" i="2"/>
  <c r="T63" i="2"/>
  <c r="P63" i="2"/>
  <c r="O63" i="2"/>
  <c r="L63" i="2"/>
  <c r="J63" i="2"/>
  <c r="Q63" i="2" s="1"/>
  <c r="G63" i="2"/>
  <c r="T62" i="2"/>
  <c r="P62" i="2"/>
  <c r="O62" i="2"/>
  <c r="L62" i="2"/>
  <c r="J62" i="2"/>
  <c r="Q62" i="2" s="1"/>
  <c r="G62" i="2"/>
  <c r="T61" i="2"/>
  <c r="P61" i="2"/>
  <c r="O61" i="2"/>
  <c r="L61" i="2"/>
  <c r="J61" i="2"/>
  <c r="Q61" i="2" s="1"/>
  <c r="G61" i="2"/>
  <c r="T60" i="2"/>
  <c r="P60" i="2"/>
  <c r="O60" i="2"/>
  <c r="L60" i="2"/>
  <c r="J60" i="2"/>
  <c r="Q60" i="2" s="1"/>
  <c r="G60" i="2"/>
  <c r="T59" i="2"/>
  <c r="P59" i="2"/>
  <c r="O59" i="2"/>
  <c r="L59" i="2"/>
  <c r="J59" i="2"/>
  <c r="Q59" i="2" s="1"/>
  <c r="G59" i="2"/>
  <c r="P58" i="2"/>
  <c r="O58" i="2"/>
  <c r="L58" i="2"/>
  <c r="T58" i="2" s="1"/>
  <c r="J58" i="2"/>
  <c r="Q58" i="2" s="1"/>
  <c r="G58" i="2"/>
  <c r="T57" i="2"/>
  <c r="P57" i="2"/>
  <c r="O57" i="2"/>
  <c r="L57" i="2"/>
  <c r="J57" i="2"/>
  <c r="Q57" i="2" s="1"/>
  <c r="G57" i="2"/>
  <c r="Q56" i="2"/>
  <c r="P56" i="2"/>
  <c r="O56" i="2"/>
  <c r="L56" i="2"/>
  <c r="T56" i="2" s="1"/>
  <c r="J56" i="2"/>
  <c r="G56" i="2"/>
  <c r="Q55" i="2"/>
  <c r="P55" i="2"/>
  <c r="O55" i="2"/>
  <c r="L55" i="2"/>
  <c r="T55" i="2" s="1"/>
  <c r="J55" i="2"/>
  <c r="G55" i="2"/>
  <c r="T54" i="2"/>
  <c r="R54" i="2"/>
  <c r="S54" i="2" s="1"/>
  <c r="U54" i="2" s="1"/>
  <c r="V54" i="2" s="1"/>
  <c r="Q54" i="2"/>
  <c r="P54" i="2"/>
  <c r="O54" i="2"/>
  <c r="L54" i="2"/>
  <c r="J54" i="2"/>
  <c r="G54" i="2"/>
  <c r="T53" i="2"/>
  <c r="Q53" i="2"/>
  <c r="P53" i="2"/>
  <c r="O53" i="2"/>
  <c r="L53" i="2"/>
  <c r="J53" i="2"/>
  <c r="G53" i="2"/>
  <c r="T52" i="2"/>
  <c r="Q52" i="2"/>
  <c r="P52" i="2"/>
  <c r="O52" i="2"/>
  <c r="L52" i="2"/>
  <c r="J52" i="2"/>
  <c r="G52" i="2"/>
  <c r="P51" i="2"/>
  <c r="O51" i="2"/>
  <c r="L51" i="2"/>
  <c r="T51" i="2" s="1"/>
  <c r="J51" i="2"/>
  <c r="Q51" i="2" s="1"/>
  <c r="G51" i="2"/>
  <c r="Q50" i="2"/>
  <c r="R50" i="2" s="1"/>
  <c r="S50" i="2" s="1"/>
  <c r="U50" i="2" s="1"/>
  <c r="V50" i="2" s="1"/>
  <c r="P50" i="2"/>
  <c r="O50" i="2"/>
  <c r="L50" i="2"/>
  <c r="T50" i="2" s="1"/>
  <c r="J50" i="2"/>
  <c r="G50" i="2"/>
  <c r="P49" i="2"/>
  <c r="O49" i="2"/>
  <c r="L49" i="2"/>
  <c r="T49" i="2" s="1"/>
  <c r="J49" i="2"/>
  <c r="Q49" i="2" s="1"/>
  <c r="G49" i="2"/>
  <c r="P48" i="2"/>
  <c r="O48" i="2"/>
  <c r="L48" i="2"/>
  <c r="T48" i="2" s="1"/>
  <c r="J48" i="2"/>
  <c r="Q48" i="2" s="1"/>
  <c r="G48" i="2"/>
  <c r="Q47" i="2"/>
  <c r="P47" i="2"/>
  <c r="O47" i="2"/>
  <c r="L47" i="2"/>
  <c r="T47" i="2" s="1"/>
  <c r="J47" i="2"/>
  <c r="G47" i="2"/>
  <c r="R46" i="2"/>
  <c r="Q46" i="2"/>
  <c r="S46" i="2" s="1"/>
  <c r="P46" i="2"/>
  <c r="O46" i="2"/>
  <c r="L46" i="2"/>
  <c r="T46" i="2" s="1"/>
  <c r="J46" i="2"/>
  <c r="G46" i="2"/>
  <c r="Q45" i="2"/>
  <c r="P45" i="2"/>
  <c r="O45" i="2"/>
  <c r="L45" i="2"/>
  <c r="T45" i="2" s="1"/>
  <c r="J45" i="2"/>
  <c r="G45" i="2"/>
  <c r="T44" i="2"/>
  <c r="R44" i="2"/>
  <c r="Q44" i="2"/>
  <c r="S44" i="2" s="1"/>
  <c r="U44" i="2" s="1"/>
  <c r="V44" i="2" s="1"/>
  <c r="P44" i="2"/>
  <c r="O44" i="2"/>
  <c r="L44" i="2"/>
  <c r="J44" i="2"/>
  <c r="G44" i="2"/>
  <c r="T43" i="2"/>
  <c r="P43" i="2"/>
  <c r="O43" i="2"/>
  <c r="L43" i="2"/>
  <c r="J43" i="2"/>
  <c r="Q43" i="2" s="1"/>
  <c r="G43" i="2"/>
  <c r="T42" i="2"/>
  <c r="P42" i="2"/>
  <c r="O42" i="2"/>
  <c r="L42" i="2"/>
  <c r="J42" i="2"/>
  <c r="Q42" i="2" s="1"/>
  <c r="G42" i="2"/>
  <c r="T41" i="2"/>
  <c r="P41" i="2"/>
  <c r="O41" i="2"/>
  <c r="L41" i="2"/>
  <c r="J41" i="2"/>
  <c r="Q41" i="2" s="1"/>
  <c r="G41" i="2"/>
  <c r="T40" i="2"/>
  <c r="P40" i="2"/>
  <c r="O40" i="2"/>
  <c r="L40" i="2"/>
  <c r="J40" i="2"/>
  <c r="Q40" i="2" s="1"/>
  <c r="G40" i="2"/>
  <c r="T39" i="2"/>
  <c r="P39" i="2"/>
  <c r="O39" i="2"/>
  <c r="L39" i="2"/>
  <c r="J39" i="2"/>
  <c r="Q39" i="2" s="1"/>
  <c r="G39" i="2"/>
  <c r="P38" i="2"/>
  <c r="O38" i="2"/>
  <c r="L38" i="2"/>
  <c r="T38" i="2" s="1"/>
  <c r="J38" i="2"/>
  <c r="Q38" i="2" s="1"/>
  <c r="G38" i="2"/>
  <c r="T37" i="2"/>
  <c r="P37" i="2"/>
  <c r="O37" i="2"/>
  <c r="L37" i="2"/>
  <c r="J37" i="2"/>
  <c r="Q37" i="2" s="1"/>
  <c r="G37" i="2"/>
  <c r="Q36" i="2"/>
  <c r="P36" i="2"/>
  <c r="O36" i="2"/>
  <c r="L36" i="2"/>
  <c r="T36" i="2" s="1"/>
  <c r="J36" i="2"/>
  <c r="G36" i="2"/>
  <c r="T35" i="2"/>
  <c r="Q35" i="2"/>
  <c r="P35" i="2"/>
  <c r="O35" i="2"/>
  <c r="L35" i="2"/>
  <c r="J35" i="2"/>
  <c r="G35" i="2"/>
  <c r="T34" i="2"/>
  <c r="R34" i="2"/>
  <c r="S34" i="2" s="1"/>
  <c r="U34" i="2" s="1"/>
  <c r="V34" i="2" s="1"/>
  <c r="Q34" i="2"/>
  <c r="P34" i="2"/>
  <c r="O34" i="2"/>
  <c r="L34" i="2"/>
  <c r="J34" i="2"/>
  <c r="G34" i="2"/>
  <c r="T33" i="2"/>
  <c r="Q33" i="2"/>
  <c r="P33" i="2"/>
  <c r="O33" i="2"/>
  <c r="L33" i="2"/>
  <c r="J33" i="2"/>
  <c r="G33" i="2"/>
  <c r="T32" i="2"/>
  <c r="Q32" i="2"/>
  <c r="P32" i="2"/>
  <c r="O32" i="2"/>
  <c r="L32" i="2"/>
  <c r="J32" i="2"/>
  <c r="G32" i="2"/>
  <c r="P31" i="2"/>
  <c r="O31" i="2"/>
  <c r="L31" i="2"/>
  <c r="T31" i="2" s="1"/>
  <c r="J31" i="2"/>
  <c r="Q31" i="2" s="1"/>
  <c r="G31" i="2"/>
  <c r="Q30" i="2"/>
  <c r="R30" i="2" s="1"/>
  <c r="S30" i="2" s="1"/>
  <c r="P30" i="2"/>
  <c r="O30" i="2"/>
  <c r="L30" i="2"/>
  <c r="T30" i="2" s="1"/>
  <c r="J30" i="2"/>
  <c r="G30" i="2"/>
  <c r="P29" i="2"/>
  <c r="O29" i="2"/>
  <c r="L29" i="2"/>
  <c r="T29" i="2" s="1"/>
  <c r="J29" i="2"/>
  <c r="Q29" i="2" s="1"/>
  <c r="G29" i="2"/>
  <c r="P28" i="2"/>
  <c r="O28" i="2"/>
  <c r="L28" i="2"/>
  <c r="T28" i="2" s="1"/>
  <c r="J28" i="2"/>
  <c r="Q28" i="2" s="1"/>
  <c r="G28" i="2"/>
  <c r="Q27" i="2"/>
  <c r="P27" i="2"/>
  <c r="O27" i="2"/>
  <c r="L27" i="2"/>
  <c r="T27" i="2" s="1"/>
  <c r="J27" i="2"/>
  <c r="G27" i="2"/>
  <c r="R26" i="2"/>
  <c r="Q26" i="2"/>
  <c r="S26" i="2" s="1"/>
  <c r="U26" i="2" s="1"/>
  <c r="V26" i="2" s="1"/>
  <c r="P26" i="2"/>
  <c r="O26" i="2"/>
  <c r="L26" i="2"/>
  <c r="T26" i="2" s="1"/>
  <c r="J26" i="2"/>
  <c r="G26" i="2"/>
  <c r="Q25" i="2"/>
  <c r="P25" i="2"/>
  <c r="O25" i="2"/>
  <c r="L25" i="2"/>
  <c r="T25" i="2" s="1"/>
  <c r="J25" i="2"/>
  <c r="G25" i="2"/>
  <c r="T24" i="2"/>
  <c r="R24" i="2"/>
  <c r="Q24" i="2"/>
  <c r="S24" i="2" s="1"/>
  <c r="U24" i="2" s="1"/>
  <c r="V24" i="2" s="1"/>
  <c r="P24" i="2"/>
  <c r="O24" i="2"/>
  <c r="L24" i="2"/>
  <c r="J24" i="2"/>
  <c r="G24" i="2"/>
  <c r="T23" i="2"/>
  <c r="P23" i="2"/>
  <c r="O23" i="2"/>
  <c r="L23" i="2"/>
  <c r="J23" i="2"/>
  <c r="Q23" i="2" s="1"/>
  <c r="G23" i="2"/>
  <c r="T22" i="2"/>
  <c r="P22" i="2"/>
  <c r="O22" i="2"/>
  <c r="L22" i="2"/>
  <c r="J22" i="2"/>
  <c r="Q22" i="2" s="1"/>
  <c r="G22" i="2"/>
  <c r="T21" i="2"/>
  <c r="P21" i="2"/>
  <c r="O21" i="2"/>
  <c r="L21" i="2"/>
  <c r="J21" i="2"/>
  <c r="Q21" i="2" s="1"/>
  <c r="G21" i="2"/>
  <c r="T20" i="2"/>
  <c r="P20" i="2"/>
  <c r="O20" i="2"/>
  <c r="L20" i="2"/>
  <c r="J20" i="2"/>
  <c r="Q20" i="2" s="1"/>
  <c r="G20" i="2"/>
  <c r="T19" i="2"/>
  <c r="P19" i="2"/>
  <c r="O19" i="2"/>
  <c r="L19" i="2"/>
  <c r="J19" i="2"/>
  <c r="Q19" i="2" s="1"/>
  <c r="G19" i="2"/>
  <c r="P18" i="2"/>
  <c r="O18" i="2"/>
  <c r="L18" i="2"/>
  <c r="T18" i="2" s="1"/>
  <c r="J18" i="2"/>
  <c r="Q18" i="2" s="1"/>
  <c r="G18" i="2"/>
  <c r="T17" i="2"/>
  <c r="P17" i="2"/>
  <c r="O17" i="2"/>
  <c r="L17" i="2"/>
  <c r="J17" i="2"/>
  <c r="Q17" i="2" s="1"/>
  <c r="G17" i="2"/>
  <c r="Q16" i="2"/>
  <c r="P16" i="2"/>
  <c r="O16" i="2"/>
  <c r="L16" i="2"/>
  <c r="T16" i="2" s="1"/>
  <c r="J16" i="2"/>
  <c r="G16" i="2"/>
  <c r="Q15" i="2"/>
  <c r="P15" i="2"/>
  <c r="O15" i="2"/>
  <c r="L15" i="2"/>
  <c r="T15" i="2" s="1"/>
  <c r="J15" i="2"/>
  <c r="G15" i="2"/>
  <c r="T14" i="2"/>
  <c r="R14" i="2"/>
  <c r="S14" i="2" s="1"/>
  <c r="U14" i="2" s="1"/>
  <c r="V14" i="2" s="1"/>
  <c r="Q14" i="2"/>
  <c r="P14" i="2"/>
  <c r="O14" i="2"/>
  <c r="L14" i="2"/>
  <c r="J14" i="2"/>
  <c r="G14" i="2"/>
  <c r="T13" i="2"/>
  <c r="Q13" i="2"/>
  <c r="P13" i="2"/>
  <c r="O13" i="2"/>
  <c r="L13" i="2"/>
  <c r="J13" i="2"/>
  <c r="G13" i="2"/>
  <c r="T12" i="2"/>
  <c r="Q12" i="2"/>
  <c r="P12" i="2"/>
  <c r="O12" i="2"/>
  <c r="L12" i="2"/>
  <c r="J12" i="2"/>
  <c r="G12" i="2"/>
  <c r="P11" i="2"/>
  <c r="O11" i="2"/>
  <c r="L11" i="2"/>
  <c r="T11" i="2" s="1"/>
  <c r="J11" i="2"/>
  <c r="Q11" i="2" s="1"/>
  <c r="G11" i="2"/>
  <c r="Q10" i="2"/>
  <c r="R10" i="2" s="1"/>
  <c r="S10" i="2" s="1"/>
  <c r="U10" i="2" s="1"/>
  <c r="V10" i="2" s="1"/>
  <c r="P10" i="2"/>
  <c r="O10" i="2"/>
  <c r="L10" i="2"/>
  <c r="T10" i="2" s="1"/>
  <c r="J10" i="2"/>
  <c r="G10" i="2"/>
  <c r="P9" i="2"/>
  <c r="O9" i="2"/>
  <c r="L9" i="2"/>
  <c r="T9" i="2" s="1"/>
  <c r="J9" i="2"/>
  <c r="Q9" i="2" s="1"/>
  <c r="G9" i="2"/>
  <c r="P8" i="2"/>
  <c r="O8" i="2"/>
  <c r="L8" i="2"/>
  <c r="T8" i="2" s="1"/>
  <c r="J8" i="2"/>
  <c r="Q8" i="2" s="1"/>
  <c r="G8" i="2"/>
  <c r="Q7" i="2"/>
  <c r="P7" i="2"/>
  <c r="O7" i="2"/>
  <c r="L7" i="2"/>
  <c r="T7" i="2" s="1"/>
  <c r="J7" i="2"/>
  <c r="G7" i="2"/>
  <c r="R6" i="2"/>
  <c r="Q6" i="2"/>
  <c r="S6" i="2" s="1"/>
  <c r="U6" i="2" s="1"/>
  <c r="V6" i="2" s="1"/>
  <c r="P6" i="2"/>
  <c r="O6" i="2"/>
  <c r="L6" i="2"/>
  <c r="T6" i="2" s="1"/>
  <c r="J6" i="2"/>
  <c r="G6" i="2"/>
  <c r="Q5" i="2"/>
  <c r="P5" i="2"/>
  <c r="O5" i="2"/>
  <c r="L5" i="2"/>
  <c r="T5" i="2" s="1"/>
  <c r="J5" i="2"/>
  <c r="G5" i="2"/>
  <c r="T4" i="2"/>
  <c r="R4" i="2"/>
  <c r="Q4" i="2"/>
  <c r="S4" i="2" s="1"/>
  <c r="U4" i="2" s="1"/>
  <c r="V4" i="2" s="1"/>
  <c r="P4" i="2"/>
  <c r="O4" i="2"/>
  <c r="L4" i="2"/>
  <c r="J4" i="2"/>
  <c r="G4" i="2"/>
  <c r="T3" i="2"/>
  <c r="P3" i="2"/>
  <c r="O3" i="2"/>
  <c r="L3" i="2"/>
  <c r="J3" i="2"/>
  <c r="Q3" i="2" s="1"/>
  <c r="G3" i="2"/>
  <c r="T2" i="2"/>
  <c r="P2" i="2"/>
  <c r="O2" i="2"/>
  <c r="L2" i="2"/>
  <c r="J2" i="2"/>
  <c r="Q2" i="2" s="1"/>
  <c r="G2" i="2"/>
  <c r="P14" i="1"/>
  <c r="M14" i="1"/>
  <c r="B14" i="1"/>
  <c r="P13" i="1"/>
  <c r="P12" i="1"/>
  <c r="P11" i="1"/>
  <c r="P10" i="1"/>
  <c r="P9" i="1"/>
  <c r="P8" i="1"/>
  <c r="P7" i="1"/>
  <c r="P6" i="1"/>
  <c r="P5" i="1"/>
  <c r="P4" i="1"/>
  <c r="P3" i="1"/>
  <c r="R23" i="2" l="1"/>
  <c r="S23" i="2" s="1"/>
  <c r="U23" i="2" s="1"/>
  <c r="V23" i="2" s="1"/>
  <c r="R39" i="2"/>
  <c r="S39" i="2" s="1"/>
  <c r="U39" i="2" s="1"/>
  <c r="V39" i="2" s="1"/>
  <c r="R68" i="2"/>
  <c r="S68" i="2" s="1"/>
  <c r="U68" i="2" s="1"/>
  <c r="V68" i="2" s="1"/>
  <c r="R91" i="2"/>
  <c r="S91" i="2" s="1"/>
  <c r="U91" i="2" s="1"/>
  <c r="V91" i="2" s="1"/>
  <c r="S62" i="2"/>
  <c r="U62" i="2" s="1"/>
  <c r="V62" i="2" s="1"/>
  <c r="R62" i="2"/>
  <c r="R78" i="2"/>
  <c r="S78" i="2" s="1"/>
  <c r="U78" i="2" s="1"/>
  <c r="V78" i="2" s="1"/>
  <c r="R117" i="2"/>
  <c r="S117" i="2"/>
  <c r="U117" i="2" s="1"/>
  <c r="V117" i="2" s="1"/>
  <c r="S13" i="2"/>
  <c r="U13" i="2" s="1"/>
  <c r="V13" i="2" s="1"/>
  <c r="R20" i="2"/>
  <c r="S20" i="2" s="1"/>
  <c r="U20" i="2" s="1"/>
  <c r="V20" i="2" s="1"/>
  <c r="S45" i="2"/>
  <c r="U45" i="2" s="1"/>
  <c r="V45" i="2" s="1"/>
  <c r="S49" i="2"/>
  <c r="U49" i="2" s="1"/>
  <c r="V49" i="2" s="1"/>
  <c r="R49" i="2"/>
  <c r="R101" i="2"/>
  <c r="S101" i="2" s="1"/>
  <c r="U101" i="2" s="1"/>
  <c r="V101" i="2" s="1"/>
  <c r="R111" i="2"/>
  <c r="S111" i="2" s="1"/>
  <c r="U111" i="2" s="1"/>
  <c r="V111" i="2" s="1"/>
  <c r="R121" i="2"/>
  <c r="S121" i="2" s="1"/>
  <c r="U121" i="2" s="1"/>
  <c r="V121" i="2" s="1"/>
  <c r="R17" i="2"/>
  <c r="S17" i="2"/>
  <c r="U17" i="2" s="1"/>
  <c r="V17" i="2" s="1"/>
  <c r="R79" i="2"/>
  <c r="S79" i="2" s="1"/>
  <c r="U79" i="2" s="1"/>
  <c r="V79" i="2" s="1"/>
  <c r="R108" i="2"/>
  <c r="S108" i="2" s="1"/>
  <c r="U108" i="2" s="1"/>
  <c r="V108" i="2" s="1"/>
  <c r="S127" i="2"/>
  <c r="U127" i="2" s="1"/>
  <c r="V127" i="2" s="1"/>
  <c r="U30" i="2"/>
  <c r="V30" i="2" s="1"/>
  <c r="S36" i="2"/>
  <c r="U36" i="2" s="1"/>
  <c r="V36" i="2" s="1"/>
  <c r="R63" i="2"/>
  <c r="S63" i="2" s="1"/>
  <c r="U63" i="2" s="1"/>
  <c r="V63" i="2" s="1"/>
  <c r="R118" i="2"/>
  <c r="S118" i="2" s="1"/>
  <c r="U118" i="2" s="1"/>
  <c r="V118" i="2" s="1"/>
  <c r="R21" i="2"/>
  <c r="S21" i="2" s="1"/>
  <c r="U21" i="2" s="1"/>
  <c r="V21" i="2" s="1"/>
  <c r="U46" i="2"/>
  <c r="V46" i="2" s="1"/>
  <c r="R102" i="2"/>
  <c r="S102" i="2" s="1"/>
  <c r="U102" i="2" s="1"/>
  <c r="V102" i="2" s="1"/>
  <c r="R128" i="2"/>
  <c r="S128" i="2" s="1"/>
  <c r="U128" i="2" s="1"/>
  <c r="V128" i="2" s="1"/>
  <c r="R31" i="2"/>
  <c r="S31" i="2" s="1"/>
  <c r="U31" i="2" s="1"/>
  <c r="V31" i="2" s="1"/>
  <c r="R37" i="2"/>
  <c r="S37" i="2"/>
  <c r="U37" i="2" s="1"/>
  <c r="V37" i="2" s="1"/>
  <c r="S53" i="2"/>
  <c r="U53" i="2" s="1"/>
  <c r="V53" i="2" s="1"/>
  <c r="R60" i="2"/>
  <c r="S60" i="2" s="1"/>
  <c r="U60" i="2" s="1"/>
  <c r="V60" i="2" s="1"/>
  <c r="S85" i="2"/>
  <c r="U85" i="2" s="1"/>
  <c r="V85" i="2" s="1"/>
  <c r="S89" i="2"/>
  <c r="U89" i="2" s="1"/>
  <c r="V89" i="2" s="1"/>
  <c r="R89" i="2"/>
  <c r="R59" i="2"/>
  <c r="S59" i="2" s="1"/>
  <c r="U59" i="2" s="1"/>
  <c r="V59" i="2" s="1"/>
  <c r="R88" i="2"/>
  <c r="S88" i="2" s="1"/>
  <c r="U88" i="2" s="1"/>
  <c r="V88" i="2" s="1"/>
  <c r="R69" i="2"/>
  <c r="S69" i="2" s="1"/>
  <c r="U69" i="2" s="1"/>
  <c r="V69" i="2" s="1"/>
  <c r="R99" i="2"/>
  <c r="S99" i="2" s="1"/>
  <c r="U99" i="2" s="1"/>
  <c r="V99" i="2" s="1"/>
  <c r="R18" i="2"/>
  <c r="S18" i="2" s="1"/>
  <c r="U18" i="2" s="1"/>
  <c r="V18" i="2" s="1"/>
  <c r="S95" i="2"/>
  <c r="U95" i="2" s="1"/>
  <c r="V95" i="2" s="1"/>
  <c r="S73" i="2"/>
  <c r="U73" i="2" s="1"/>
  <c r="V73" i="2" s="1"/>
  <c r="R119" i="2"/>
  <c r="S119" i="2" s="1"/>
  <c r="U119" i="2" s="1"/>
  <c r="V119" i="2" s="1"/>
  <c r="S105" i="2"/>
  <c r="U105" i="2" s="1"/>
  <c r="V105" i="2" s="1"/>
  <c r="S129" i="2"/>
  <c r="U129" i="2" s="1"/>
  <c r="V129" i="2" s="1"/>
  <c r="R129" i="2"/>
  <c r="U70" i="2"/>
  <c r="V70" i="2" s="1"/>
  <c r="R9" i="2"/>
  <c r="S9" i="2" s="1"/>
  <c r="U9" i="2" s="1"/>
  <c r="V9" i="2" s="1"/>
  <c r="R38" i="2"/>
  <c r="S38" i="2" s="1"/>
  <c r="U38" i="2" s="1"/>
  <c r="V38" i="2" s="1"/>
  <c r="R106" i="2"/>
  <c r="S106" i="2" s="1"/>
  <c r="U106" i="2" s="1"/>
  <c r="V106" i="2" s="1"/>
  <c r="S125" i="2"/>
  <c r="U125" i="2" s="1"/>
  <c r="V125" i="2" s="1"/>
  <c r="S93" i="2"/>
  <c r="U93" i="2" s="1"/>
  <c r="V93" i="2" s="1"/>
  <c r="R100" i="2"/>
  <c r="S100" i="2" s="1"/>
  <c r="U100" i="2" s="1"/>
  <c r="V100" i="2" s="1"/>
  <c r="R133" i="2"/>
  <c r="S133" i="2" s="1"/>
  <c r="U133" i="2" s="1"/>
  <c r="V133" i="2" s="1"/>
  <c r="S16" i="2"/>
  <c r="U16" i="2" s="1"/>
  <c r="V16" i="2" s="1"/>
  <c r="S55" i="2"/>
  <c r="U55" i="2" s="1"/>
  <c r="V55" i="2" s="1"/>
  <c r="R2" i="2"/>
  <c r="S2" i="2" s="1"/>
  <c r="R109" i="2"/>
  <c r="S109" i="2" s="1"/>
  <c r="U109" i="2" s="1"/>
  <c r="V109" i="2" s="1"/>
  <c r="R41" i="2"/>
  <c r="S41" i="2" s="1"/>
  <c r="U41" i="2" s="1"/>
  <c r="V41" i="2" s="1"/>
  <c r="R57" i="2"/>
  <c r="S57" i="2"/>
  <c r="U57" i="2" s="1"/>
  <c r="V57" i="2" s="1"/>
  <c r="R80" i="2"/>
  <c r="S80" i="2" s="1"/>
  <c r="U80" i="2" s="1"/>
  <c r="V80" i="2" s="1"/>
  <c r="S132" i="2"/>
  <c r="U132" i="2" s="1"/>
  <c r="V132" i="2" s="1"/>
  <c r="R22" i="2"/>
  <c r="S22" i="2" s="1"/>
  <c r="U22" i="2" s="1"/>
  <c r="V22" i="2" s="1"/>
  <c r="R61" i="2"/>
  <c r="S61" i="2" s="1"/>
  <c r="U61" i="2" s="1"/>
  <c r="V61" i="2" s="1"/>
  <c r="U86" i="2"/>
  <c r="V86" i="2" s="1"/>
  <c r="R19" i="2"/>
  <c r="S19" i="2" s="1"/>
  <c r="U19" i="2" s="1"/>
  <c r="V19" i="2" s="1"/>
  <c r="R126" i="2"/>
  <c r="S126" i="2" s="1"/>
  <c r="U126" i="2" s="1"/>
  <c r="V126" i="2" s="1"/>
  <c r="U90" i="2"/>
  <c r="V90" i="2" s="1"/>
  <c r="R43" i="2"/>
  <c r="S43" i="2" s="1"/>
  <c r="U43" i="2" s="1"/>
  <c r="V43" i="2" s="1"/>
  <c r="R82" i="2"/>
  <c r="S82" i="2" s="1"/>
  <c r="U82" i="2" s="1"/>
  <c r="V82" i="2" s="1"/>
  <c r="R131" i="2"/>
  <c r="S131" i="2" s="1"/>
  <c r="U131" i="2" s="1"/>
  <c r="V131" i="2" s="1"/>
  <c r="S33" i="2"/>
  <c r="U33" i="2" s="1"/>
  <c r="V33" i="2" s="1"/>
  <c r="S65" i="2"/>
  <c r="U65" i="2" s="1"/>
  <c r="V65" i="2" s="1"/>
  <c r="R98" i="2"/>
  <c r="S98" i="2" s="1"/>
  <c r="U98" i="2" s="1"/>
  <c r="V98" i="2" s="1"/>
  <c r="R11" i="2"/>
  <c r="S11" i="2" s="1"/>
  <c r="U11" i="2" s="1"/>
  <c r="V11" i="2" s="1"/>
  <c r="R40" i="2"/>
  <c r="S40" i="2" s="1"/>
  <c r="U40" i="2" s="1"/>
  <c r="V40" i="2" s="1"/>
  <c r="R8" i="2"/>
  <c r="S8" i="2" s="1"/>
  <c r="U8" i="2" s="1"/>
  <c r="V8" i="2" s="1"/>
  <c r="S56" i="2"/>
  <c r="U56" i="2" s="1"/>
  <c r="V56" i="2" s="1"/>
  <c r="R122" i="2"/>
  <c r="S122" i="2" s="1"/>
  <c r="U122" i="2" s="1"/>
  <c r="V122" i="2" s="1"/>
  <c r="R28" i="2"/>
  <c r="S28" i="2" s="1"/>
  <c r="U28" i="2" s="1"/>
  <c r="V28" i="2" s="1"/>
  <c r="R51" i="2"/>
  <c r="S51" i="2" s="1"/>
  <c r="U51" i="2" s="1"/>
  <c r="V51" i="2" s="1"/>
  <c r="S5" i="2"/>
  <c r="U5" i="2" s="1"/>
  <c r="V5" i="2" s="1"/>
  <c r="R77" i="2"/>
  <c r="S77" i="2"/>
  <c r="U77" i="2" s="1"/>
  <c r="V77" i="2" s="1"/>
  <c r="R71" i="2"/>
  <c r="S71" i="2" s="1"/>
  <c r="U71" i="2" s="1"/>
  <c r="V71" i="2" s="1"/>
  <c r="R3" i="2"/>
  <c r="S3" i="2" s="1"/>
  <c r="U3" i="2" s="1"/>
  <c r="V3" i="2" s="1"/>
  <c r="S15" i="2"/>
  <c r="U15" i="2" s="1"/>
  <c r="V15" i="2" s="1"/>
  <c r="R48" i="2"/>
  <c r="S48" i="2" s="1"/>
  <c r="U48" i="2" s="1"/>
  <c r="V48" i="2" s="1"/>
  <c r="S96" i="2"/>
  <c r="U96" i="2" s="1"/>
  <c r="V96" i="2" s="1"/>
  <c r="S25" i="2"/>
  <c r="U25" i="2" s="1"/>
  <c r="V25" i="2" s="1"/>
  <c r="R29" i="2"/>
  <c r="S29" i="2" s="1"/>
  <c r="U29" i="2" s="1"/>
  <c r="V29" i="2" s="1"/>
  <c r="R42" i="2"/>
  <c r="S42" i="2" s="1"/>
  <c r="U42" i="2" s="1"/>
  <c r="V42" i="2" s="1"/>
  <c r="R58" i="2"/>
  <c r="S58" i="2" s="1"/>
  <c r="U58" i="2" s="1"/>
  <c r="V58" i="2" s="1"/>
  <c r="R81" i="2"/>
  <c r="S81" i="2" s="1"/>
  <c r="U81" i="2" s="1"/>
  <c r="V81" i="2" s="1"/>
  <c r="S113" i="2"/>
  <c r="U113" i="2" s="1"/>
  <c r="V113" i="2" s="1"/>
  <c r="R120" i="2"/>
  <c r="S120" i="2" s="1"/>
  <c r="U120" i="2" s="1"/>
  <c r="V120" i="2" s="1"/>
  <c r="R97" i="2"/>
  <c r="S97" i="2"/>
  <c r="U97" i="2" s="1"/>
  <c r="V97" i="2" s="1"/>
  <c r="R12" i="2"/>
  <c r="S12" i="2" s="1"/>
  <c r="U12" i="2" s="1"/>
  <c r="V12" i="2" s="1"/>
  <c r="R32" i="2"/>
  <c r="S32" i="2" s="1"/>
  <c r="U32" i="2" s="1"/>
  <c r="V32" i="2" s="1"/>
  <c r="R52" i="2"/>
  <c r="S52" i="2" s="1"/>
  <c r="U52" i="2" s="1"/>
  <c r="V52" i="2" s="1"/>
  <c r="R72" i="2"/>
  <c r="S72" i="2" s="1"/>
  <c r="U72" i="2" s="1"/>
  <c r="V72" i="2" s="1"/>
  <c r="R92" i="2"/>
  <c r="S92" i="2" s="1"/>
  <c r="U92" i="2" s="1"/>
  <c r="V92" i="2" s="1"/>
  <c r="R112" i="2"/>
  <c r="S112" i="2" s="1"/>
  <c r="U112" i="2" s="1"/>
  <c r="V112" i="2" s="1"/>
  <c r="R132" i="2"/>
  <c r="R5" i="2"/>
  <c r="R25" i="2"/>
  <c r="R45" i="2"/>
  <c r="R65" i="2"/>
  <c r="R85" i="2"/>
  <c r="R105" i="2"/>
  <c r="R125" i="2"/>
  <c r="R16" i="2"/>
  <c r="R36" i="2"/>
  <c r="R56" i="2"/>
  <c r="R76" i="2"/>
  <c r="S76" i="2" s="1"/>
  <c r="U76" i="2" s="1"/>
  <c r="V76" i="2" s="1"/>
  <c r="R96" i="2"/>
  <c r="R116" i="2"/>
  <c r="S116" i="2" s="1"/>
  <c r="U116" i="2" s="1"/>
  <c r="V116" i="2" s="1"/>
  <c r="R7" i="2"/>
  <c r="S7" i="2" s="1"/>
  <c r="U7" i="2" s="1"/>
  <c r="V7" i="2" s="1"/>
  <c r="R27" i="2"/>
  <c r="S27" i="2" s="1"/>
  <c r="U27" i="2" s="1"/>
  <c r="V27" i="2" s="1"/>
  <c r="R47" i="2"/>
  <c r="S47" i="2" s="1"/>
  <c r="U47" i="2" s="1"/>
  <c r="V47" i="2" s="1"/>
  <c r="R67" i="2"/>
  <c r="S67" i="2" s="1"/>
  <c r="U67" i="2" s="1"/>
  <c r="V67" i="2" s="1"/>
  <c r="R87" i="2"/>
  <c r="S87" i="2" s="1"/>
  <c r="U87" i="2" s="1"/>
  <c r="V87" i="2" s="1"/>
  <c r="R107" i="2"/>
  <c r="S107" i="2" s="1"/>
  <c r="U107" i="2" s="1"/>
  <c r="V107" i="2" s="1"/>
  <c r="R127" i="2"/>
  <c r="R13" i="2"/>
  <c r="R33" i="2"/>
  <c r="R53" i="2"/>
  <c r="R73" i="2"/>
  <c r="R93" i="2"/>
  <c r="R113" i="2"/>
  <c r="R15" i="2"/>
  <c r="R35" i="2"/>
  <c r="S35" i="2" s="1"/>
  <c r="U35" i="2" s="1"/>
  <c r="V35" i="2" s="1"/>
  <c r="R55" i="2"/>
  <c r="R75" i="2"/>
  <c r="S75" i="2" s="1"/>
  <c r="U75" i="2" s="1"/>
  <c r="V75" i="2" s="1"/>
  <c r="R95" i="2"/>
  <c r="R115" i="2"/>
  <c r="S115" i="2" s="1"/>
  <c r="U115" i="2" s="1"/>
  <c r="V115" i="2" s="1"/>
  <c r="O14" i="1" l="1"/>
  <c r="R5" i="1"/>
  <c r="O4" i="1"/>
  <c r="R6" i="1"/>
  <c r="U2" i="2"/>
  <c r="O9" i="1"/>
  <c r="O8" i="1"/>
  <c r="R13" i="1"/>
  <c r="O7" i="1"/>
  <c r="O13" i="1"/>
  <c r="R12" i="1"/>
  <c r="O6" i="1"/>
  <c r="O12" i="1"/>
  <c r="R11" i="1"/>
  <c r="O11" i="1"/>
  <c r="R3" i="1"/>
  <c r="O21" i="1"/>
  <c r="R4" i="1"/>
  <c r="B11" i="1"/>
  <c r="O20" i="1"/>
  <c r="O19" i="1"/>
  <c r="O18" i="1"/>
  <c r="R16" i="1"/>
  <c r="R15" i="1"/>
  <c r="R14" i="1"/>
  <c r="O3" i="1"/>
  <c r="O10" i="1"/>
  <c r="O5" i="1"/>
  <c r="R10" i="1"/>
  <c r="H14" i="1" l="1"/>
  <c r="K10" i="1" s="1"/>
  <c r="E14" i="1"/>
  <c r="V2" i="2"/>
  <c r="E11" i="1"/>
  <c r="H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H2" authorId="0" shapeId="0" xr:uid="{00000000-0006-0000-0100-000001000000}">
      <text>
        <r>
          <rPr>
            <sz val="10"/>
            <rFont val="Arial"/>
            <family val="2"/>
          </rPr>
          <t>Selecciona el producto. Categoría, precio y coste se completan automáticamente.</t>
        </r>
      </text>
    </comment>
    <comment ref="K2" authorId="0" shapeId="0" xr:uid="{00000000-0006-0000-0100-000002000000}">
      <text>
        <r>
          <rPr>
            <sz val="10"/>
            <rFont val="Arial"/>
            <family val="2"/>
          </rPr>
          <t>Introduce descuentos como porcentaje. Ejemplo: 5% = 0,05.</t>
        </r>
      </text>
    </comment>
    <comment ref="S2" authorId="0" shapeId="0" xr:uid="{00000000-0006-0000-0100-000003000000}">
      <text>
        <r>
          <rPr>
            <sz val="10"/>
            <rFont val="Arial"/>
            <family val="2"/>
          </rPr>
          <t>Venta neta = venta bruta - descuento.</t>
        </r>
      </text>
    </comment>
    <comment ref="U2" authorId="0" shapeId="0" xr:uid="{00000000-0006-0000-0100-000004000000}">
      <text>
        <r>
          <rPr>
            <sz val="10"/>
            <rFont val="Arial"/>
            <family val="2"/>
          </rPr>
          <t>Margen bruto = venta neta - coste total.</t>
        </r>
      </text>
    </comment>
  </commentList>
</comments>
</file>

<file path=xl/sharedStrings.xml><?xml version="1.0" encoding="utf-8"?>
<sst xmlns="http://schemas.openxmlformats.org/spreadsheetml/2006/main" count="1205" uniqueCount="240">
  <si>
    <t>Cuadro de ventas</t>
  </si>
  <si>
    <t>Añade o reemplaza pedidos en «Operaciones». Solo escribes en las columnas azules; el resto se calcula solo.</t>
  </si>
  <si>
    <t>Mes</t>
  </si>
  <si>
    <t>Ventas</t>
  </si>
  <si>
    <t>Objetivo</t>
  </si>
  <si>
    <t>Comercial</t>
  </si>
  <si>
    <t>Ene</t>
  </si>
  <si>
    <t>Lara Soto</t>
  </si>
  <si>
    <t>Feb</t>
  </si>
  <si>
    <t>Iván Mena</t>
  </si>
  <si>
    <t>Año</t>
  </si>
  <si>
    <t>Mar</t>
  </si>
  <si>
    <t>Elisa Prado</t>
  </si>
  <si>
    <t>Todos</t>
  </si>
  <si>
    <t>Región</t>
  </si>
  <si>
    <t>Abr</t>
  </si>
  <si>
    <t>Noel Vela</t>
  </si>
  <si>
    <t>Canal</t>
  </si>
  <si>
    <t>Estado</t>
  </si>
  <si>
    <t>May</t>
  </si>
  <si>
    <t>Jun</t>
  </si>
  <si>
    <t>Jul</t>
  </si>
  <si>
    <t>Categoría</t>
  </si>
  <si>
    <t>Venta neta</t>
  </si>
  <si>
    <t>Margen bruto</t>
  </si>
  <si>
    <t>% margen</t>
  </si>
  <si>
    <t>Ago</t>
  </si>
  <si>
    <t>Kits</t>
  </si>
  <si>
    <t>Sep</t>
  </si>
  <si>
    <t>Macetas</t>
  </si>
  <si>
    <t>Oct</t>
  </si>
  <si>
    <t>Semillas</t>
  </si>
  <si>
    <t>Pedidos</t>
  </si>
  <si>
    <t>Ticket medio</t>
  </si>
  <si>
    <t>Cumplimiento</t>
  </si>
  <si>
    <t>Objetivo anual</t>
  </si>
  <si>
    <t>Nov</t>
  </si>
  <si>
    <t>Iluminación</t>
  </si>
  <si>
    <t>Dic</t>
  </si>
  <si>
    <t>Sensores</t>
  </si>
  <si>
    <t>Compostaje</t>
  </si>
  <si>
    <t>Mobiliario</t>
  </si>
  <si>
    <t>Web propia</t>
  </si>
  <si>
    <t>Marketplace</t>
  </si>
  <si>
    <t>Tienda estudio</t>
  </si>
  <si>
    <t>Distribuidor</t>
  </si>
  <si>
    <t>Sugerencia: duplica las filas de ejemplo y reemplaza solo las celdas azules de «Operaciones».</t>
  </si>
  <si>
    <t>El panel se actualiza automáticamente con los filtros superiores.</t>
  </si>
  <si>
    <t>Fecha</t>
  </si>
  <si>
    <t>Pedido</t>
  </si>
  <si>
    <t>Cliente</t>
  </si>
  <si>
    <t>Producto</t>
  </si>
  <si>
    <t>Unidades</t>
  </si>
  <si>
    <t>Precio unitario</t>
  </si>
  <si>
    <t>Descuento %</t>
  </si>
  <si>
    <t>Coste unitario</t>
  </si>
  <si>
    <t>Método pago</t>
  </si>
  <si>
    <t>Venta bruta</t>
  </si>
  <si>
    <t>Descuento €</t>
  </si>
  <si>
    <t>Coste total</t>
  </si>
  <si>
    <t>Margen %</t>
  </si>
  <si>
    <t>NV-2501-1001</t>
  </si>
  <si>
    <t>Atlas Semilla</t>
  </si>
  <si>
    <t>Centro</t>
  </si>
  <si>
    <t>Pack Semillas Estación</t>
  </si>
  <si>
    <t>Pago aplazado</t>
  </si>
  <si>
    <t>Confirmada</t>
  </si>
  <si>
    <t>NV-2501-1002</t>
  </si>
  <si>
    <t>Punto Brote</t>
  </si>
  <si>
    <t>Transferencia</t>
  </si>
  <si>
    <t>NV-2501-1003</t>
  </si>
  <si>
    <t>Balcón Norte</t>
  </si>
  <si>
    <t>Levante</t>
  </si>
  <si>
    <t>Kit Microhuerto</t>
  </si>
  <si>
    <t>Entregada</t>
  </si>
  <si>
    <t>NV-2501-1004</t>
  </si>
  <si>
    <t>Ladera Clara</t>
  </si>
  <si>
    <t>Compostera Compacta</t>
  </si>
  <si>
    <t>Tarjeta</t>
  </si>
  <si>
    <t>NV-2501-1005</t>
  </si>
  <si>
    <t>Maceta Autorriego S</t>
  </si>
  <si>
    <t>NV-2501-1006</t>
  </si>
  <si>
    <t>Sur</t>
  </si>
  <si>
    <t>NV-2501-1007</t>
  </si>
  <si>
    <t>NV-2501-1008</t>
  </si>
  <si>
    <t>Mesa de Germinación</t>
  </si>
  <si>
    <t>NV-2502-1009</t>
  </si>
  <si>
    <t>Mirador Botánico</t>
  </si>
  <si>
    <t>NV-2502-1010</t>
  </si>
  <si>
    <t>Lumen Patio</t>
  </si>
  <si>
    <t>NV-2502-1011</t>
  </si>
  <si>
    <t>Nido Urbano</t>
  </si>
  <si>
    <t>NV-2502-1012</t>
  </si>
  <si>
    <t>Bizum</t>
  </si>
  <si>
    <t>NV-2502-1013</t>
  </si>
  <si>
    <t>Patio Solar</t>
  </si>
  <si>
    <t>Norte</t>
  </si>
  <si>
    <t>NV-2502-1014</t>
  </si>
  <si>
    <t>NV-2502-1015</t>
  </si>
  <si>
    <t>NV-2502-1016</t>
  </si>
  <si>
    <t>Raíz Nómada</t>
  </si>
  <si>
    <t>Sensor de Riego</t>
  </si>
  <si>
    <t>NV-2503-1017</t>
  </si>
  <si>
    <t>Taller Nube</t>
  </si>
  <si>
    <t>NV-2503-1018</t>
  </si>
  <si>
    <t>Estudio Río</t>
  </si>
  <si>
    <t>NV-2503-1019</t>
  </si>
  <si>
    <t>Pendiente cobro</t>
  </si>
  <si>
    <t>NV-2503-1020</t>
  </si>
  <si>
    <t>NV-2503-1021</t>
  </si>
  <si>
    <t>Arce Vivo</t>
  </si>
  <si>
    <t>NV-2503-1022</t>
  </si>
  <si>
    <t>NV-2503-1023</t>
  </si>
  <si>
    <t>NV-2503-1024</t>
  </si>
  <si>
    <t>NV-2504-1025</t>
  </si>
  <si>
    <t>NV-2504-1026</t>
  </si>
  <si>
    <t>NV-2504-1027</t>
  </si>
  <si>
    <t>Lámpara Cultivo Mini</t>
  </si>
  <si>
    <t>NV-2504-1028</t>
  </si>
  <si>
    <t>NV-2504-1029</t>
  </si>
  <si>
    <t>Maceta Autorriego XL</t>
  </si>
  <si>
    <t>NV-2504-1030</t>
  </si>
  <si>
    <t>NV-2504-1031</t>
  </si>
  <si>
    <t>Casa Bruma</t>
  </si>
  <si>
    <t>NV-2504-1032</t>
  </si>
  <si>
    <t>NV-2505-1033</t>
  </si>
  <si>
    <t>Vía Musgo</t>
  </si>
  <si>
    <t>NV-2505-1034</t>
  </si>
  <si>
    <t>Verde Quinto</t>
  </si>
  <si>
    <t>NV-2505-1035</t>
  </si>
  <si>
    <t>NV-2505-1036</t>
  </si>
  <si>
    <t>NV-2505-1037</t>
  </si>
  <si>
    <t>Órbita Verde</t>
  </si>
  <si>
    <t>NV-2505-1038</t>
  </si>
  <si>
    <t>NV-2505-1039</t>
  </si>
  <si>
    <t>NV-2505-1040</t>
  </si>
  <si>
    <t>NV-2506-1041</t>
  </si>
  <si>
    <t>NV-2506-1042</t>
  </si>
  <si>
    <t>NV-2506-1043</t>
  </si>
  <si>
    <t>NV-2506-1044</t>
  </si>
  <si>
    <t>NV-2506-1045</t>
  </si>
  <si>
    <t>NV-2506-1046</t>
  </si>
  <si>
    <t>NV-2506-1047</t>
  </si>
  <si>
    <t>NV-2506-1048</t>
  </si>
  <si>
    <t>NV-2507-1049</t>
  </si>
  <si>
    <t>NV-2507-1050</t>
  </si>
  <si>
    <t>NV-2507-1051</t>
  </si>
  <si>
    <t>NV-2507-1052</t>
  </si>
  <si>
    <t>NV-2507-1053</t>
  </si>
  <si>
    <t>NV-2507-1054</t>
  </si>
  <si>
    <t>NV-2507-1055</t>
  </si>
  <si>
    <t>NV-2507-1056</t>
  </si>
  <si>
    <t>NV-2508-1057</t>
  </si>
  <si>
    <t>NV-2508-1058</t>
  </si>
  <si>
    <t>NV-2508-1059</t>
  </si>
  <si>
    <t>NV-2508-1060</t>
  </si>
  <si>
    <t>NV-2508-1061</t>
  </si>
  <si>
    <t>NV-2508-1062</t>
  </si>
  <si>
    <t>NV-2508-1063</t>
  </si>
  <si>
    <t>NV-2508-1064</t>
  </si>
  <si>
    <t>NV-2509-1065</t>
  </si>
  <si>
    <t>NV-2509-1066</t>
  </si>
  <si>
    <t>NV-2509-1067</t>
  </si>
  <si>
    <t>NV-2509-1068</t>
  </si>
  <si>
    <t>NV-2509-1069</t>
  </si>
  <si>
    <t>NV-2509-1070</t>
  </si>
  <si>
    <t>NV-2509-1071</t>
  </si>
  <si>
    <t>NV-2509-1072</t>
  </si>
  <si>
    <t>NV-2510-1073</t>
  </si>
  <si>
    <t>NV-2510-1074</t>
  </si>
  <si>
    <t>NV-2510-1075</t>
  </si>
  <si>
    <t>NV-2510-1076</t>
  </si>
  <si>
    <t>NV-2510-1077</t>
  </si>
  <si>
    <t>NV-2510-1078</t>
  </si>
  <si>
    <t>NV-2510-1079</t>
  </si>
  <si>
    <t>NV-2510-1080</t>
  </si>
  <si>
    <t>NV-2511-1081</t>
  </si>
  <si>
    <t>NV-2511-1082</t>
  </si>
  <si>
    <t>NV-2511-1083</t>
  </si>
  <si>
    <t>NV-2511-1084</t>
  </si>
  <si>
    <t>NV-2511-1085</t>
  </si>
  <si>
    <t>NV-2511-1086</t>
  </si>
  <si>
    <t>NV-2511-1087</t>
  </si>
  <si>
    <t>NV-2511-1088</t>
  </si>
  <si>
    <t>NV-2512-1089</t>
  </si>
  <si>
    <t>NV-2512-1090</t>
  </si>
  <si>
    <t>NV-2512-1091</t>
  </si>
  <si>
    <t>NV-2512-1092</t>
  </si>
  <si>
    <t>NV-2512-1093</t>
  </si>
  <si>
    <t>NV-2512-1094</t>
  </si>
  <si>
    <t>NV-2512-1095</t>
  </si>
  <si>
    <t>NV-2512-1096</t>
  </si>
  <si>
    <t>NV-2601-1097</t>
  </si>
  <si>
    <t>NV-2601-1098</t>
  </si>
  <si>
    <t>NV-2601-1099</t>
  </si>
  <si>
    <t>NV-2601-1100</t>
  </si>
  <si>
    <t>NV-2601-1101</t>
  </si>
  <si>
    <t>NV-2601-1102</t>
  </si>
  <si>
    <t>NV-2601-1103</t>
  </si>
  <si>
    <t>NV-2601-1104</t>
  </si>
  <si>
    <t>NV-2601-1105</t>
  </si>
  <si>
    <t>NV-2602-1106</t>
  </si>
  <si>
    <t>NV-2602-1107</t>
  </si>
  <si>
    <t>NV-2602-1108</t>
  </si>
  <si>
    <t>NV-2602-1109</t>
  </si>
  <si>
    <t>NV-2602-1110</t>
  </si>
  <si>
    <t>NV-2602-1111</t>
  </si>
  <si>
    <t>NV-2602-1112</t>
  </si>
  <si>
    <t>NV-2602-1113</t>
  </si>
  <si>
    <t>NV-2602-1114</t>
  </si>
  <si>
    <t>NV-2603-1115</t>
  </si>
  <si>
    <t>NV-2603-1116</t>
  </si>
  <si>
    <t>NV-2603-1117</t>
  </si>
  <si>
    <t>NV-2603-1118</t>
  </si>
  <si>
    <t>NV-2603-1119</t>
  </si>
  <si>
    <t>NV-2603-1120</t>
  </si>
  <si>
    <t>NV-2603-1121</t>
  </si>
  <si>
    <t>NV-2603-1122</t>
  </si>
  <si>
    <t>NV-2603-1123</t>
  </si>
  <si>
    <t>NV-2604-1124</t>
  </si>
  <si>
    <t>NV-2604-1125</t>
  </si>
  <si>
    <t>NV-2604-1126</t>
  </si>
  <si>
    <t>NV-2604-1127</t>
  </si>
  <si>
    <t>NV-2604-1128</t>
  </si>
  <si>
    <t>NV-2604-1129</t>
  </si>
  <si>
    <t>NV-2604-1130</t>
  </si>
  <si>
    <t>NV-2604-1131</t>
  </si>
  <si>
    <t>NV-2604-1132</t>
  </si>
  <si>
    <t>Precio lista</t>
  </si>
  <si>
    <t>Objetivo ventas</t>
  </si>
  <si>
    <t>Comerciales</t>
  </si>
  <si>
    <t>Canales</t>
  </si>
  <si>
    <t>Regiones</t>
  </si>
  <si>
    <t>Métodos pago</t>
  </si>
  <si>
    <t>Estados</t>
  </si>
  <si>
    <t>Años</t>
  </si>
  <si>
    <t>Filtro comerciales</t>
  </si>
  <si>
    <t>Filtro canales</t>
  </si>
  <si>
    <t>Filtro regiones</t>
  </si>
  <si>
    <t>Filtro estados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</si>
</sst>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€#,##0"/>
    <numFmt numFmtId="165" formatCode="\€#,##0.00;[Red]&quot;(€&quot;#,##0.00\);\-"/>
    <numFmt numFmtId="166" formatCode="0.0%"/>
    <numFmt numFmtId="167" formatCode="\€#,##0.00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"/>
    </font>
    <font>
      <b/>
      <sz val="20"/>
      <color rgb="FFFFFFFF"/>
      <name val="Cambria"/>
      <charset val="1"/>
    </font>
    <font>
      <i/>
      <sz val="10"/>
      <color rgb="FF6B7280"/>
      <name val="Cambria"/>
      <charset val="1"/>
    </font>
    <font>
      <b/>
      <sz val="11"/>
      <color rgb="FFFFFFFF"/>
      <name val="Cambria"/>
      <charset val="1"/>
    </font>
    <font>
      <b/>
      <sz val="11"/>
      <color rgb="FF183153"/>
      <name val="Cambria"/>
      <charset val="1"/>
    </font>
    <font>
      <b/>
      <sz val="11"/>
      <color rgb="FFC26716"/>
      <name val="Cambria"/>
      <charset val="1"/>
    </font>
    <font>
      <b/>
      <sz val="16"/>
      <name val="Cambria"/>
      <charset val="1"/>
    </font>
    <font>
      <i/>
      <sz val="11"/>
      <color rgb="FF6B7280"/>
      <name val="Cambria"/>
      <charset val="1"/>
    </font>
    <font>
      <sz val="11"/>
      <color rgb="FF0000FF"/>
      <name val="Cambria"/>
      <charset val="1"/>
    </font>
    <font>
      <sz val="11"/>
      <color rgb="FF000000"/>
      <name val="Cambria"/>
      <charset val="1"/>
    </font>
  </fonts>
  <fills count="14">
    <fill>
      <patternFill patternType="none"/>
    </fill>
    <fill>
      <patternFill patternType="gray125"/>
    </fill>
    <fill>
      <patternFill patternType="solid">
        <fgColor rgb="FF183153"/>
        <bgColor rgb="FF333333"/>
      </patternFill>
    </fill>
    <fill>
      <patternFill patternType="solid">
        <fgColor rgb="FFF3F6F8"/>
        <bgColor rgb="FFFAFAFA"/>
      </patternFill>
    </fill>
    <fill>
      <patternFill patternType="solid">
        <fgColor rgb="FFFFFFFF"/>
        <bgColor rgb="FFFAFAFA"/>
      </patternFill>
    </fill>
    <fill>
      <patternFill patternType="solid">
        <fgColor rgb="FFDCE6F1"/>
        <bgColor rgb="FFD9E1E7"/>
      </patternFill>
    </fill>
    <fill>
      <patternFill patternType="solid">
        <fgColor rgb="FFE2F0D9"/>
        <bgColor rgb="FFD9EDEB"/>
      </patternFill>
    </fill>
    <fill>
      <patternFill patternType="solid">
        <fgColor rgb="FFD9EDEB"/>
        <bgColor rgb="FFDCE6F1"/>
      </patternFill>
    </fill>
    <fill>
      <patternFill patternType="solid">
        <fgColor rgb="FFFFF9E6"/>
        <bgColor rgb="FFFAFAFA"/>
      </patternFill>
    </fill>
    <fill>
      <patternFill patternType="solid">
        <fgColor rgb="FFFCE4D6"/>
        <bgColor rgb="FFFDE9D9"/>
      </patternFill>
    </fill>
    <fill>
      <patternFill patternType="solid">
        <fgColor rgb="FFEDE7F6"/>
        <bgColor rgb="FFDCE6F1"/>
      </patternFill>
    </fill>
    <fill>
      <patternFill patternType="solid">
        <fgColor rgb="FFFFF2CC"/>
        <bgColor rgb="FFFDE9D9"/>
      </patternFill>
    </fill>
    <fill>
      <patternFill patternType="solid">
        <fgColor rgb="FFFAFAFA"/>
        <bgColor rgb="FFF3F6F8"/>
      </patternFill>
    </fill>
    <fill>
      <patternFill patternType="solid">
        <fgColor theme="0" tint="-4.9989318521683403E-2"/>
        <bgColor rgb="FFFAFAFA"/>
      </patternFill>
    </fill>
  </fills>
  <borders count="4">
    <border>
      <left/>
      <right/>
      <top/>
      <bottom/>
      <diagonal/>
    </border>
    <border>
      <left/>
      <right/>
      <top/>
      <bottom style="thin">
        <color rgb="FFD9E1E7"/>
      </bottom>
      <diagonal/>
    </border>
    <border>
      <left style="thin">
        <color rgb="FFD9E1E7"/>
      </left>
      <right style="thin">
        <color rgb="FFD9E1E7"/>
      </right>
      <top style="thin">
        <color rgb="FFD9E1E7"/>
      </top>
      <bottom style="thin">
        <color rgb="FFD9E1E7"/>
      </bottom>
      <diagonal/>
    </border>
    <border>
      <left/>
      <right/>
      <top/>
      <bottom style="medium">
        <color rgb="FF183153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1" fontId="7" fillId="4" borderId="2" xfId="1" applyNumberFormat="1" applyFont="1" applyFill="1" applyBorder="1" applyAlignment="1">
      <alignment horizontal="center"/>
    </xf>
    <xf numFmtId="0" fontId="5" fillId="11" borderId="2" xfId="1" applyFont="1" applyFill="1" applyBorder="1" applyAlignment="1">
      <alignment horizontal="center"/>
    </xf>
    <xf numFmtId="0" fontId="5" fillId="10" borderId="2" xfId="1" applyFont="1" applyFill="1" applyBorder="1" applyAlignment="1">
      <alignment horizontal="center"/>
    </xf>
    <xf numFmtId="0" fontId="5" fillId="9" borderId="2" xfId="1" applyFont="1" applyFill="1" applyBorder="1" applyAlignment="1">
      <alignment horizontal="center"/>
    </xf>
    <xf numFmtId="166" fontId="7" fillId="4" borderId="2" xfId="1" applyNumberFormat="1" applyFont="1" applyFill="1" applyBorder="1" applyAlignment="1">
      <alignment horizontal="center"/>
    </xf>
    <xf numFmtId="165" fontId="7" fillId="4" borderId="2" xfId="1" applyNumberFormat="1" applyFont="1" applyFill="1" applyBorder="1" applyAlignment="1">
      <alignment horizontal="center"/>
    </xf>
    <xf numFmtId="0" fontId="6" fillId="8" borderId="2" xfId="1" applyFont="1" applyFill="1" applyBorder="1" applyAlignment="1">
      <alignment vertical="center" wrapText="1"/>
    </xf>
    <xf numFmtId="0" fontId="5" fillId="7" borderId="2" xfId="1" applyFont="1" applyFill="1" applyBorder="1" applyAlignment="1">
      <alignment horizontal="center"/>
    </xf>
    <xf numFmtId="0" fontId="5" fillId="6" borderId="2" xfId="1" applyFont="1" applyFill="1" applyBorder="1" applyAlignment="1">
      <alignment horizontal="center"/>
    </xf>
    <xf numFmtId="0" fontId="5" fillId="5" borderId="2" xfId="1" applyFont="1" applyFill="1" applyBorder="1" applyAlignment="1">
      <alignment horizontal="center"/>
    </xf>
    <xf numFmtId="0" fontId="3" fillId="3" borderId="0" xfId="1" applyFont="1" applyFill="1" applyAlignment="1">
      <alignment vertical="center" wrapText="1"/>
    </xf>
    <xf numFmtId="0" fontId="2" fillId="2" borderId="0" xfId="1" applyFont="1" applyFill="1" applyAlignment="1">
      <alignment horizontal="left" vertical="center"/>
    </xf>
    <xf numFmtId="0" fontId="4" fillId="2" borderId="0" xfId="1" applyFont="1" applyFill="1"/>
    <xf numFmtId="0" fontId="1" fillId="0" borderId="1" xfId="1" applyBorder="1"/>
    <xf numFmtId="164" fontId="1" fillId="0" borderId="1" xfId="1" applyNumberFormat="1" applyBorder="1"/>
    <xf numFmtId="0" fontId="5" fillId="0" borderId="0" xfId="1" applyFont="1"/>
    <xf numFmtId="0" fontId="5" fillId="3" borderId="2" xfId="1" applyFont="1" applyFill="1" applyBorder="1"/>
    <xf numFmtId="165" fontId="1" fillId="0" borderId="2" xfId="1" applyNumberFormat="1" applyBorder="1"/>
    <xf numFmtId="0" fontId="8" fillId="0" borderId="0" xfId="1" applyFont="1"/>
    <xf numFmtId="0" fontId="4" fillId="2" borderId="3" xfId="1" applyFont="1" applyFill="1" applyBorder="1" applyAlignment="1">
      <alignment horizontal="center"/>
    </xf>
    <xf numFmtId="14" fontId="9" fillId="0" borderId="1" xfId="1" applyNumberFormat="1" applyFont="1" applyBorder="1"/>
    <xf numFmtId="0" fontId="9" fillId="0" borderId="1" xfId="1" applyFont="1" applyBorder="1"/>
    <xf numFmtId="0" fontId="10" fillId="12" borderId="1" xfId="1" applyFont="1" applyFill="1" applyBorder="1"/>
    <xf numFmtId="165" fontId="10" fillId="12" borderId="1" xfId="1" applyNumberFormat="1" applyFont="1" applyFill="1" applyBorder="1"/>
    <xf numFmtId="166" fontId="9" fillId="0" borderId="1" xfId="1" applyNumberFormat="1" applyFont="1" applyBorder="1"/>
    <xf numFmtId="166" fontId="10" fillId="12" borderId="1" xfId="1" applyNumberFormat="1" applyFont="1" applyFill="1" applyBorder="1"/>
    <xf numFmtId="0" fontId="4" fillId="2" borderId="0" xfId="1" applyFont="1" applyFill="1" applyAlignment="1">
      <alignment horizontal="center"/>
    </xf>
    <xf numFmtId="167" fontId="1" fillId="0" borderId="0" xfId="1" applyNumberFormat="1"/>
    <xf numFmtId="0" fontId="1" fillId="13" borderId="2" xfId="1" applyFill="1" applyBorder="1" applyAlignment="1">
      <alignment horizontal="center"/>
    </xf>
  </cellXfs>
  <cellStyles count="2">
    <cellStyle name="Normal" xfId="1" xr:uid="{00000000-0005-0000-0000-000006000000}"/>
    <cellStyle name="Standard" xfId="0" builtinId="0"/>
  </cellStyles>
  <dxfs count="3">
    <dxf>
      <fill>
        <patternFill>
          <bgColor rgb="FFFDE9D9"/>
        </patternFill>
      </fill>
    </dxf>
    <dxf>
      <font>
        <b/>
        <color rgb="FFC00000"/>
      </font>
    </dxf>
    <dxf>
      <fill>
        <patternFill>
          <bgColor rgb="FFFFF2CC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AFAFA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E1E7"/>
      <rgbColor rgb="FF808080"/>
      <rgbColor rgb="FF9999FF"/>
      <rgbColor rgb="FF993366"/>
      <rgbColor rgb="FFFFF9E6"/>
      <rgbColor rgb="FFD9EDE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1"/>
      <rgbColor rgb="FFE2F0D9"/>
      <rgbColor rgb="FFFFF2CC"/>
      <rgbColor rgb="FFEDE7F6"/>
      <rgbColor rgb="FFFDE9D9"/>
      <rgbColor rgb="FFF3F6F8"/>
      <rgbColor rgb="FFFCE4D6"/>
      <rgbColor rgb="FF3366FF"/>
      <rgbColor rgb="FF33CCCC"/>
      <rgbColor rgb="FF99CC00"/>
      <rgbColor rgb="FFFFCC00"/>
      <rgbColor rgb="FFFF9900"/>
      <rgbColor rgb="FFC26716"/>
      <rgbColor rgb="FF6B7280"/>
      <rgbColor rgb="FF969696"/>
      <rgbColor rgb="FF183153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  <a:ea typeface="Calibri"/>
              </a:rPr>
              <a:t>Mix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extLst>
            <c:ext xmlns:c16="http://schemas.microsoft.com/office/drawing/2014/chart" uri="{C3380CC4-5D6E-409C-BE32-E72D297353CC}">
              <c16:uniqueId val="{00000000-6CC0-4CDF-93CA-9C7316567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  <a:ea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  <a:ea typeface="Calibri"/>
              </a:rPr>
              <a:t>Ventas por comercial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extLst>
            <c:ext xmlns:c16="http://schemas.microsoft.com/office/drawing/2014/chart" uri="{C3380CC4-5D6E-409C-BE32-E72D297353CC}">
              <c16:uniqueId val="{00000000-A35C-4A80-BF09-F17912967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168106"/>
        <c:axId val="41606722"/>
      </c:barChart>
      <c:catAx>
        <c:axId val="56168106"/>
        <c:scaling>
          <c:orientation val="minMax"/>
        </c:scaling>
        <c:delete val="0"/>
        <c:axPos val="b"/>
        <c:numFmt formatCode="[$-409]mm/dd/yyyy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Calibri"/>
              </a:defRPr>
            </a:pPr>
            <a:endParaRPr lang="de-DE"/>
          </a:p>
        </c:txPr>
        <c:crossAx val="41606722"/>
        <c:crosses val="autoZero"/>
        <c:auto val="1"/>
        <c:lblAlgn val="ctr"/>
        <c:lblOffset val="100"/>
        <c:noMultiLvlLbl val="0"/>
      </c:catAx>
      <c:valAx>
        <c:axId val="4160672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  <a:ea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Calibri"/>
              </a:defRPr>
            </a:pPr>
            <a:endParaRPr lang="de-DE"/>
          </a:p>
        </c:txPr>
        <c:crossAx val="56168106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  <a:ea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32</xdr:row>
      <xdr:rowOff>0</xdr:rowOff>
    </xdr:from>
    <xdr:to>
      <xdr:col>3</xdr:col>
      <xdr:colOff>765000</xdr:colOff>
      <xdr:row>41</xdr:row>
      <xdr:rowOff>33840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32</xdr:row>
      <xdr:rowOff>0</xdr:rowOff>
    </xdr:from>
    <xdr:to>
      <xdr:col>11</xdr:col>
      <xdr:colOff>835560</xdr:colOff>
      <xdr:row>41</xdr:row>
      <xdr:rowOff>33840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Ventas" displayName="tblVentas" ref="A1:V133" totalsRowShown="0">
  <autoFilter ref="A1:V133" xr:uid="{00000000-0009-0000-0100-000001000000}"/>
  <tableColumns count="22">
    <tableColumn id="1" xr3:uid="{00000000-0010-0000-0000-000001000000}" name="Fecha"/>
    <tableColumn id="2" xr3:uid="{00000000-0010-0000-0000-000002000000}" name="Pedido"/>
    <tableColumn id="3" xr3:uid="{00000000-0010-0000-0000-000003000000}" name="Cliente"/>
    <tableColumn id="4" xr3:uid="{00000000-0010-0000-0000-000004000000}" name="Comercial"/>
    <tableColumn id="5" xr3:uid="{00000000-0010-0000-0000-000005000000}" name="Canal"/>
    <tableColumn id="6" xr3:uid="{00000000-0010-0000-0000-000006000000}" name="Región"/>
    <tableColumn id="7" xr3:uid="{00000000-0010-0000-0000-000007000000}" name="Categoría"/>
    <tableColumn id="8" xr3:uid="{00000000-0010-0000-0000-000008000000}" name="Producto"/>
    <tableColumn id="9" xr3:uid="{00000000-0010-0000-0000-000009000000}" name="Unidades"/>
    <tableColumn id="10" xr3:uid="{00000000-0010-0000-0000-00000A000000}" name="Precio unitario"/>
    <tableColumn id="11" xr3:uid="{00000000-0010-0000-0000-00000B000000}" name="Descuento %"/>
    <tableColumn id="12" xr3:uid="{00000000-0010-0000-0000-00000C000000}" name="Coste unitario"/>
    <tableColumn id="13" xr3:uid="{00000000-0010-0000-0000-00000D000000}" name="Método pago"/>
    <tableColumn id="14" xr3:uid="{00000000-0010-0000-0000-00000E000000}" name="Estado"/>
    <tableColumn id="15" xr3:uid="{00000000-0010-0000-0000-00000F000000}" name="Año"/>
    <tableColumn id="16" xr3:uid="{00000000-0010-0000-0000-000010000000}" name="Mes"/>
    <tableColumn id="17" xr3:uid="{00000000-0010-0000-0000-000011000000}" name="Venta bruta"/>
    <tableColumn id="18" xr3:uid="{00000000-0010-0000-0000-000012000000}" name="Descuento €"/>
    <tableColumn id="19" xr3:uid="{00000000-0010-0000-0000-000013000000}" name="Venta neta"/>
    <tableColumn id="20" xr3:uid="{00000000-0010-0000-0000-000014000000}" name="Coste total"/>
    <tableColumn id="21" xr3:uid="{00000000-0010-0000-0000-000015000000}" name="Margen bruto"/>
    <tableColumn id="22" xr3:uid="{00000000-0010-0000-0000-000016000000}" name="Margen %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R46"/>
  <sheetViews>
    <sheetView showGridLines="0" tabSelected="1" zoomScaleNormal="100" workbookViewId="0">
      <selection activeCell="B2" sqref="B2:H3"/>
    </sheetView>
  </sheetViews>
  <sheetFormatPr baseColWidth="10" defaultColWidth="8.7109375" defaultRowHeight="15" customHeight="1" x14ac:dyDescent="0.2"/>
  <cols>
    <col min="1" max="1" width="4" customWidth="1"/>
    <col min="2" max="2" width="16" customWidth="1"/>
    <col min="3" max="3" width="14" customWidth="1"/>
    <col min="4" max="4" width="16" customWidth="1"/>
    <col min="5" max="7" width="15" customWidth="1"/>
    <col min="8" max="9" width="14" customWidth="1"/>
    <col min="10" max="10" width="12" customWidth="1"/>
    <col min="11" max="11" width="17" customWidth="1"/>
    <col min="12" max="12" width="15" customWidth="1"/>
    <col min="13" max="13" width="15.7109375" bestFit="1" customWidth="1"/>
    <col min="14" max="16" width="12" hidden="1" customWidth="1"/>
    <col min="17" max="17" width="16" hidden="1" customWidth="1"/>
    <col min="18" max="18" width="12" hidden="1" customWidth="1"/>
  </cols>
  <sheetData>
    <row r="2" spans="2:18" ht="27.75" customHeight="1" x14ac:dyDescent="0.2">
      <c r="B2" s="12" t="s">
        <v>0</v>
      </c>
      <c r="C2" s="12"/>
      <c r="D2" s="12"/>
      <c r="E2" s="12"/>
      <c r="F2" s="12"/>
      <c r="G2" s="12"/>
      <c r="H2" s="12"/>
      <c r="J2" s="11" t="s">
        <v>1</v>
      </c>
      <c r="K2" s="11"/>
      <c r="L2" s="11"/>
      <c r="N2" s="13" t="s">
        <v>2</v>
      </c>
      <c r="O2" s="13" t="s">
        <v>3</v>
      </c>
      <c r="P2" s="13" t="s">
        <v>4</v>
      </c>
      <c r="Q2" s="13" t="s">
        <v>5</v>
      </c>
      <c r="R2" s="13" t="s">
        <v>3</v>
      </c>
    </row>
    <row r="3" spans="2:18" ht="27.75" customHeight="1" x14ac:dyDescent="0.25">
      <c r="B3" s="12"/>
      <c r="C3" s="12"/>
      <c r="D3" s="12"/>
      <c r="E3" s="12"/>
      <c r="F3" s="12"/>
      <c r="G3" s="12"/>
      <c r="H3" s="12"/>
      <c r="J3" s="11"/>
      <c r="K3" s="11"/>
      <c r="L3" s="11"/>
      <c r="N3" s="14" t="s">
        <v>6</v>
      </c>
      <c r="O3" s="15">
        <f>SUMPRODUCT((Operaciones!$S$2:$S$300)*--(Operaciones!$O$2:$O$300=$C$5)*--(Operaciones!$P$2:$P$300=1)*--(((Operaciones!$D$2:$D$300=$C$6)+($C$6="Todos"))&gt;0)*--(((Operaciones!$E$2:$E$300=$C$7)+($C$7="Todos"))&gt;0)*--(((Operaciones!$F$2:$F$300=$F$6)+($F$6="Todos"))&gt;0)*--(((Operaciones!$N$2:$N$300=$F$7)+($F$7="Todos"))&gt;0))</f>
        <v>2614.85</v>
      </c>
      <c r="P3" s="15">
        <f>SUMIFS(Catalogos!$H$2:$H$25,Catalogos!$F$2:$F$25,$C$5,Catalogos!$G$2:$G$25,1)</f>
        <v>2100</v>
      </c>
      <c r="Q3" s="14" t="s">
        <v>7</v>
      </c>
      <c r="R3" s="15">
        <f>SUMPRODUCT((Operaciones!$S$2:$S$300)*--(Operaciones!$O$2:$O$300=$C$5)*--(Operaciones!$D$2:$D$300=Q3)*--(((Operaciones!$E$2:$E$300=$C$7)+($C$7="Todos"))&gt;0)*--(((Operaciones!$F$2:$F$300=$F$6)+($F$6="Todos"))&gt;0)*--(((Operaciones!$N$2:$N$300=$F$7)+($F$7="Todos"))&gt;0))</f>
        <v>2527.0899999999997</v>
      </c>
    </row>
    <row r="4" spans="2:18" ht="21.75" customHeight="1" x14ac:dyDescent="0.25">
      <c r="N4" s="14" t="s">
        <v>8</v>
      </c>
      <c r="O4" s="15">
        <f>SUMPRODUCT((Operaciones!$S$2:$S$300)*--(Operaciones!$O$2:$O$300=$C$5)*--(Operaciones!$P$2:$P$300=2)*--(((Operaciones!$D$2:$D$300=$C$6)+($C$6="Todos"))&gt;0)*--(((Operaciones!$E$2:$E$300=$C$7)+($C$7="Todos"))&gt;0)*--(((Operaciones!$F$2:$F$300=$F$6)+($F$6="Todos"))&gt;0)*--(((Operaciones!$N$2:$N$300=$F$7)+($F$7="Todos"))&gt;0))</f>
        <v>2096.42</v>
      </c>
      <c r="P4" s="15">
        <f>SUMIFS(Catalogos!$H$2:$H$25,Catalogos!$F$2:$F$25,$C$5,Catalogos!$G$2:$G$25,2)</f>
        <v>2200</v>
      </c>
      <c r="Q4" s="14" t="s">
        <v>9</v>
      </c>
      <c r="R4" s="15">
        <f>SUMPRODUCT((Operaciones!$S$2:$S$300)*--(Operaciones!$O$2:$O$300=$C$5)*--(Operaciones!$D$2:$D$300=Q4)*--(((Operaciones!$E$2:$E$300=$C$7)+($C$7="Todos"))&gt;0)*--(((Operaciones!$F$2:$F$300=$F$6)+($F$6="Todos"))&gt;0)*--(((Operaciones!$N$2:$N$300=$F$7)+($F$7="Todos"))&gt;0))</f>
        <v>2629.26</v>
      </c>
    </row>
    <row r="5" spans="2:18" ht="21.75" customHeight="1" x14ac:dyDescent="0.25">
      <c r="B5" s="16" t="s">
        <v>10</v>
      </c>
      <c r="C5" s="29">
        <v>2026</v>
      </c>
      <c r="N5" s="14" t="s">
        <v>11</v>
      </c>
      <c r="O5" s="15">
        <f>SUMPRODUCT((Operaciones!$S$2:$S$300)*--(Operaciones!$O$2:$O$300=$C$5)*--(Operaciones!$P$2:$P$300=3)*--(((Operaciones!$D$2:$D$300=$C$6)+($C$6="Todos"))&gt;0)*--(((Operaciones!$E$2:$E$300=$C$7)+($C$7="Todos"))&gt;0)*--(((Operaciones!$F$2:$F$300=$F$6)+($F$6="Todos"))&gt;0)*--(((Operaciones!$N$2:$N$300=$F$7)+($F$7="Todos"))&gt;0))</f>
        <v>1830.3600000000001</v>
      </c>
      <c r="P5" s="15">
        <f>SUMIFS(Catalogos!$H$2:$H$25,Catalogos!$F$2:$F$25,$C$5,Catalogos!$G$2:$G$25,3)</f>
        <v>2300</v>
      </c>
      <c r="Q5" s="14" t="s">
        <v>12</v>
      </c>
      <c r="R5" s="15">
        <f>SUMPRODUCT((Operaciones!$S$2:$S$300)*--(Operaciones!$O$2:$O$300=$C$5)*--(Operaciones!$D$2:$D$300=Q5)*--(((Operaciones!$E$2:$E$300=$C$7)+($C$7="Todos"))&gt;0)*--(((Operaciones!$F$2:$F$300=$F$6)+($F$6="Todos"))&gt;0)*--(((Operaciones!$N$2:$N$300=$F$7)+($F$7="Todos"))&gt;0))</f>
        <v>3275.8599999999997</v>
      </c>
    </row>
    <row r="6" spans="2:18" ht="21.75" customHeight="1" x14ac:dyDescent="0.25">
      <c r="B6" s="16" t="s">
        <v>5</v>
      </c>
      <c r="C6" s="29" t="s">
        <v>13</v>
      </c>
      <c r="E6" s="16" t="s">
        <v>14</v>
      </c>
      <c r="F6" s="29" t="s">
        <v>13</v>
      </c>
      <c r="N6" s="14" t="s">
        <v>15</v>
      </c>
      <c r="O6" s="15">
        <f>SUMPRODUCT((Operaciones!$S$2:$S$300)*--(Operaciones!$O$2:$O$300=$C$5)*--(Operaciones!$P$2:$P$300=4)*--(((Operaciones!$D$2:$D$300=$C$6)+($C$6="Todos"))&gt;0)*--(((Operaciones!$E$2:$E$300=$C$7)+($C$7="Todos"))&gt;0)*--(((Operaciones!$F$2:$F$300=$F$6)+($F$6="Todos"))&gt;0)*--(((Operaciones!$N$2:$N$300=$F$7)+($F$7="Todos"))&gt;0))</f>
        <v>2526.4</v>
      </c>
      <c r="P6" s="15">
        <f>SUMIFS(Catalogos!$H$2:$H$25,Catalogos!$F$2:$F$25,$C$5,Catalogos!$G$2:$G$25,4)</f>
        <v>2400</v>
      </c>
      <c r="Q6" s="14" t="s">
        <v>16</v>
      </c>
      <c r="R6" s="15">
        <f>SUMPRODUCT((Operaciones!$S$2:$S$300)*--(Operaciones!$O$2:$O$300=$C$5)*--(Operaciones!$D$2:$D$300=Q6)*--(((Operaciones!$E$2:$E$300=$C$7)+($C$7="Todos"))&gt;0)*--(((Operaciones!$F$2:$F$300=$F$6)+($F$6="Todos"))&gt;0)*--(((Operaciones!$N$2:$N$300=$F$7)+($F$7="Todos"))&gt;0))</f>
        <v>635.81999999999994</v>
      </c>
    </row>
    <row r="7" spans="2:18" ht="21.75" customHeight="1" x14ac:dyDescent="0.25">
      <c r="B7" s="16" t="s">
        <v>17</v>
      </c>
      <c r="C7" s="29" t="s">
        <v>13</v>
      </c>
      <c r="E7" s="16" t="s">
        <v>18</v>
      </c>
      <c r="F7" s="29" t="s">
        <v>13</v>
      </c>
      <c r="N7" s="14" t="s">
        <v>19</v>
      </c>
      <c r="O7" s="15">
        <f>SUMPRODUCT((Operaciones!$S$2:$S$300)*--(Operaciones!$O$2:$O$300=$C$5)*--(Operaciones!$P$2:$P$300=5)*--(((Operaciones!$D$2:$D$300=$C$6)+($C$6="Todos"))&gt;0)*--(((Operaciones!$E$2:$E$300=$C$7)+($C$7="Todos"))&gt;0)*--(((Operaciones!$F$2:$F$300=$F$6)+($F$6="Todos"))&gt;0)*--(((Operaciones!$N$2:$N$300=$F$7)+($F$7="Todos"))&gt;0))</f>
        <v>0</v>
      </c>
      <c r="P7" s="15">
        <f>SUMIFS(Catalogos!$H$2:$H$25,Catalogos!$F$2:$F$25,$C$5,Catalogos!$G$2:$G$25,5)</f>
        <v>2450</v>
      </c>
    </row>
    <row r="8" spans="2:18" ht="21.75" customHeight="1" x14ac:dyDescent="0.25">
      <c r="N8" s="14" t="s">
        <v>20</v>
      </c>
      <c r="O8" s="15">
        <f>SUMPRODUCT((Operaciones!$S$2:$S$300)*--(Operaciones!$O$2:$O$300=$C$5)*--(Operaciones!$P$2:$P$300=6)*--(((Operaciones!$D$2:$D$300=$C$6)+($C$6="Todos"))&gt;0)*--(((Operaciones!$E$2:$E$300=$C$7)+($C$7="Todos"))&gt;0)*--(((Operaciones!$F$2:$F$300=$F$6)+($F$6="Todos"))&gt;0)*--(((Operaciones!$N$2:$N$300=$F$7)+($F$7="Todos"))&gt;0))</f>
        <v>0</v>
      </c>
      <c r="P8" s="15">
        <f>SUMIFS(Catalogos!$H$2:$H$25,Catalogos!$F$2:$F$25,$C$5,Catalogos!$G$2:$G$25,6)</f>
        <v>2500</v>
      </c>
    </row>
    <row r="9" spans="2:18" ht="21.75" customHeight="1" x14ac:dyDescent="0.25">
      <c r="N9" s="14" t="s">
        <v>21</v>
      </c>
      <c r="O9" s="15">
        <f>SUMPRODUCT((Operaciones!$S$2:$S$300)*--(Operaciones!$O$2:$O$300=$C$5)*--(Operaciones!$P$2:$P$300=7)*--(((Operaciones!$D$2:$D$300=$C$6)+($C$6="Todos"))&gt;0)*--(((Operaciones!$E$2:$E$300=$C$7)+($C$7="Todos"))&gt;0)*--(((Operaciones!$F$2:$F$300=$F$6)+($F$6="Todos"))&gt;0)*--(((Operaciones!$N$2:$N$300=$F$7)+($F$7="Todos"))&gt;0))</f>
        <v>0</v>
      </c>
      <c r="P9" s="15">
        <f>SUMIFS(Catalogos!$H$2:$H$25,Catalogos!$F$2:$F$25,$C$5,Catalogos!$G$2:$G$25,7)</f>
        <v>2550</v>
      </c>
      <c r="Q9" s="13" t="s">
        <v>22</v>
      </c>
      <c r="R9" s="13" t="s">
        <v>3</v>
      </c>
    </row>
    <row r="10" spans="2:18" ht="21.75" customHeight="1" x14ac:dyDescent="0.25">
      <c r="B10" s="10" t="s">
        <v>23</v>
      </c>
      <c r="C10" s="10"/>
      <c r="E10" s="9" t="s">
        <v>24</v>
      </c>
      <c r="F10" s="9"/>
      <c r="H10" s="8" t="s">
        <v>25</v>
      </c>
      <c r="I10" s="8"/>
      <c r="K10" s="7" t="str">
        <f>IF(H14&lt;0.85,"Revisión: el cumplimiento está por debajo del 85%.","Ritmo correcto: el objetivo anual va encaminado.")</f>
        <v>Revisión: el cumplimiento está por debajo del 85%.</v>
      </c>
      <c r="L10" s="7"/>
      <c r="N10" s="14" t="s">
        <v>26</v>
      </c>
      <c r="O10" s="15">
        <f>SUMPRODUCT((Operaciones!$S$2:$S$300)*--(Operaciones!$O$2:$O$300=$C$5)*--(Operaciones!$P$2:$P$300=8)*--(((Operaciones!$D$2:$D$300=$C$6)+($C$6="Todos"))&gt;0)*--(((Operaciones!$E$2:$E$300=$C$7)+($C$7="Todos"))&gt;0)*--(((Operaciones!$F$2:$F$300=$F$6)+($F$6="Todos"))&gt;0)*--(((Operaciones!$N$2:$N$300=$F$7)+($F$7="Todos"))&gt;0))</f>
        <v>0</v>
      </c>
      <c r="P10" s="15">
        <f>SUMIFS(Catalogos!$H$2:$H$25,Catalogos!$F$2:$F$25,$C$5,Catalogos!$G$2:$G$25,8)</f>
        <v>2600</v>
      </c>
      <c r="Q10" s="14" t="s">
        <v>27</v>
      </c>
      <c r="R10" s="15">
        <f>SUMPRODUCT((Operaciones!$S$2:$S$300)*--(Operaciones!$O$2:$O$300=$C$5)*--(Operaciones!$G$2:$G$300=Q10)*--(((Operaciones!$D$2:$D$300=$C$6)+($C$6="Todos"))&gt;0)*--(((Operaciones!$E$2:$E$300=$C$7)+($C$7="Todos"))&gt;0)*--(((Operaciones!$F$2:$F$300=$F$6)+($F$6="Todos"))&gt;0)*--(((Operaciones!$N$2:$N$300=$F$7)+($F$7="Todos"))&gt;0))</f>
        <v>1446.49</v>
      </c>
    </row>
    <row r="11" spans="2:18" ht="21.75" customHeight="1" x14ac:dyDescent="0.3">
      <c r="B11" s="6">
        <f>SUMPRODUCT((Operaciones!$S$2:$S$300)*--(Operaciones!$O$2:$O$300=$C$5)*--(((Operaciones!$D$2:$D$300=$C$6)+($C$6="Todos"))&gt;0)*--(((Operaciones!$E$2:$E$300=$C$7)+($C$7="Todos"))&gt;0)*--(((Operaciones!$F$2:$F$300=$F$6)+($F$6="Todos"))&gt;0)*--(((Operaciones!$N$2:$N$300=$F$7)+($F$7="Todos"))&gt;0))</f>
        <v>9068.0299999999988</v>
      </c>
      <c r="C11" s="6"/>
      <c r="E11" s="6">
        <f>SUMPRODUCT((Operaciones!$U$2:$U$300)*--(Operaciones!$O$2:$O$300=$C$5)*--(((Operaciones!$D$2:$D$300=$C$6)+($C$6="Todos"))&gt;0)*--(((Operaciones!$E$2:$E$300=$C$7)+($C$7="Todos"))&gt;0)*--(((Operaciones!$F$2:$F$300=$F$6)+($F$6="Todos"))&gt;0)*--(((Operaciones!$N$2:$N$300=$F$7)+($F$7="Todos"))&gt;0))</f>
        <v>4243.5299999999988</v>
      </c>
      <c r="F11" s="6"/>
      <c r="H11" s="5">
        <f>IFERROR(E11/B11,0)</f>
        <v>0.46796603010797266</v>
      </c>
      <c r="I11" s="5"/>
      <c r="K11" s="7"/>
      <c r="L11" s="7"/>
      <c r="N11" s="14" t="s">
        <v>28</v>
      </c>
      <c r="O11" s="15">
        <f>SUMPRODUCT((Operaciones!$S$2:$S$300)*--(Operaciones!$O$2:$O$300=$C$5)*--(Operaciones!$P$2:$P$300=9)*--(((Operaciones!$D$2:$D$300=$C$6)+($C$6="Todos"))&gt;0)*--(((Operaciones!$E$2:$E$300=$C$7)+($C$7="Todos"))&gt;0)*--(((Operaciones!$F$2:$F$300=$F$6)+($F$6="Todos"))&gt;0)*--(((Operaciones!$N$2:$N$300=$F$7)+($F$7="Todos"))&gt;0))</f>
        <v>0</v>
      </c>
      <c r="P11" s="15">
        <f>SUMIFS(Catalogos!$H$2:$H$25,Catalogos!$F$2:$F$25,$C$5,Catalogos!$G$2:$G$25,9)</f>
        <v>2650</v>
      </c>
      <c r="Q11" s="14" t="s">
        <v>29</v>
      </c>
      <c r="R11" s="15">
        <f>SUMPRODUCT((Operaciones!$S$2:$S$300)*--(Operaciones!$O$2:$O$300=$C$5)*--(Operaciones!$G$2:$G$300=Q11)*--(((Operaciones!$D$2:$D$300=$C$6)+($C$6="Todos"))&gt;0)*--(((Operaciones!$E$2:$E$300=$C$7)+($C$7="Todos"))&gt;0)*--(((Operaciones!$F$2:$F$300=$F$6)+($F$6="Todos"))&gt;0)*--(((Operaciones!$N$2:$N$300=$F$7)+($F$7="Todos"))&gt;0))</f>
        <v>2302.62</v>
      </c>
    </row>
    <row r="12" spans="2:18" ht="21.75" customHeight="1" x14ac:dyDescent="0.25">
      <c r="K12" s="7"/>
      <c r="L12" s="7"/>
      <c r="N12" s="14" t="s">
        <v>30</v>
      </c>
      <c r="O12" s="15">
        <f>SUMPRODUCT((Operaciones!$S$2:$S$300)*--(Operaciones!$O$2:$O$300=$C$5)*--(Operaciones!$P$2:$P$300=10)*--(((Operaciones!$D$2:$D$300=$C$6)+($C$6="Todos"))&gt;0)*--(((Operaciones!$E$2:$E$300=$C$7)+($C$7="Todos"))&gt;0)*--(((Operaciones!$F$2:$F$300=$F$6)+($F$6="Todos"))&gt;0)*--(((Operaciones!$N$2:$N$300=$F$7)+($F$7="Todos"))&gt;0))</f>
        <v>0</v>
      </c>
      <c r="P12" s="15">
        <f>SUMIFS(Catalogos!$H$2:$H$25,Catalogos!$F$2:$F$25,$C$5,Catalogos!$G$2:$G$25,10)</f>
        <v>2700</v>
      </c>
      <c r="Q12" s="14" t="s">
        <v>31</v>
      </c>
      <c r="R12" s="15">
        <f>SUMPRODUCT((Operaciones!$S$2:$S$300)*--(Operaciones!$O$2:$O$300=$C$5)*--(Operaciones!$G$2:$G$300=Q12)*--(((Operaciones!$D$2:$D$300=$C$6)+($C$6="Todos"))&gt;0)*--(((Operaciones!$E$2:$E$300=$C$7)+($C$7="Todos"))&gt;0)*--(((Operaciones!$F$2:$F$300=$F$6)+($F$6="Todos"))&gt;0)*--(((Operaciones!$N$2:$N$300=$F$7)+($F$7="Todos"))&gt;0))</f>
        <v>573.86</v>
      </c>
    </row>
    <row r="13" spans="2:18" ht="21.75" customHeight="1" x14ac:dyDescent="0.25">
      <c r="B13" s="4" t="s">
        <v>32</v>
      </c>
      <c r="C13" s="4"/>
      <c r="E13" s="3" t="s">
        <v>33</v>
      </c>
      <c r="F13" s="3"/>
      <c r="H13" s="2" t="s">
        <v>34</v>
      </c>
      <c r="I13" s="2"/>
      <c r="K13" s="7"/>
      <c r="L13" s="7"/>
      <c r="M13" s="17" t="s">
        <v>35</v>
      </c>
      <c r="N13" s="14" t="s">
        <v>36</v>
      </c>
      <c r="O13" s="15">
        <f>SUMPRODUCT((Operaciones!$S$2:$S$300)*--(Operaciones!$O$2:$O$300=$C$5)*--(Operaciones!$P$2:$P$300=11)*--(((Operaciones!$D$2:$D$300=$C$6)+($C$6="Todos"))&gt;0)*--(((Operaciones!$E$2:$E$300=$C$7)+($C$7="Todos"))&gt;0)*--(((Operaciones!$F$2:$F$300=$F$6)+($F$6="Todos"))&gt;0)*--(((Operaciones!$N$2:$N$300=$F$7)+($F$7="Todos"))&gt;0))</f>
        <v>0</v>
      </c>
      <c r="P13" s="15">
        <f>SUMIFS(Catalogos!$H$2:$H$25,Catalogos!$F$2:$F$25,$C$5,Catalogos!$G$2:$G$25,11)</f>
        <v>2750</v>
      </c>
      <c r="Q13" s="14" t="s">
        <v>37</v>
      </c>
      <c r="R13" s="15">
        <f>SUMPRODUCT((Operaciones!$S$2:$S$300)*--(Operaciones!$O$2:$O$300=$C$5)*--(Operaciones!$G$2:$G$300=Q13)*--(((Operaciones!$D$2:$D$300=$C$6)+($C$6="Todos"))&gt;0)*--(((Operaciones!$E$2:$E$300=$C$7)+($C$7="Todos"))&gt;0)*--(((Operaciones!$F$2:$F$300=$F$6)+($F$6="Todos"))&gt;0)*--(((Operaciones!$N$2:$N$300=$F$7)+($F$7="Todos"))&gt;0))</f>
        <v>544.04</v>
      </c>
    </row>
    <row r="14" spans="2:18" ht="21.75" customHeight="1" x14ac:dyDescent="0.3">
      <c r="B14" s="1">
        <f>SUMPRODUCT(--(Operaciones!$O$2:$O$300=$C$5)*--(((Operaciones!$D$2:$D$300=$C$6)+($C$6="Todos"))&gt;0)*--(((Operaciones!$E$2:$E$300=$C$7)+($C$7="Todos"))&gt;0)*--(((Operaciones!$F$2:$F$300=$F$6)+($F$6="Todos"))&gt;0)*--(((Operaciones!$N$2:$N$300=$F$7)+($F$7="Todos"))&gt;0)*--(Operaciones!$B$2:$B$300&lt;&gt;""))</f>
        <v>36</v>
      </c>
      <c r="C14" s="1"/>
      <c r="E14" s="6">
        <f>IFERROR(B11/B14,0)</f>
        <v>251.88972222222219</v>
      </c>
      <c r="F14" s="6"/>
      <c r="H14" s="5">
        <f>IFERROR(B11/$M$14,0)</f>
        <v>0.3022676666666666</v>
      </c>
      <c r="I14" s="5"/>
      <c r="K14" s="7"/>
      <c r="L14" s="7"/>
      <c r="M14" s="18">
        <f>SUMIFS(Catalogos!$H$2:$H$25,Catalogos!$F$2:$F$25,$C$5)</f>
        <v>30000</v>
      </c>
      <c r="N14" s="14" t="s">
        <v>38</v>
      </c>
      <c r="O14" s="15">
        <f>SUMPRODUCT((Operaciones!$S$2:$S$300)*--(Operaciones!$O$2:$O$300=$C$5)*--(Operaciones!$P$2:$P$300=12)*--(((Operaciones!$D$2:$D$300=$C$6)+($C$6="Todos"))&gt;0)*--(((Operaciones!$E$2:$E$300=$C$7)+($C$7="Todos"))&gt;0)*--(((Operaciones!$F$2:$F$300=$F$6)+($F$6="Todos"))&gt;0)*--(((Operaciones!$N$2:$N$300=$F$7)+($F$7="Todos"))&gt;0))</f>
        <v>0</v>
      </c>
      <c r="P14" s="15">
        <f>SUMIFS(Catalogos!$H$2:$H$25,Catalogos!$F$2:$F$25,$C$5,Catalogos!$G$2:$G$25,12)</f>
        <v>2800</v>
      </c>
      <c r="Q14" s="14" t="s">
        <v>39</v>
      </c>
      <c r="R14" s="15">
        <f>SUMPRODUCT((Operaciones!$S$2:$S$300)*--(Operaciones!$O$2:$O$300=$C$5)*--(Operaciones!$G$2:$G$300=Q14)*--(((Operaciones!$D$2:$D$300=$C$6)+($C$6="Todos"))&gt;0)*--(((Operaciones!$E$2:$E$300=$C$7)+($C$7="Todos"))&gt;0)*--(((Operaciones!$F$2:$F$300=$F$6)+($F$6="Todos"))&gt;0)*--(((Operaciones!$N$2:$N$300=$F$7)+($F$7="Todos"))&gt;0))</f>
        <v>421.2</v>
      </c>
    </row>
    <row r="15" spans="2:18" ht="21.75" customHeight="1" x14ac:dyDescent="0.25">
      <c r="Q15" s="14" t="s">
        <v>40</v>
      </c>
      <c r="R15" s="15">
        <f>SUMPRODUCT((Operaciones!$S$2:$S$300)*--(Operaciones!$O$2:$O$300=$C$5)*--(Operaciones!$G$2:$G$300=Q15)*--(((Operaciones!$D$2:$D$300=$C$6)+($C$6="Todos"))&gt;0)*--(((Operaciones!$E$2:$E$300=$C$7)+($C$7="Todos"))&gt;0)*--(((Operaciones!$F$2:$F$300=$F$6)+($F$6="Todos"))&gt;0)*--(((Operaciones!$N$2:$N$300=$F$7)+($F$7="Todos"))&gt;0))</f>
        <v>1886.7</v>
      </c>
    </row>
    <row r="16" spans="2:18" ht="21.75" customHeight="1" x14ac:dyDescent="0.25">
      <c r="B16" s="16"/>
      <c r="L16" s="16"/>
      <c r="Q16" s="14" t="s">
        <v>41</v>
      </c>
      <c r="R16" s="15">
        <f>SUMPRODUCT((Operaciones!$S$2:$S$300)*--(Operaciones!$O$2:$O$300=$C$5)*--(Operaciones!$G$2:$G$300=Q16)*--(((Operaciones!$D$2:$D$300=$C$6)+($C$6="Todos"))&gt;0)*--(((Operaciones!$E$2:$E$300=$C$7)+($C$7="Todos"))&gt;0)*--(((Operaciones!$F$2:$F$300=$F$6)+($F$6="Todos"))&gt;0)*--(((Operaciones!$N$2:$N$300=$F$7)+($F$7="Todos"))&gt;0))</f>
        <v>1893.12</v>
      </c>
    </row>
    <row r="17" spans="2:15" ht="21.75" customHeight="1" x14ac:dyDescent="0.2">
      <c r="N17" s="13" t="s">
        <v>17</v>
      </c>
      <c r="O17" s="13" t="s">
        <v>3</v>
      </c>
    </row>
    <row r="18" spans="2:15" ht="21.75" customHeight="1" x14ac:dyDescent="0.25">
      <c r="N18" s="14" t="s">
        <v>42</v>
      </c>
      <c r="O18" s="15">
        <f>SUMPRODUCT((Operaciones!$S$2:$S$300)*--(Operaciones!$O$2:$O$300=$C$5)*--(Operaciones!$E$2:$E$300=N18)*--(((Operaciones!$D$2:$D$300=$C$6)+($C$6="Todos"))&gt;0)*--(((Operaciones!$F$2:$F$300=$F$6)+($F$6="Todos"))&gt;0)*--(((Operaciones!$N$2:$N$300=$F$7)+($F$7="Todos"))&gt;0))</f>
        <v>3780.5099999999998</v>
      </c>
    </row>
    <row r="19" spans="2:15" ht="21.75" customHeight="1" x14ac:dyDescent="0.25">
      <c r="N19" s="14" t="s">
        <v>43</v>
      </c>
      <c r="O19" s="15">
        <f>SUMPRODUCT((Operaciones!$S$2:$S$300)*--(Operaciones!$O$2:$O$300=$C$5)*--(Operaciones!$E$2:$E$300=N19)*--(((Operaciones!$D$2:$D$300=$C$6)+($C$6="Todos"))&gt;0)*--(((Operaciones!$F$2:$F$300=$F$6)+($F$6="Todos"))&gt;0)*--(((Operaciones!$N$2:$N$300=$F$7)+($F$7="Todos"))&gt;0))</f>
        <v>2002.34</v>
      </c>
    </row>
    <row r="20" spans="2:15" ht="21.75" customHeight="1" x14ac:dyDescent="0.25">
      <c r="N20" s="14" t="s">
        <v>44</v>
      </c>
      <c r="O20" s="15">
        <f>SUMPRODUCT((Operaciones!$S$2:$S$300)*--(Operaciones!$O$2:$O$300=$C$5)*--(Operaciones!$E$2:$E$300=N20)*--(((Operaciones!$D$2:$D$300=$C$6)+($C$6="Todos"))&gt;0)*--(((Operaciones!$F$2:$F$300=$F$6)+($F$6="Todos"))&gt;0)*--(((Operaciones!$N$2:$N$300=$F$7)+($F$7="Todos"))&gt;0))</f>
        <v>1335.5400000000002</v>
      </c>
    </row>
    <row r="21" spans="2:15" ht="21.75" customHeight="1" x14ac:dyDescent="0.25">
      <c r="N21" s="14" t="s">
        <v>45</v>
      </c>
      <c r="O21" s="15">
        <f>SUMPRODUCT((Operaciones!$S$2:$S$300)*--(Operaciones!$O$2:$O$300=$C$5)*--(Operaciones!$E$2:$E$300=N21)*--(((Operaciones!$D$2:$D$300=$C$6)+($C$6="Todos"))&gt;0)*--(((Operaciones!$F$2:$F$300=$F$6)+($F$6="Todos"))&gt;0)*--(((Operaciones!$N$2:$N$300=$F$7)+($F$7="Todos"))&gt;0))</f>
        <v>1949.64</v>
      </c>
    </row>
    <row r="22" spans="2:15" ht="21.75" customHeight="1" x14ac:dyDescent="0.2"/>
    <row r="23" spans="2:15" ht="21.75" customHeight="1" x14ac:dyDescent="0.2"/>
    <row r="24" spans="2:15" ht="21.75" customHeight="1" x14ac:dyDescent="0.2"/>
    <row r="25" spans="2:15" ht="21.75" customHeight="1" x14ac:dyDescent="0.2"/>
    <row r="26" spans="2:15" ht="21.75" customHeight="1" x14ac:dyDescent="0.2"/>
    <row r="27" spans="2:15" ht="21.75" customHeight="1" x14ac:dyDescent="0.2"/>
    <row r="28" spans="2:15" ht="21.75" customHeight="1" x14ac:dyDescent="0.2"/>
    <row r="29" spans="2:15" ht="21.75" customHeight="1" x14ac:dyDescent="0.2"/>
    <row r="30" spans="2:15" ht="21.75" customHeight="1" x14ac:dyDescent="0.2"/>
    <row r="31" spans="2:15" ht="21.75" customHeight="1" x14ac:dyDescent="0.2">
      <c r="B31" s="16"/>
      <c r="L31" s="16"/>
    </row>
    <row r="32" spans="2:15" ht="21.75" customHeight="1" x14ac:dyDescent="0.2"/>
    <row r="33" spans="2:2" ht="21.75" customHeight="1" x14ac:dyDescent="0.2"/>
    <row r="34" spans="2:2" ht="21.75" customHeight="1" x14ac:dyDescent="0.2"/>
    <row r="35" spans="2:2" ht="21.75" customHeight="1" x14ac:dyDescent="0.2"/>
    <row r="36" spans="2:2" ht="21.75" customHeight="1" x14ac:dyDescent="0.2"/>
    <row r="37" spans="2:2" ht="21.75" customHeight="1" x14ac:dyDescent="0.2"/>
    <row r="38" spans="2:2" ht="21.75" customHeight="1" x14ac:dyDescent="0.2"/>
    <row r="39" spans="2:2" ht="21.75" customHeight="1" x14ac:dyDescent="0.2"/>
    <row r="40" spans="2:2" ht="21.75" customHeight="1" x14ac:dyDescent="0.2"/>
    <row r="41" spans="2:2" ht="21.75" customHeight="1" x14ac:dyDescent="0.2"/>
    <row r="42" spans="2:2" ht="21.75" customHeight="1" x14ac:dyDescent="0.2"/>
    <row r="43" spans="2:2" ht="21.75" customHeight="1" x14ac:dyDescent="0.2"/>
    <row r="44" spans="2:2" ht="21.75" customHeight="1" x14ac:dyDescent="0.2"/>
    <row r="45" spans="2:2" ht="21.75" customHeight="1" x14ac:dyDescent="0.2">
      <c r="B45" s="19" t="s">
        <v>46</v>
      </c>
    </row>
    <row r="46" spans="2:2" ht="21.75" customHeight="1" x14ac:dyDescent="0.2">
      <c r="B46" s="19" t="s">
        <v>47</v>
      </c>
    </row>
  </sheetData>
  <mergeCells count="15">
    <mergeCell ref="B2:H3"/>
    <mergeCell ref="J2:L3"/>
    <mergeCell ref="B10:C10"/>
    <mergeCell ref="E10:F10"/>
    <mergeCell ref="H10:I10"/>
    <mergeCell ref="K10:L14"/>
    <mergeCell ref="B11:C11"/>
    <mergeCell ref="E11:F11"/>
    <mergeCell ref="H11:I11"/>
    <mergeCell ref="B13:C13"/>
    <mergeCell ref="E13:F13"/>
    <mergeCell ref="H13:I13"/>
    <mergeCell ref="B14:C14"/>
    <mergeCell ref="E14:F14"/>
    <mergeCell ref="H14:I14"/>
  </mergeCells>
  <pageMargins left="0.7" right="0.7" top="0.75" bottom="0.75" header="0.511811023622047" footer="0.511811023622047"/>
  <pageSetup paperSize="9" orientation="portrait" horizontalDpi="300" verticalDpi="300"/>
  <drawing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xr:uid="{00000000-0002-0000-0000-000000000000}">
          <x14:formula1>
            <xm:f>Catalogos!$O$2:$O$3</xm:f>
          </x14:formula1>
          <x14:formula2>
            <xm:f>0</xm:f>
          </x14:formula2>
          <xm:sqref>C5</xm:sqref>
        </x14:dataValidation>
        <x14:dataValidation type="list" xr:uid="{00000000-0002-0000-0000-000001000000}">
          <x14:formula1>
            <xm:f>Catalogos!$Q$2:$Q$6</xm:f>
          </x14:formula1>
          <x14:formula2>
            <xm:f>0</xm:f>
          </x14:formula2>
          <xm:sqref>C6</xm:sqref>
        </x14:dataValidation>
        <x14:dataValidation type="list" xr:uid="{00000000-0002-0000-0000-000002000000}">
          <x14:formula1>
            <xm:f>Catalogos!$R$2:$R$6</xm:f>
          </x14:formula1>
          <x14:formula2>
            <xm:f>0</xm:f>
          </x14:formula2>
          <xm:sqref>C7</xm:sqref>
        </x14:dataValidation>
        <x14:dataValidation type="list" xr:uid="{00000000-0002-0000-0000-000003000000}">
          <x14:formula1>
            <xm:f>Catalogos!$S$2:$S$6</xm:f>
          </x14:formula1>
          <x14:formula2>
            <xm:f>0</xm:f>
          </x14:formula2>
          <xm:sqref>F6</xm:sqref>
        </x14:dataValidation>
        <x14:dataValidation type="list" xr:uid="{00000000-0002-0000-0000-000004000000}">
          <x14:formula1>
            <xm:f>Catalogos!$T$2:$T$5</xm:f>
          </x14:formula1>
          <x14:formula2>
            <xm:f>0</xm:f>
          </x14:formula2>
          <xm:sqref>F7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33"/>
  <sheetViews>
    <sheetView showGridLines="0" zoomScaleNormal="100" workbookViewId="0"/>
  </sheetViews>
  <sheetFormatPr baseColWidth="10" defaultColWidth="8.7109375" defaultRowHeight="15" customHeight="1" x14ac:dyDescent="0.2"/>
  <cols>
    <col min="1" max="1" width="12" customWidth="1"/>
    <col min="2" max="2" width="14" customWidth="1"/>
    <col min="3" max="3" width="20" customWidth="1"/>
    <col min="4" max="4" width="16" customWidth="1"/>
    <col min="5" max="5" width="18" customWidth="1"/>
    <col min="6" max="6" width="12" customWidth="1"/>
    <col min="7" max="7" width="15" customWidth="1"/>
    <col min="8" max="8" width="24" customWidth="1"/>
    <col min="9" max="9" width="10" customWidth="1"/>
    <col min="10" max="10" width="13" customWidth="1"/>
    <col min="11" max="11" width="12" customWidth="1"/>
    <col min="12" max="12" width="13" customWidth="1"/>
    <col min="13" max="13" width="14" customWidth="1"/>
    <col min="14" max="14" width="16" customWidth="1"/>
    <col min="15" max="16" width="8" customWidth="1"/>
    <col min="17" max="17" width="13" customWidth="1"/>
    <col min="18" max="20" width="12" customWidth="1"/>
    <col min="21" max="21" width="13" customWidth="1"/>
    <col min="22" max="22" width="11" customWidth="1"/>
  </cols>
  <sheetData>
    <row r="1" spans="1:22" ht="15" customHeight="1" x14ac:dyDescent="0.2">
      <c r="A1" s="20" t="s">
        <v>48</v>
      </c>
      <c r="B1" s="20" t="s">
        <v>49</v>
      </c>
      <c r="C1" s="20" t="s">
        <v>50</v>
      </c>
      <c r="D1" s="20" t="s">
        <v>5</v>
      </c>
      <c r="E1" s="20" t="s">
        <v>17</v>
      </c>
      <c r="F1" s="20" t="s">
        <v>14</v>
      </c>
      <c r="G1" s="20" t="s">
        <v>22</v>
      </c>
      <c r="H1" s="20" t="s">
        <v>51</v>
      </c>
      <c r="I1" s="20" t="s">
        <v>52</v>
      </c>
      <c r="J1" s="20" t="s">
        <v>53</v>
      </c>
      <c r="K1" s="20" t="s">
        <v>54</v>
      </c>
      <c r="L1" s="20" t="s">
        <v>55</v>
      </c>
      <c r="M1" s="20" t="s">
        <v>56</v>
      </c>
      <c r="N1" s="20" t="s">
        <v>18</v>
      </c>
      <c r="O1" s="20" t="s">
        <v>10</v>
      </c>
      <c r="P1" s="20" t="s">
        <v>2</v>
      </c>
      <c r="Q1" s="20" t="s">
        <v>57</v>
      </c>
      <c r="R1" s="20" t="s">
        <v>58</v>
      </c>
      <c r="S1" s="20" t="s">
        <v>23</v>
      </c>
      <c r="T1" s="20" t="s">
        <v>59</v>
      </c>
      <c r="U1" s="20" t="s">
        <v>24</v>
      </c>
      <c r="V1" s="20" t="s">
        <v>60</v>
      </c>
    </row>
    <row r="2" spans="1:22" ht="15" customHeight="1" x14ac:dyDescent="0.2">
      <c r="A2" s="21">
        <v>45681</v>
      </c>
      <c r="B2" s="22" t="s">
        <v>61</v>
      </c>
      <c r="C2" s="22" t="s">
        <v>62</v>
      </c>
      <c r="D2" s="22" t="s">
        <v>7</v>
      </c>
      <c r="E2" s="22" t="s">
        <v>42</v>
      </c>
      <c r="F2" s="22" t="s">
        <v>63</v>
      </c>
      <c r="G2" s="23" t="str">
        <f>IFERROR(INDEX(Catalogos!$B$2:$B$9,MATCH(H2,Catalogos!$A$2:$A$9,0)),"")</f>
        <v>Semillas</v>
      </c>
      <c r="H2" s="22" t="s">
        <v>64</v>
      </c>
      <c r="I2" s="22">
        <v>9</v>
      </c>
      <c r="J2" s="24">
        <f>IFERROR(INDEX(Catalogos!$C$2:$C$9,MATCH(H2,Catalogos!$A$2:$A$9,0)),0)</f>
        <v>14</v>
      </c>
      <c r="K2" s="25">
        <v>0.1</v>
      </c>
      <c r="L2" s="24">
        <f>IFERROR(INDEX(Catalogos!$D$2:$D$9,MATCH(H2,Catalogos!$A$2:$A$9,0)),0)</f>
        <v>4.5</v>
      </c>
      <c r="M2" s="22" t="s">
        <v>65</v>
      </c>
      <c r="N2" s="22" t="s">
        <v>66</v>
      </c>
      <c r="O2" s="23">
        <f t="shared" ref="O2:O33" si="0">YEAR(A2)</f>
        <v>2025</v>
      </c>
      <c r="P2" s="23">
        <f t="shared" ref="P2:P33" si="1">MONTH(A2)</f>
        <v>1</v>
      </c>
      <c r="Q2" s="24">
        <f t="shared" ref="Q2:Q33" si="2">I2*J2</f>
        <v>126</v>
      </c>
      <c r="R2" s="24">
        <f t="shared" ref="R2:R33" si="3">Q2*K2</f>
        <v>12.600000000000001</v>
      </c>
      <c r="S2" s="24">
        <f t="shared" ref="S2:S33" si="4">Q2-R2</f>
        <v>113.4</v>
      </c>
      <c r="T2" s="24">
        <f t="shared" ref="T2:T33" si="5">I2*L2</f>
        <v>40.5</v>
      </c>
      <c r="U2" s="24">
        <f t="shared" ref="U2:U33" si="6">S2-T2</f>
        <v>72.900000000000006</v>
      </c>
      <c r="V2" s="26">
        <f t="shared" ref="V2:V33" si="7">IFERROR(U2/S2,0)</f>
        <v>0.6428571428571429</v>
      </c>
    </row>
    <row r="3" spans="1:22" ht="15" customHeight="1" x14ac:dyDescent="0.2">
      <c r="A3" s="21">
        <v>45663</v>
      </c>
      <c r="B3" s="22" t="s">
        <v>67</v>
      </c>
      <c r="C3" s="22" t="s">
        <v>68</v>
      </c>
      <c r="D3" s="22" t="s">
        <v>7</v>
      </c>
      <c r="E3" s="22" t="s">
        <v>44</v>
      </c>
      <c r="F3" s="22" t="s">
        <v>63</v>
      </c>
      <c r="G3" s="23" t="str">
        <f>IFERROR(INDEX(Catalogos!$B$2:$B$9,MATCH(H3,Catalogos!$A$2:$A$9,0)),"")</f>
        <v>Semillas</v>
      </c>
      <c r="H3" s="22" t="s">
        <v>64</v>
      </c>
      <c r="I3" s="22">
        <v>11</v>
      </c>
      <c r="J3" s="24">
        <f>IFERROR(INDEX(Catalogos!$C$2:$C$9,MATCH(H3,Catalogos!$A$2:$A$9,0)),0)</f>
        <v>14</v>
      </c>
      <c r="K3" s="25">
        <v>0</v>
      </c>
      <c r="L3" s="24">
        <f>IFERROR(INDEX(Catalogos!$D$2:$D$9,MATCH(H3,Catalogos!$A$2:$A$9,0)),0)</f>
        <v>4.5</v>
      </c>
      <c r="M3" s="22" t="s">
        <v>69</v>
      </c>
      <c r="N3" s="22" t="s">
        <v>66</v>
      </c>
      <c r="O3" s="23">
        <f t="shared" si="0"/>
        <v>2025</v>
      </c>
      <c r="P3" s="23">
        <f t="shared" si="1"/>
        <v>1</v>
      </c>
      <c r="Q3" s="24">
        <f t="shared" si="2"/>
        <v>154</v>
      </c>
      <c r="R3" s="24">
        <f t="shared" si="3"/>
        <v>0</v>
      </c>
      <c r="S3" s="24">
        <f t="shared" si="4"/>
        <v>154</v>
      </c>
      <c r="T3" s="24">
        <f t="shared" si="5"/>
        <v>49.5</v>
      </c>
      <c r="U3" s="24">
        <f t="shared" si="6"/>
        <v>104.5</v>
      </c>
      <c r="V3" s="26">
        <f t="shared" si="7"/>
        <v>0.6785714285714286</v>
      </c>
    </row>
    <row r="4" spans="1:22" ht="15" customHeight="1" x14ac:dyDescent="0.2">
      <c r="A4" s="21">
        <v>45675</v>
      </c>
      <c r="B4" s="22" t="s">
        <v>70</v>
      </c>
      <c r="C4" s="22" t="s">
        <v>71</v>
      </c>
      <c r="D4" s="22" t="s">
        <v>12</v>
      </c>
      <c r="E4" s="22" t="s">
        <v>43</v>
      </c>
      <c r="F4" s="22" t="s">
        <v>72</v>
      </c>
      <c r="G4" s="23" t="str">
        <f>IFERROR(INDEX(Catalogos!$B$2:$B$9,MATCH(H4,Catalogos!$A$2:$A$9,0)),"")</f>
        <v>Kits</v>
      </c>
      <c r="H4" s="22" t="s">
        <v>73</v>
      </c>
      <c r="I4" s="22">
        <v>9</v>
      </c>
      <c r="J4" s="24">
        <f>IFERROR(INDEX(Catalogos!$C$2:$C$9,MATCH(H4,Catalogos!$A$2:$A$9,0)),0)</f>
        <v>79</v>
      </c>
      <c r="K4" s="25">
        <v>0</v>
      </c>
      <c r="L4" s="24">
        <f>IFERROR(INDEX(Catalogos!$D$2:$D$9,MATCH(H4,Catalogos!$A$2:$A$9,0)),0)</f>
        <v>42</v>
      </c>
      <c r="M4" s="22" t="s">
        <v>65</v>
      </c>
      <c r="N4" s="22" t="s">
        <v>74</v>
      </c>
      <c r="O4" s="23">
        <f t="shared" si="0"/>
        <v>2025</v>
      </c>
      <c r="P4" s="23">
        <f t="shared" si="1"/>
        <v>1</v>
      </c>
      <c r="Q4" s="24">
        <f t="shared" si="2"/>
        <v>711</v>
      </c>
      <c r="R4" s="24">
        <f t="shared" si="3"/>
        <v>0</v>
      </c>
      <c r="S4" s="24">
        <f t="shared" si="4"/>
        <v>711</v>
      </c>
      <c r="T4" s="24">
        <f t="shared" si="5"/>
        <v>378</v>
      </c>
      <c r="U4" s="24">
        <f t="shared" si="6"/>
        <v>333</v>
      </c>
      <c r="V4" s="26">
        <f t="shared" si="7"/>
        <v>0.46835443037974683</v>
      </c>
    </row>
    <row r="5" spans="1:22" ht="15" customHeight="1" x14ac:dyDescent="0.2">
      <c r="A5" s="21">
        <v>45683</v>
      </c>
      <c r="B5" s="22" t="s">
        <v>75</v>
      </c>
      <c r="C5" s="22" t="s">
        <v>76</v>
      </c>
      <c r="D5" s="22" t="s">
        <v>7</v>
      </c>
      <c r="E5" s="22" t="s">
        <v>43</v>
      </c>
      <c r="F5" s="22" t="s">
        <v>63</v>
      </c>
      <c r="G5" s="23" t="str">
        <f>IFERROR(INDEX(Catalogos!$B$2:$B$9,MATCH(H5,Catalogos!$A$2:$A$9,0)),"")</f>
        <v>Compostaje</v>
      </c>
      <c r="H5" s="22" t="s">
        <v>77</v>
      </c>
      <c r="I5" s="22">
        <v>1</v>
      </c>
      <c r="J5" s="24">
        <f>IFERROR(INDEX(Catalogos!$C$2:$C$9,MATCH(H5,Catalogos!$A$2:$A$9,0)),0)</f>
        <v>95</v>
      </c>
      <c r="K5" s="25">
        <v>0</v>
      </c>
      <c r="L5" s="24">
        <f>IFERROR(INDEX(Catalogos!$D$2:$D$9,MATCH(H5,Catalogos!$A$2:$A$9,0)),0)</f>
        <v>51</v>
      </c>
      <c r="M5" s="22" t="s">
        <v>78</v>
      </c>
      <c r="N5" s="22" t="s">
        <v>74</v>
      </c>
      <c r="O5" s="23">
        <f t="shared" si="0"/>
        <v>2025</v>
      </c>
      <c r="P5" s="23">
        <f t="shared" si="1"/>
        <v>1</v>
      </c>
      <c r="Q5" s="24">
        <f t="shared" si="2"/>
        <v>95</v>
      </c>
      <c r="R5" s="24">
        <f t="shared" si="3"/>
        <v>0</v>
      </c>
      <c r="S5" s="24">
        <f t="shared" si="4"/>
        <v>95</v>
      </c>
      <c r="T5" s="24">
        <f t="shared" si="5"/>
        <v>51</v>
      </c>
      <c r="U5" s="24">
        <f t="shared" si="6"/>
        <v>44</v>
      </c>
      <c r="V5" s="26">
        <f t="shared" si="7"/>
        <v>0.4631578947368421</v>
      </c>
    </row>
    <row r="6" spans="1:22" ht="15" customHeight="1" x14ac:dyDescent="0.2">
      <c r="A6" s="21">
        <v>45660</v>
      </c>
      <c r="B6" s="22" t="s">
        <v>79</v>
      </c>
      <c r="C6" s="22" t="s">
        <v>62</v>
      </c>
      <c r="D6" s="22" t="s">
        <v>7</v>
      </c>
      <c r="E6" s="22" t="s">
        <v>42</v>
      </c>
      <c r="F6" s="22" t="s">
        <v>72</v>
      </c>
      <c r="G6" s="23" t="str">
        <f>IFERROR(INDEX(Catalogos!$B$2:$B$9,MATCH(H6,Catalogos!$A$2:$A$9,0)),"")</f>
        <v>Macetas</v>
      </c>
      <c r="H6" s="22" t="s">
        <v>80</v>
      </c>
      <c r="I6" s="22">
        <v>7</v>
      </c>
      <c r="J6" s="24">
        <f>IFERROR(INDEX(Catalogos!$C$2:$C$9,MATCH(H6,Catalogos!$A$2:$A$9,0)),0)</f>
        <v>24</v>
      </c>
      <c r="K6" s="25">
        <v>0</v>
      </c>
      <c r="L6" s="24">
        <f>IFERROR(INDEX(Catalogos!$D$2:$D$9,MATCH(H6,Catalogos!$A$2:$A$9,0)),0)</f>
        <v>11.5</v>
      </c>
      <c r="M6" s="22" t="s">
        <v>69</v>
      </c>
      <c r="N6" s="22" t="s">
        <v>66</v>
      </c>
      <c r="O6" s="23">
        <f t="shared" si="0"/>
        <v>2025</v>
      </c>
      <c r="P6" s="23">
        <f t="shared" si="1"/>
        <v>1</v>
      </c>
      <c r="Q6" s="24">
        <f t="shared" si="2"/>
        <v>168</v>
      </c>
      <c r="R6" s="24">
        <f t="shared" si="3"/>
        <v>0</v>
      </c>
      <c r="S6" s="24">
        <f t="shared" si="4"/>
        <v>168</v>
      </c>
      <c r="T6" s="24">
        <f t="shared" si="5"/>
        <v>80.5</v>
      </c>
      <c r="U6" s="24">
        <f t="shared" si="6"/>
        <v>87.5</v>
      </c>
      <c r="V6" s="26">
        <f t="shared" si="7"/>
        <v>0.52083333333333337</v>
      </c>
    </row>
    <row r="7" spans="1:22" ht="15" customHeight="1" x14ac:dyDescent="0.2">
      <c r="A7" s="21">
        <v>45677</v>
      </c>
      <c r="B7" s="22" t="s">
        <v>81</v>
      </c>
      <c r="C7" s="22" t="s">
        <v>62</v>
      </c>
      <c r="D7" s="22" t="s">
        <v>9</v>
      </c>
      <c r="E7" s="22" t="s">
        <v>42</v>
      </c>
      <c r="F7" s="22" t="s">
        <v>82</v>
      </c>
      <c r="G7" s="23" t="str">
        <f>IFERROR(INDEX(Catalogos!$B$2:$B$9,MATCH(H7,Catalogos!$A$2:$A$9,0)),"")</f>
        <v>Macetas</v>
      </c>
      <c r="H7" s="22" t="s">
        <v>80</v>
      </c>
      <c r="I7" s="22">
        <v>5</v>
      </c>
      <c r="J7" s="24">
        <f>IFERROR(INDEX(Catalogos!$C$2:$C$9,MATCH(H7,Catalogos!$A$2:$A$9,0)),0)</f>
        <v>24</v>
      </c>
      <c r="K7" s="25">
        <v>0.05</v>
      </c>
      <c r="L7" s="24">
        <f>IFERROR(INDEX(Catalogos!$D$2:$D$9,MATCH(H7,Catalogos!$A$2:$A$9,0)),0)</f>
        <v>11.5</v>
      </c>
      <c r="M7" s="22" t="s">
        <v>78</v>
      </c>
      <c r="N7" s="22" t="s">
        <v>66</v>
      </c>
      <c r="O7" s="23">
        <f t="shared" si="0"/>
        <v>2025</v>
      </c>
      <c r="P7" s="23">
        <f t="shared" si="1"/>
        <v>1</v>
      </c>
      <c r="Q7" s="24">
        <f t="shared" si="2"/>
        <v>120</v>
      </c>
      <c r="R7" s="24">
        <f t="shared" si="3"/>
        <v>6</v>
      </c>
      <c r="S7" s="24">
        <f t="shared" si="4"/>
        <v>114</v>
      </c>
      <c r="T7" s="24">
        <f t="shared" si="5"/>
        <v>57.5</v>
      </c>
      <c r="U7" s="24">
        <f t="shared" si="6"/>
        <v>56.5</v>
      </c>
      <c r="V7" s="26">
        <f t="shared" si="7"/>
        <v>0.49561403508771928</v>
      </c>
    </row>
    <row r="8" spans="1:22" ht="15" customHeight="1" x14ac:dyDescent="0.2">
      <c r="A8" s="21">
        <v>45682</v>
      </c>
      <c r="B8" s="22" t="s">
        <v>83</v>
      </c>
      <c r="C8" s="22" t="s">
        <v>71</v>
      </c>
      <c r="D8" s="22" t="s">
        <v>7</v>
      </c>
      <c r="E8" s="22" t="s">
        <v>43</v>
      </c>
      <c r="F8" s="22" t="s">
        <v>72</v>
      </c>
      <c r="G8" s="23" t="str">
        <f>IFERROR(INDEX(Catalogos!$B$2:$B$9,MATCH(H8,Catalogos!$A$2:$A$9,0)),"")</f>
        <v>Macetas</v>
      </c>
      <c r="H8" s="22" t="s">
        <v>80</v>
      </c>
      <c r="I8" s="22">
        <v>7</v>
      </c>
      <c r="J8" s="24">
        <f>IFERROR(INDEX(Catalogos!$C$2:$C$9,MATCH(H8,Catalogos!$A$2:$A$9,0)),0)</f>
        <v>24</v>
      </c>
      <c r="K8" s="25">
        <v>0</v>
      </c>
      <c r="L8" s="24">
        <f>IFERROR(INDEX(Catalogos!$D$2:$D$9,MATCH(H8,Catalogos!$A$2:$A$9,0)),0)</f>
        <v>11.5</v>
      </c>
      <c r="M8" s="22" t="s">
        <v>65</v>
      </c>
      <c r="N8" s="22" t="s">
        <v>66</v>
      </c>
      <c r="O8" s="23">
        <f t="shared" si="0"/>
        <v>2025</v>
      </c>
      <c r="P8" s="23">
        <f t="shared" si="1"/>
        <v>1</v>
      </c>
      <c r="Q8" s="24">
        <f t="shared" si="2"/>
        <v>168</v>
      </c>
      <c r="R8" s="24">
        <f t="shared" si="3"/>
        <v>0</v>
      </c>
      <c r="S8" s="24">
        <f t="shared" si="4"/>
        <v>168</v>
      </c>
      <c r="T8" s="24">
        <f t="shared" si="5"/>
        <v>80.5</v>
      </c>
      <c r="U8" s="24">
        <f t="shared" si="6"/>
        <v>87.5</v>
      </c>
      <c r="V8" s="26">
        <f t="shared" si="7"/>
        <v>0.52083333333333337</v>
      </c>
    </row>
    <row r="9" spans="1:22" ht="15" customHeight="1" x14ac:dyDescent="0.2">
      <c r="A9" s="21">
        <v>45665</v>
      </c>
      <c r="B9" s="22" t="s">
        <v>84</v>
      </c>
      <c r="C9" s="22" t="s">
        <v>62</v>
      </c>
      <c r="D9" s="22" t="s">
        <v>16</v>
      </c>
      <c r="E9" s="22" t="s">
        <v>44</v>
      </c>
      <c r="F9" s="22" t="s">
        <v>82</v>
      </c>
      <c r="G9" s="23" t="str">
        <f>IFERROR(INDEX(Catalogos!$B$2:$B$9,MATCH(H9,Catalogos!$A$2:$A$9,0)),"")</f>
        <v>Mobiliario</v>
      </c>
      <c r="H9" s="22" t="s">
        <v>85</v>
      </c>
      <c r="I9" s="22">
        <v>8</v>
      </c>
      <c r="J9" s="24">
        <f>IFERROR(INDEX(Catalogos!$C$2:$C$9,MATCH(H9,Catalogos!$A$2:$A$9,0)),0)</f>
        <v>128</v>
      </c>
      <c r="K9" s="25">
        <v>0</v>
      </c>
      <c r="L9" s="24">
        <f>IFERROR(INDEX(Catalogos!$D$2:$D$9,MATCH(H9,Catalogos!$A$2:$A$9,0)),0)</f>
        <v>76</v>
      </c>
      <c r="M9" s="22" t="s">
        <v>78</v>
      </c>
      <c r="N9" s="22" t="s">
        <v>74</v>
      </c>
      <c r="O9" s="23">
        <f t="shared" si="0"/>
        <v>2025</v>
      </c>
      <c r="P9" s="23">
        <f t="shared" si="1"/>
        <v>1</v>
      </c>
      <c r="Q9" s="24">
        <f t="shared" si="2"/>
        <v>1024</v>
      </c>
      <c r="R9" s="24">
        <f t="shared" si="3"/>
        <v>0</v>
      </c>
      <c r="S9" s="24">
        <f t="shared" si="4"/>
        <v>1024</v>
      </c>
      <c r="T9" s="24">
        <f t="shared" si="5"/>
        <v>608</v>
      </c>
      <c r="U9" s="24">
        <f t="shared" si="6"/>
        <v>416</v>
      </c>
      <c r="V9" s="26">
        <f t="shared" si="7"/>
        <v>0.40625</v>
      </c>
    </row>
    <row r="10" spans="1:22" ht="15" customHeight="1" x14ac:dyDescent="0.2">
      <c r="A10" s="21">
        <v>45695</v>
      </c>
      <c r="B10" s="22" t="s">
        <v>86</v>
      </c>
      <c r="C10" s="22" t="s">
        <v>87</v>
      </c>
      <c r="D10" s="22" t="s">
        <v>7</v>
      </c>
      <c r="E10" s="22" t="s">
        <v>44</v>
      </c>
      <c r="F10" s="22" t="s">
        <v>82</v>
      </c>
      <c r="G10" s="23" t="str">
        <f>IFERROR(INDEX(Catalogos!$B$2:$B$9,MATCH(H10,Catalogos!$A$2:$A$9,0)),"")</f>
        <v>Semillas</v>
      </c>
      <c r="H10" s="22" t="s">
        <v>64</v>
      </c>
      <c r="I10" s="22">
        <v>9</v>
      </c>
      <c r="J10" s="24">
        <f>IFERROR(INDEX(Catalogos!$C$2:$C$9,MATCH(H10,Catalogos!$A$2:$A$9,0)),0)</f>
        <v>14</v>
      </c>
      <c r="K10" s="25">
        <v>0</v>
      </c>
      <c r="L10" s="24">
        <f>IFERROR(INDEX(Catalogos!$D$2:$D$9,MATCH(H10,Catalogos!$A$2:$A$9,0)),0)</f>
        <v>4.5</v>
      </c>
      <c r="M10" s="22" t="s">
        <v>65</v>
      </c>
      <c r="N10" s="22" t="s">
        <v>66</v>
      </c>
      <c r="O10" s="23">
        <f t="shared" si="0"/>
        <v>2025</v>
      </c>
      <c r="P10" s="23">
        <f t="shared" si="1"/>
        <v>2</v>
      </c>
      <c r="Q10" s="24">
        <f t="shared" si="2"/>
        <v>126</v>
      </c>
      <c r="R10" s="24">
        <f t="shared" si="3"/>
        <v>0</v>
      </c>
      <c r="S10" s="24">
        <f t="shared" si="4"/>
        <v>126</v>
      </c>
      <c r="T10" s="24">
        <f t="shared" si="5"/>
        <v>40.5</v>
      </c>
      <c r="U10" s="24">
        <f t="shared" si="6"/>
        <v>85.5</v>
      </c>
      <c r="V10" s="26">
        <f t="shared" si="7"/>
        <v>0.6785714285714286</v>
      </c>
    </row>
    <row r="11" spans="1:22" ht="15" customHeight="1" x14ac:dyDescent="0.2">
      <c r="A11" s="21">
        <v>45708</v>
      </c>
      <c r="B11" s="22" t="s">
        <v>88</v>
      </c>
      <c r="C11" s="22" t="s">
        <v>89</v>
      </c>
      <c r="D11" s="22" t="s">
        <v>16</v>
      </c>
      <c r="E11" s="22" t="s">
        <v>42</v>
      </c>
      <c r="F11" s="22" t="s">
        <v>82</v>
      </c>
      <c r="G11" s="23" t="str">
        <f>IFERROR(INDEX(Catalogos!$B$2:$B$9,MATCH(H11,Catalogos!$A$2:$A$9,0)),"")</f>
        <v>Semillas</v>
      </c>
      <c r="H11" s="22" t="s">
        <v>64</v>
      </c>
      <c r="I11" s="22">
        <v>7</v>
      </c>
      <c r="J11" s="24">
        <f>IFERROR(INDEX(Catalogos!$C$2:$C$9,MATCH(H11,Catalogos!$A$2:$A$9,0)),0)</f>
        <v>14</v>
      </c>
      <c r="K11" s="25">
        <v>0</v>
      </c>
      <c r="L11" s="24">
        <f>IFERROR(INDEX(Catalogos!$D$2:$D$9,MATCH(H11,Catalogos!$A$2:$A$9,0)),0)</f>
        <v>4.5</v>
      </c>
      <c r="M11" s="22" t="s">
        <v>65</v>
      </c>
      <c r="N11" s="22" t="s">
        <v>74</v>
      </c>
      <c r="O11" s="23">
        <f t="shared" si="0"/>
        <v>2025</v>
      </c>
      <c r="P11" s="23">
        <f t="shared" si="1"/>
        <v>2</v>
      </c>
      <c r="Q11" s="24">
        <f t="shared" si="2"/>
        <v>98</v>
      </c>
      <c r="R11" s="24">
        <f t="shared" si="3"/>
        <v>0</v>
      </c>
      <c r="S11" s="24">
        <f t="shared" si="4"/>
        <v>98</v>
      </c>
      <c r="T11" s="24">
        <f t="shared" si="5"/>
        <v>31.5</v>
      </c>
      <c r="U11" s="24">
        <f t="shared" si="6"/>
        <v>66.5</v>
      </c>
      <c r="V11" s="26">
        <f t="shared" si="7"/>
        <v>0.6785714285714286</v>
      </c>
    </row>
    <row r="12" spans="1:22" ht="15" customHeight="1" x14ac:dyDescent="0.2">
      <c r="A12" s="21">
        <v>45696</v>
      </c>
      <c r="B12" s="22" t="s">
        <v>90</v>
      </c>
      <c r="C12" s="22" t="s">
        <v>91</v>
      </c>
      <c r="D12" s="22" t="s">
        <v>9</v>
      </c>
      <c r="E12" s="22" t="s">
        <v>44</v>
      </c>
      <c r="F12" s="22" t="s">
        <v>82</v>
      </c>
      <c r="G12" s="23" t="str">
        <f>IFERROR(INDEX(Catalogos!$B$2:$B$9,MATCH(H12,Catalogos!$A$2:$A$9,0)),"")</f>
        <v>Macetas</v>
      </c>
      <c r="H12" s="22" t="s">
        <v>80</v>
      </c>
      <c r="I12" s="22">
        <v>11</v>
      </c>
      <c r="J12" s="24">
        <f>IFERROR(INDEX(Catalogos!$C$2:$C$9,MATCH(H12,Catalogos!$A$2:$A$9,0)),0)</f>
        <v>24</v>
      </c>
      <c r="K12" s="25">
        <v>0.1</v>
      </c>
      <c r="L12" s="24">
        <f>IFERROR(INDEX(Catalogos!$D$2:$D$9,MATCH(H12,Catalogos!$A$2:$A$9,0)),0)</f>
        <v>11.5</v>
      </c>
      <c r="M12" s="22" t="s">
        <v>78</v>
      </c>
      <c r="N12" s="22" t="s">
        <v>74</v>
      </c>
      <c r="O12" s="23">
        <f t="shared" si="0"/>
        <v>2025</v>
      </c>
      <c r="P12" s="23">
        <f t="shared" si="1"/>
        <v>2</v>
      </c>
      <c r="Q12" s="24">
        <f t="shared" si="2"/>
        <v>264</v>
      </c>
      <c r="R12" s="24">
        <f t="shared" si="3"/>
        <v>26.400000000000002</v>
      </c>
      <c r="S12" s="24">
        <f t="shared" si="4"/>
        <v>237.6</v>
      </c>
      <c r="T12" s="24">
        <f t="shared" si="5"/>
        <v>126.5</v>
      </c>
      <c r="U12" s="24">
        <f t="shared" si="6"/>
        <v>111.1</v>
      </c>
      <c r="V12" s="26">
        <f t="shared" si="7"/>
        <v>0.46759259259259256</v>
      </c>
    </row>
    <row r="13" spans="1:22" ht="15" customHeight="1" x14ac:dyDescent="0.2">
      <c r="A13" s="21">
        <v>45708</v>
      </c>
      <c r="B13" s="22" t="s">
        <v>92</v>
      </c>
      <c r="C13" s="22" t="s">
        <v>89</v>
      </c>
      <c r="D13" s="22" t="s">
        <v>16</v>
      </c>
      <c r="E13" s="22" t="s">
        <v>43</v>
      </c>
      <c r="F13" s="22" t="s">
        <v>72</v>
      </c>
      <c r="G13" s="23" t="str">
        <f>IFERROR(INDEX(Catalogos!$B$2:$B$9,MATCH(H13,Catalogos!$A$2:$A$9,0)),"")</f>
        <v>Semillas</v>
      </c>
      <c r="H13" s="22" t="s">
        <v>64</v>
      </c>
      <c r="I13" s="22">
        <v>5</v>
      </c>
      <c r="J13" s="24">
        <f>IFERROR(INDEX(Catalogos!$C$2:$C$9,MATCH(H13,Catalogos!$A$2:$A$9,0)),0)</f>
        <v>14</v>
      </c>
      <c r="K13" s="25">
        <v>0</v>
      </c>
      <c r="L13" s="24">
        <f>IFERROR(INDEX(Catalogos!$D$2:$D$9,MATCH(H13,Catalogos!$A$2:$A$9,0)),0)</f>
        <v>4.5</v>
      </c>
      <c r="M13" s="22" t="s">
        <v>93</v>
      </c>
      <c r="N13" s="22" t="s">
        <v>66</v>
      </c>
      <c r="O13" s="23">
        <f t="shared" si="0"/>
        <v>2025</v>
      </c>
      <c r="P13" s="23">
        <f t="shared" si="1"/>
        <v>2</v>
      </c>
      <c r="Q13" s="24">
        <f t="shared" si="2"/>
        <v>70</v>
      </c>
      <c r="R13" s="24">
        <f t="shared" si="3"/>
        <v>0</v>
      </c>
      <c r="S13" s="24">
        <f t="shared" si="4"/>
        <v>70</v>
      </c>
      <c r="T13" s="24">
        <f t="shared" si="5"/>
        <v>22.5</v>
      </c>
      <c r="U13" s="24">
        <f t="shared" si="6"/>
        <v>47.5</v>
      </c>
      <c r="V13" s="26">
        <f t="shared" si="7"/>
        <v>0.6785714285714286</v>
      </c>
    </row>
    <row r="14" spans="1:22" ht="15" customHeight="1" x14ac:dyDescent="0.2">
      <c r="A14" s="21">
        <v>45708</v>
      </c>
      <c r="B14" s="22" t="s">
        <v>94</v>
      </c>
      <c r="C14" s="22" t="s">
        <v>95</v>
      </c>
      <c r="D14" s="22" t="s">
        <v>9</v>
      </c>
      <c r="E14" s="22" t="s">
        <v>43</v>
      </c>
      <c r="F14" s="22" t="s">
        <v>96</v>
      </c>
      <c r="G14" s="23" t="str">
        <f>IFERROR(INDEX(Catalogos!$B$2:$B$9,MATCH(H14,Catalogos!$A$2:$A$9,0)),"")</f>
        <v>Mobiliario</v>
      </c>
      <c r="H14" s="22" t="s">
        <v>85</v>
      </c>
      <c r="I14" s="22">
        <v>2</v>
      </c>
      <c r="J14" s="24">
        <f>IFERROR(INDEX(Catalogos!$C$2:$C$9,MATCH(H14,Catalogos!$A$2:$A$9,0)),0)</f>
        <v>128</v>
      </c>
      <c r="K14" s="25">
        <v>0.03</v>
      </c>
      <c r="L14" s="24">
        <f>IFERROR(INDEX(Catalogos!$D$2:$D$9,MATCH(H14,Catalogos!$A$2:$A$9,0)),0)</f>
        <v>76</v>
      </c>
      <c r="M14" s="22" t="s">
        <v>69</v>
      </c>
      <c r="N14" s="22" t="s">
        <v>66</v>
      </c>
      <c r="O14" s="23">
        <f t="shared" si="0"/>
        <v>2025</v>
      </c>
      <c r="P14" s="23">
        <f t="shared" si="1"/>
        <v>2</v>
      </c>
      <c r="Q14" s="24">
        <f t="shared" si="2"/>
        <v>256</v>
      </c>
      <c r="R14" s="24">
        <f t="shared" si="3"/>
        <v>7.68</v>
      </c>
      <c r="S14" s="24">
        <f t="shared" si="4"/>
        <v>248.32</v>
      </c>
      <c r="T14" s="24">
        <f t="shared" si="5"/>
        <v>152</v>
      </c>
      <c r="U14" s="24">
        <f t="shared" si="6"/>
        <v>96.32</v>
      </c>
      <c r="V14" s="26">
        <f t="shared" si="7"/>
        <v>0.38788659793814434</v>
      </c>
    </row>
    <row r="15" spans="1:22" ht="15" customHeight="1" x14ac:dyDescent="0.2">
      <c r="A15" s="21">
        <v>45698</v>
      </c>
      <c r="B15" s="22" t="s">
        <v>97</v>
      </c>
      <c r="C15" s="22" t="s">
        <v>89</v>
      </c>
      <c r="D15" s="22" t="s">
        <v>16</v>
      </c>
      <c r="E15" s="22" t="s">
        <v>44</v>
      </c>
      <c r="F15" s="22" t="s">
        <v>63</v>
      </c>
      <c r="G15" s="23" t="str">
        <f>IFERROR(INDEX(Catalogos!$B$2:$B$9,MATCH(H15,Catalogos!$A$2:$A$9,0)),"")</f>
        <v>Semillas</v>
      </c>
      <c r="H15" s="22" t="s">
        <v>64</v>
      </c>
      <c r="I15" s="22">
        <v>8</v>
      </c>
      <c r="J15" s="24">
        <f>IFERROR(INDEX(Catalogos!$C$2:$C$9,MATCH(H15,Catalogos!$A$2:$A$9,0)),0)</f>
        <v>14</v>
      </c>
      <c r="K15" s="25">
        <v>0</v>
      </c>
      <c r="L15" s="24">
        <f>IFERROR(INDEX(Catalogos!$D$2:$D$9,MATCH(H15,Catalogos!$A$2:$A$9,0)),0)</f>
        <v>4.5</v>
      </c>
      <c r="M15" s="22" t="s">
        <v>93</v>
      </c>
      <c r="N15" s="22" t="s">
        <v>66</v>
      </c>
      <c r="O15" s="23">
        <f t="shared" si="0"/>
        <v>2025</v>
      </c>
      <c r="P15" s="23">
        <f t="shared" si="1"/>
        <v>2</v>
      </c>
      <c r="Q15" s="24">
        <f t="shared" si="2"/>
        <v>112</v>
      </c>
      <c r="R15" s="24">
        <f t="shared" si="3"/>
        <v>0</v>
      </c>
      <c r="S15" s="24">
        <f t="shared" si="4"/>
        <v>112</v>
      </c>
      <c r="T15" s="24">
        <f t="shared" si="5"/>
        <v>36</v>
      </c>
      <c r="U15" s="24">
        <f t="shared" si="6"/>
        <v>76</v>
      </c>
      <c r="V15" s="26">
        <f t="shared" si="7"/>
        <v>0.6785714285714286</v>
      </c>
    </row>
    <row r="16" spans="1:22" ht="15" customHeight="1" x14ac:dyDescent="0.2">
      <c r="A16" s="21">
        <v>45699</v>
      </c>
      <c r="B16" s="22" t="s">
        <v>98</v>
      </c>
      <c r="C16" s="22" t="s">
        <v>68</v>
      </c>
      <c r="D16" s="22" t="s">
        <v>16</v>
      </c>
      <c r="E16" s="22" t="s">
        <v>42</v>
      </c>
      <c r="F16" s="22" t="s">
        <v>82</v>
      </c>
      <c r="G16" s="23" t="str">
        <f>IFERROR(INDEX(Catalogos!$B$2:$B$9,MATCH(H16,Catalogos!$A$2:$A$9,0)),"")</f>
        <v>Macetas</v>
      </c>
      <c r="H16" s="22" t="s">
        <v>80</v>
      </c>
      <c r="I16" s="22">
        <v>8</v>
      </c>
      <c r="J16" s="24">
        <f>IFERROR(INDEX(Catalogos!$C$2:$C$9,MATCH(H16,Catalogos!$A$2:$A$9,0)),0)</f>
        <v>24</v>
      </c>
      <c r="K16" s="25">
        <v>7.0000000000000007E-2</v>
      </c>
      <c r="L16" s="24">
        <f>IFERROR(INDEX(Catalogos!$D$2:$D$9,MATCH(H16,Catalogos!$A$2:$A$9,0)),0)</f>
        <v>11.5</v>
      </c>
      <c r="M16" s="22" t="s">
        <v>78</v>
      </c>
      <c r="N16" s="22" t="s">
        <v>66</v>
      </c>
      <c r="O16" s="23">
        <f t="shared" si="0"/>
        <v>2025</v>
      </c>
      <c r="P16" s="23">
        <f t="shared" si="1"/>
        <v>2</v>
      </c>
      <c r="Q16" s="24">
        <f t="shared" si="2"/>
        <v>192</v>
      </c>
      <c r="R16" s="24">
        <f t="shared" si="3"/>
        <v>13.440000000000001</v>
      </c>
      <c r="S16" s="24">
        <f t="shared" si="4"/>
        <v>178.56</v>
      </c>
      <c r="T16" s="24">
        <f t="shared" si="5"/>
        <v>92</v>
      </c>
      <c r="U16" s="24">
        <f t="shared" si="6"/>
        <v>86.56</v>
      </c>
      <c r="V16" s="26">
        <f t="shared" si="7"/>
        <v>0.48476702508960573</v>
      </c>
    </row>
    <row r="17" spans="1:22" ht="15" customHeight="1" x14ac:dyDescent="0.2">
      <c r="A17" s="21">
        <v>45702</v>
      </c>
      <c r="B17" s="22" t="s">
        <v>99</v>
      </c>
      <c r="C17" s="22" t="s">
        <v>100</v>
      </c>
      <c r="D17" s="22" t="s">
        <v>9</v>
      </c>
      <c r="E17" s="22" t="s">
        <v>42</v>
      </c>
      <c r="F17" s="22" t="s">
        <v>63</v>
      </c>
      <c r="G17" s="23" t="str">
        <f>IFERROR(INDEX(Catalogos!$B$2:$B$9,MATCH(H17,Catalogos!$A$2:$A$9,0)),"")</f>
        <v>Sensores</v>
      </c>
      <c r="H17" s="22" t="s">
        <v>101</v>
      </c>
      <c r="I17" s="22">
        <v>7</v>
      </c>
      <c r="J17" s="24">
        <f>IFERROR(INDEX(Catalogos!$C$2:$C$9,MATCH(H17,Catalogos!$A$2:$A$9,0)),0)</f>
        <v>36</v>
      </c>
      <c r="K17" s="25">
        <v>0</v>
      </c>
      <c r="L17" s="24">
        <f>IFERROR(INDEX(Catalogos!$D$2:$D$9,MATCH(H17,Catalogos!$A$2:$A$9,0)),0)</f>
        <v>17</v>
      </c>
      <c r="M17" s="22" t="s">
        <v>69</v>
      </c>
      <c r="N17" s="22" t="s">
        <v>74</v>
      </c>
      <c r="O17" s="23">
        <f t="shared" si="0"/>
        <v>2025</v>
      </c>
      <c r="P17" s="23">
        <f t="shared" si="1"/>
        <v>2</v>
      </c>
      <c r="Q17" s="24">
        <f t="shared" si="2"/>
        <v>252</v>
      </c>
      <c r="R17" s="24">
        <f t="shared" si="3"/>
        <v>0</v>
      </c>
      <c r="S17" s="24">
        <f t="shared" si="4"/>
        <v>252</v>
      </c>
      <c r="T17" s="24">
        <f t="shared" si="5"/>
        <v>119</v>
      </c>
      <c r="U17" s="24">
        <f t="shared" si="6"/>
        <v>133</v>
      </c>
      <c r="V17" s="26">
        <f t="shared" si="7"/>
        <v>0.52777777777777779</v>
      </c>
    </row>
    <row r="18" spans="1:22" ht="15" customHeight="1" x14ac:dyDescent="0.2">
      <c r="A18" s="21">
        <v>45734</v>
      </c>
      <c r="B18" s="22" t="s">
        <v>102</v>
      </c>
      <c r="C18" s="22" t="s">
        <v>103</v>
      </c>
      <c r="D18" s="22" t="s">
        <v>7</v>
      </c>
      <c r="E18" s="22" t="s">
        <v>44</v>
      </c>
      <c r="F18" s="22" t="s">
        <v>72</v>
      </c>
      <c r="G18" s="23" t="str">
        <f>IFERROR(INDEX(Catalogos!$B$2:$B$9,MATCH(H18,Catalogos!$A$2:$A$9,0)),"")</f>
        <v>Macetas</v>
      </c>
      <c r="H18" s="22" t="s">
        <v>80</v>
      </c>
      <c r="I18" s="22">
        <v>7</v>
      </c>
      <c r="J18" s="24">
        <f>IFERROR(INDEX(Catalogos!$C$2:$C$9,MATCH(H18,Catalogos!$A$2:$A$9,0)),0)</f>
        <v>24</v>
      </c>
      <c r="K18" s="25">
        <v>0</v>
      </c>
      <c r="L18" s="24">
        <f>IFERROR(INDEX(Catalogos!$D$2:$D$9,MATCH(H18,Catalogos!$A$2:$A$9,0)),0)</f>
        <v>11.5</v>
      </c>
      <c r="M18" s="22" t="s">
        <v>93</v>
      </c>
      <c r="N18" s="22" t="s">
        <v>66</v>
      </c>
      <c r="O18" s="23">
        <f t="shared" si="0"/>
        <v>2025</v>
      </c>
      <c r="P18" s="23">
        <f t="shared" si="1"/>
        <v>3</v>
      </c>
      <c r="Q18" s="24">
        <f t="shared" si="2"/>
        <v>168</v>
      </c>
      <c r="R18" s="24">
        <f t="shared" si="3"/>
        <v>0</v>
      </c>
      <c r="S18" s="24">
        <f t="shared" si="4"/>
        <v>168</v>
      </c>
      <c r="T18" s="24">
        <f t="shared" si="5"/>
        <v>80.5</v>
      </c>
      <c r="U18" s="24">
        <f t="shared" si="6"/>
        <v>87.5</v>
      </c>
      <c r="V18" s="26">
        <f t="shared" si="7"/>
        <v>0.52083333333333337</v>
      </c>
    </row>
    <row r="19" spans="1:22" ht="15" customHeight="1" x14ac:dyDescent="0.2">
      <c r="A19" s="21">
        <v>45727</v>
      </c>
      <c r="B19" s="22" t="s">
        <v>104</v>
      </c>
      <c r="C19" s="22" t="s">
        <v>105</v>
      </c>
      <c r="D19" s="22" t="s">
        <v>7</v>
      </c>
      <c r="E19" s="22" t="s">
        <v>42</v>
      </c>
      <c r="F19" s="22" t="s">
        <v>72</v>
      </c>
      <c r="G19" s="23" t="str">
        <f>IFERROR(INDEX(Catalogos!$B$2:$B$9,MATCH(H19,Catalogos!$A$2:$A$9,0)),"")</f>
        <v>Kits</v>
      </c>
      <c r="H19" s="22" t="s">
        <v>73</v>
      </c>
      <c r="I19" s="22">
        <v>2</v>
      </c>
      <c r="J19" s="24">
        <f>IFERROR(INDEX(Catalogos!$C$2:$C$9,MATCH(H19,Catalogos!$A$2:$A$9,0)),0)</f>
        <v>79</v>
      </c>
      <c r="K19" s="25">
        <v>0.03</v>
      </c>
      <c r="L19" s="24">
        <f>IFERROR(INDEX(Catalogos!$D$2:$D$9,MATCH(H19,Catalogos!$A$2:$A$9,0)),0)</f>
        <v>42</v>
      </c>
      <c r="M19" s="22" t="s">
        <v>93</v>
      </c>
      <c r="N19" s="22" t="s">
        <v>74</v>
      </c>
      <c r="O19" s="23">
        <f t="shared" si="0"/>
        <v>2025</v>
      </c>
      <c r="P19" s="23">
        <f t="shared" si="1"/>
        <v>3</v>
      </c>
      <c r="Q19" s="24">
        <f t="shared" si="2"/>
        <v>158</v>
      </c>
      <c r="R19" s="24">
        <f t="shared" si="3"/>
        <v>4.74</v>
      </c>
      <c r="S19" s="24">
        <f t="shared" si="4"/>
        <v>153.26</v>
      </c>
      <c r="T19" s="24">
        <f t="shared" si="5"/>
        <v>84</v>
      </c>
      <c r="U19" s="24">
        <f t="shared" si="6"/>
        <v>69.259999999999991</v>
      </c>
      <c r="V19" s="26">
        <f t="shared" si="7"/>
        <v>0.45191178389664621</v>
      </c>
    </row>
    <row r="20" spans="1:22" ht="15" customHeight="1" x14ac:dyDescent="0.2">
      <c r="A20" s="21">
        <v>45731</v>
      </c>
      <c r="B20" s="22" t="s">
        <v>106</v>
      </c>
      <c r="C20" s="22" t="s">
        <v>105</v>
      </c>
      <c r="D20" s="22" t="s">
        <v>9</v>
      </c>
      <c r="E20" s="22" t="s">
        <v>42</v>
      </c>
      <c r="F20" s="22" t="s">
        <v>63</v>
      </c>
      <c r="G20" s="23" t="str">
        <f>IFERROR(INDEX(Catalogos!$B$2:$B$9,MATCH(H20,Catalogos!$A$2:$A$9,0)),"")</f>
        <v>Semillas</v>
      </c>
      <c r="H20" s="22" t="s">
        <v>64</v>
      </c>
      <c r="I20" s="22">
        <v>4</v>
      </c>
      <c r="J20" s="24">
        <f>IFERROR(INDEX(Catalogos!$C$2:$C$9,MATCH(H20,Catalogos!$A$2:$A$9,0)),0)</f>
        <v>14</v>
      </c>
      <c r="K20" s="25">
        <v>0</v>
      </c>
      <c r="L20" s="24">
        <f>IFERROR(INDEX(Catalogos!$D$2:$D$9,MATCH(H20,Catalogos!$A$2:$A$9,0)),0)</f>
        <v>4.5</v>
      </c>
      <c r="M20" s="22" t="s">
        <v>69</v>
      </c>
      <c r="N20" s="22" t="s">
        <v>107</v>
      </c>
      <c r="O20" s="23">
        <f t="shared" si="0"/>
        <v>2025</v>
      </c>
      <c r="P20" s="23">
        <f t="shared" si="1"/>
        <v>3</v>
      </c>
      <c r="Q20" s="24">
        <f t="shared" si="2"/>
        <v>56</v>
      </c>
      <c r="R20" s="24">
        <f t="shared" si="3"/>
        <v>0</v>
      </c>
      <c r="S20" s="24">
        <f t="shared" si="4"/>
        <v>56</v>
      </c>
      <c r="T20" s="24">
        <f t="shared" si="5"/>
        <v>18</v>
      </c>
      <c r="U20" s="24">
        <f t="shared" si="6"/>
        <v>38</v>
      </c>
      <c r="V20" s="26">
        <f t="shared" si="7"/>
        <v>0.6785714285714286</v>
      </c>
    </row>
    <row r="21" spans="1:22" ht="15" customHeight="1" x14ac:dyDescent="0.2">
      <c r="A21" s="21">
        <v>45727</v>
      </c>
      <c r="B21" s="22" t="s">
        <v>108</v>
      </c>
      <c r="C21" s="22" t="s">
        <v>87</v>
      </c>
      <c r="D21" s="22" t="s">
        <v>7</v>
      </c>
      <c r="E21" s="22" t="s">
        <v>42</v>
      </c>
      <c r="F21" s="22" t="s">
        <v>82</v>
      </c>
      <c r="G21" s="23" t="str">
        <f>IFERROR(INDEX(Catalogos!$B$2:$B$9,MATCH(H21,Catalogos!$A$2:$A$9,0)),"")</f>
        <v>Kits</v>
      </c>
      <c r="H21" s="22" t="s">
        <v>73</v>
      </c>
      <c r="I21" s="22">
        <v>5</v>
      </c>
      <c r="J21" s="24">
        <f>IFERROR(INDEX(Catalogos!$C$2:$C$9,MATCH(H21,Catalogos!$A$2:$A$9,0)),0)</f>
        <v>79</v>
      </c>
      <c r="K21" s="25">
        <v>0.03</v>
      </c>
      <c r="L21" s="24">
        <f>IFERROR(INDEX(Catalogos!$D$2:$D$9,MATCH(H21,Catalogos!$A$2:$A$9,0)),0)</f>
        <v>42</v>
      </c>
      <c r="M21" s="22" t="s">
        <v>69</v>
      </c>
      <c r="N21" s="22" t="s">
        <v>74</v>
      </c>
      <c r="O21" s="23">
        <f t="shared" si="0"/>
        <v>2025</v>
      </c>
      <c r="P21" s="23">
        <f t="shared" si="1"/>
        <v>3</v>
      </c>
      <c r="Q21" s="24">
        <f t="shared" si="2"/>
        <v>395</v>
      </c>
      <c r="R21" s="24">
        <f t="shared" si="3"/>
        <v>11.85</v>
      </c>
      <c r="S21" s="24">
        <f t="shared" si="4"/>
        <v>383.15</v>
      </c>
      <c r="T21" s="24">
        <f t="shared" si="5"/>
        <v>210</v>
      </c>
      <c r="U21" s="24">
        <f t="shared" si="6"/>
        <v>173.14999999999998</v>
      </c>
      <c r="V21" s="26">
        <f t="shared" si="7"/>
        <v>0.45191178389664621</v>
      </c>
    </row>
    <row r="22" spans="1:22" ht="15" customHeight="1" x14ac:dyDescent="0.2">
      <c r="A22" s="21">
        <v>45722</v>
      </c>
      <c r="B22" s="22" t="s">
        <v>109</v>
      </c>
      <c r="C22" s="22" t="s">
        <v>110</v>
      </c>
      <c r="D22" s="22" t="s">
        <v>16</v>
      </c>
      <c r="E22" s="22" t="s">
        <v>43</v>
      </c>
      <c r="F22" s="22" t="s">
        <v>63</v>
      </c>
      <c r="G22" s="23" t="str">
        <f>IFERROR(INDEX(Catalogos!$B$2:$B$9,MATCH(H22,Catalogos!$A$2:$A$9,0)),"")</f>
        <v>Semillas</v>
      </c>
      <c r="H22" s="22" t="s">
        <v>64</v>
      </c>
      <c r="I22" s="22">
        <v>7</v>
      </c>
      <c r="J22" s="24">
        <f>IFERROR(INDEX(Catalogos!$C$2:$C$9,MATCH(H22,Catalogos!$A$2:$A$9,0)),0)</f>
        <v>14</v>
      </c>
      <c r="K22" s="25">
        <v>0.1</v>
      </c>
      <c r="L22" s="24">
        <f>IFERROR(INDEX(Catalogos!$D$2:$D$9,MATCH(H22,Catalogos!$A$2:$A$9,0)),0)</f>
        <v>4.5</v>
      </c>
      <c r="M22" s="22" t="s">
        <v>93</v>
      </c>
      <c r="N22" s="22" t="s">
        <v>66</v>
      </c>
      <c r="O22" s="23">
        <f t="shared" si="0"/>
        <v>2025</v>
      </c>
      <c r="P22" s="23">
        <f t="shared" si="1"/>
        <v>3</v>
      </c>
      <c r="Q22" s="24">
        <f t="shared" si="2"/>
        <v>98</v>
      </c>
      <c r="R22" s="24">
        <f t="shared" si="3"/>
        <v>9.8000000000000007</v>
      </c>
      <c r="S22" s="24">
        <f t="shared" si="4"/>
        <v>88.2</v>
      </c>
      <c r="T22" s="24">
        <f t="shared" si="5"/>
        <v>31.5</v>
      </c>
      <c r="U22" s="24">
        <f t="shared" si="6"/>
        <v>56.7</v>
      </c>
      <c r="V22" s="26">
        <f t="shared" si="7"/>
        <v>0.6428571428571429</v>
      </c>
    </row>
    <row r="23" spans="1:22" ht="15" customHeight="1" x14ac:dyDescent="0.2">
      <c r="A23" s="21">
        <v>45730</v>
      </c>
      <c r="B23" s="22" t="s">
        <v>111</v>
      </c>
      <c r="C23" s="22" t="s">
        <v>91</v>
      </c>
      <c r="D23" s="22" t="s">
        <v>7</v>
      </c>
      <c r="E23" s="22" t="s">
        <v>45</v>
      </c>
      <c r="F23" s="22" t="s">
        <v>96</v>
      </c>
      <c r="G23" s="23" t="str">
        <f>IFERROR(INDEX(Catalogos!$B$2:$B$9,MATCH(H23,Catalogos!$A$2:$A$9,0)),"")</f>
        <v>Kits</v>
      </c>
      <c r="H23" s="22" t="s">
        <v>73</v>
      </c>
      <c r="I23" s="22">
        <v>4</v>
      </c>
      <c r="J23" s="24">
        <f>IFERROR(INDEX(Catalogos!$C$2:$C$9,MATCH(H23,Catalogos!$A$2:$A$9,0)),0)</f>
        <v>79</v>
      </c>
      <c r="K23" s="25">
        <v>0.05</v>
      </c>
      <c r="L23" s="24">
        <f>IFERROR(INDEX(Catalogos!$D$2:$D$9,MATCH(H23,Catalogos!$A$2:$A$9,0)),0)</f>
        <v>42</v>
      </c>
      <c r="M23" s="22" t="s">
        <v>93</v>
      </c>
      <c r="N23" s="22" t="s">
        <v>74</v>
      </c>
      <c r="O23" s="23">
        <f t="shared" si="0"/>
        <v>2025</v>
      </c>
      <c r="P23" s="23">
        <f t="shared" si="1"/>
        <v>3</v>
      </c>
      <c r="Q23" s="24">
        <f t="shared" si="2"/>
        <v>316</v>
      </c>
      <c r="R23" s="24">
        <f t="shared" si="3"/>
        <v>15.8</v>
      </c>
      <c r="S23" s="24">
        <f t="shared" si="4"/>
        <v>300.2</v>
      </c>
      <c r="T23" s="24">
        <f t="shared" si="5"/>
        <v>168</v>
      </c>
      <c r="U23" s="24">
        <f t="shared" si="6"/>
        <v>132.19999999999999</v>
      </c>
      <c r="V23" s="26">
        <f t="shared" si="7"/>
        <v>0.44037308461025981</v>
      </c>
    </row>
    <row r="24" spans="1:22" ht="15" customHeight="1" x14ac:dyDescent="0.2">
      <c r="A24" s="21">
        <v>45730</v>
      </c>
      <c r="B24" s="22" t="s">
        <v>112</v>
      </c>
      <c r="C24" s="22" t="s">
        <v>103</v>
      </c>
      <c r="D24" s="22" t="s">
        <v>16</v>
      </c>
      <c r="E24" s="22" t="s">
        <v>43</v>
      </c>
      <c r="F24" s="22" t="s">
        <v>96</v>
      </c>
      <c r="G24" s="23" t="str">
        <f>IFERROR(INDEX(Catalogos!$B$2:$B$9,MATCH(H24,Catalogos!$A$2:$A$9,0)),"")</f>
        <v>Semillas</v>
      </c>
      <c r="H24" s="22" t="s">
        <v>64</v>
      </c>
      <c r="I24" s="22">
        <v>4</v>
      </c>
      <c r="J24" s="24">
        <f>IFERROR(INDEX(Catalogos!$C$2:$C$9,MATCH(H24,Catalogos!$A$2:$A$9,0)),0)</f>
        <v>14</v>
      </c>
      <c r="K24" s="25">
        <v>0</v>
      </c>
      <c r="L24" s="24">
        <f>IFERROR(INDEX(Catalogos!$D$2:$D$9,MATCH(H24,Catalogos!$A$2:$A$9,0)),0)</f>
        <v>4.5</v>
      </c>
      <c r="M24" s="22" t="s">
        <v>78</v>
      </c>
      <c r="N24" s="22" t="s">
        <v>74</v>
      </c>
      <c r="O24" s="23">
        <f t="shared" si="0"/>
        <v>2025</v>
      </c>
      <c r="P24" s="23">
        <f t="shared" si="1"/>
        <v>3</v>
      </c>
      <c r="Q24" s="24">
        <f t="shared" si="2"/>
        <v>56</v>
      </c>
      <c r="R24" s="24">
        <f t="shared" si="3"/>
        <v>0</v>
      </c>
      <c r="S24" s="24">
        <f t="shared" si="4"/>
        <v>56</v>
      </c>
      <c r="T24" s="24">
        <f t="shared" si="5"/>
        <v>18</v>
      </c>
      <c r="U24" s="24">
        <f t="shared" si="6"/>
        <v>38</v>
      </c>
      <c r="V24" s="26">
        <f t="shared" si="7"/>
        <v>0.6785714285714286</v>
      </c>
    </row>
    <row r="25" spans="1:22" ht="15" customHeight="1" x14ac:dyDescent="0.2">
      <c r="A25" s="21">
        <v>45726</v>
      </c>
      <c r="B25" s="22" t="s">
        <v>113</v>
      </c>
      <c r="C25" s="22" t="s">
        <v>91</v>
      </c>
      <c r="D25" s="22" t="s">
        <v>7</v>
      </c>
      <c r="E25" s="22" t="s">
        <v>43</v>
      </c>
      <c r="F25" s="22" t="s">
        <v>63</v>
      </c>
      <c r="G25" s="23" t="str">
        <f>IFERROR(INDEX(Catalogos!$B$2:$B$9,MATCH(H25,Catalogos!$A$2:$A$9,0)),"")</f>
        <v>Sensores</v>
      </c>
      <c r="H25" s="22" t="s">
        <v>101</v>
      </c>
      <c r="I25" s="22">
        <v>8</v>
      </c>
      <c r="J25" s="24">
        <f>IFERROR(INDEX(Catalogos!$C$2:$C$9,MATCH(H25,Catalogos!$A$2:$A$9,0)),0)</f>
        <v>36</v>
      </c>
      <c r="K25" s="25">
        <v>0.1</v>
      </c>
      <c r="L25" s="24">
        <f>IFERROR(INDEX(Catalogos!$D$2:$D$9,MATCH(H25,Catalogos!$A$2:$A$9,0)),0)</f>
        <v>17</v>
      </c>
      <c r="M25" s="22" t="s">
        <v>65</v>
      </c>
      <c r="N25" s="22" t="s">
        <v>66</v>
      </c>
      <c r="O25" s="23">
        <f t="shared" si="0"/>
        <v>2025</v>
      </c>
      <c r="P25" s="23">
        <f t="shared" si="1"/>
        <v>3</v>
      </c>
      <c r="Q25" s="24">
        <f t="shared" si="2"/>
        <v>288</v>
      </c>
      <c r="R25" s="24">
        <f t="shared" si="3"/>
        <v>28.8</v>
      </c>
      <c r="S25" s="24">
        <f t="shared" si="4"/>
        <v>259.2</v>
      </c>
      <c r="T25" s="24">
        <f t="shared" si="5"/>
        <v>136</v>
      </c>
      <c r="U25" s="24">
        <f t="shared" si="6"/>
        <v>123.19999999999999</v>
      </c>
      <c r="V25" s="26">
        <f t="shared" si="7"/>
        <v>0.47530864197530864</v>
      </c>
    </row>
    <row r="26" spans="1:22" ht="15" customHeight="1" x14ac:dyDescent="0.2">
      <c r="A26" s="21">
        <v>45755</v>
      </c>
      <c r="B26" s="22" t="s">
        <v>114</v>
      </c>
      <c r="C26" s="22" t="s">
        <v>103</v>
      </c>
      <c r="D26" s="22" t="s">
        <v>7</v>
      </c>
      <c r="E26" s="22" t="s">
        <v>45</v>
      </c>
      <c r="F26" s="22" t="s">
        <v>63</v>
      </c>
      <c r="G26" s="23" t="str">
        <f>IFERROR(INDEX(Catalogos!$B$2:$B$9,MATCH(H26,Catalogos!$A$2:$A$9,0)),"")</f>
        <v>Mobiliario</v>
      </c>
      <c r="H26" s="22" t="s">
        <v>85</v>
      </c>
      <c r="I26" s="22">
        <v>3</v>
      </c>
      <c r="J26" s="24">
        <f>IFERROR(INDEX(Catalogos!$C$2:$C$9,MATCH(H26,Catalogos!$A$2:$A$9,0)),0)</f>
        <v>128</v>
      </c>
      <c r="K26" s="25">
        <v>7.0000000000000007E-2</v>
      </c>
      <c r="L26" s="24">
        <f>IFERROR(INDEX(Catalogos!$D$2:$D$9,MATCH(H26,Catalogos!$A$2:$A$9,0)),0)</f>
        <v>76</v>
      </c>
      <c r="M26" s="22" t="s">
        <v>93</v>
      </c>
      <c r="N26" s="22" t="s">
        <v>107</v>
      </c>
      <c r="O26" s="23">
        <f t="shared" si="0"/>
        <v>2025</v>
      </c>
      <c r="P26" s="23">
        <f t="shared" si="1"/>
        <v>4</v>
      </c>
      <c r="Q26" s="24">
        <f t="shared" si="2"/>
        <v>384</v>
      </c>
      <c r="R26" s="24">
        <f t="shared" si="3"/>
        <v>26.880000000000003</v>
      </c>
      <c r="S26" s="24">
        <f t="shared" si="4"/>
        <v>357.12</v>
      </c>
      <c r="T26" s="24">
        <f t="shared" si="5"/>
        <v>228</v>
      </c>
      <c r="U26" s="24">
        <f t="shared" si="6"/>
        <v>129.12</v>
      </c>
      <c r="V26" s="26">
        <f t="shared" si="7"/>
        <v>0.36155913978494625</v>
      </c>
    </row>
    <row r="27" spans="1:22" ht="15" customHeight="1" x14ac:dyDescent="0.2">
      <c r="A27" s="21">
        <v>45773</v>
      </c>
      <c r="B27" s="22" t="s">
        <v>115</v>
      </c>
      <c r="C27" s="22" t="s">
        <v>89</v>
      </c>
      <c r="D27" s="22" t="s">
        <v>12</v>
      </c>
      <c r="E27" s="22" t="s">
        <v>42</v>
      </c>
      <c r="F27" s="22" t="s">
        <v>96</v>
      </c>
      <c r="G27" s="23" t="str">
        <f>IFERROR(INDEX(Catalogos!$B$2:$B$9,MATCH(H27,Catalogos!$A$2:$A$9,0)),"")</f>
        <v>Semillas</v>
      </c>
      <c r="H27" s="22" t="s">
        <v>64</v>
      </c>
      <c r="I27" s="22">
        <v>7</v>
      </c>
      <c r="J27" s="24">
        <f>IFERROR(INDEX(Catalogos!$C$2:$C$9,MATCH(H27,Catalogos!$A$2:$A$9,0)),0)</f>
        <v>14</v>
      </c>
      <c r="K27" s="25">
        <v>0.03</v>
      </c>
      <c r="L27" s="24">
        <f>IFERROR(INDEX(Catalogos!$D$2:$D$9,MATCH(H27,Catalogos!$A$2:$A$9,0)),0)</f>
        <v>4.5</v>
      </c>
      <c r="M27" s="22" t="s">
        <v>93</v>
      </c>
      <c r="N27" s="22" t="s">
        <v>74</v>
      </c>
      <c r="O27" s="23">
        <f t="shared" si="0"/>
        <v>2025</v>
      </c>
      <c r="P27" s="23">
        <f t="shared" si="1"/>
        <v>4</v>
      </c>
      <c r="Q27" s="24">
        <f t="shared" si="2"/>
        <v>98</v>
      </c>
      <c r="R27" s="24">
        <f t="shared" si="3"/>
        <v>2.94</v>
      </c>
      <c r="S27" s="24">
        <f t="shared" si="4"/>
        <v>95.06</v>
      </c>
      <c r="T27" s="24">
        <f t="shared" si="5"/>
        <v>31.5</v>
      </c>
      <c r="U27" s="24">
        <f t="shared" si="6"/>
        <v>63.56</v>
      </c>
      <c r="V27" s="26">
        <f t="shared" si="7"/>
        <v>0.66863033873343147</v>
      </c>
    </row>
    <row r="28" spans="1:22" ht="15" customHeight="1" x14ac:dyDescent="0.2">
      <c r="A28" s="21">
        <v>45761</v>
      </c>
      <c r="B28" s="22" t="s">
        <v>116</v>
      </c>
      <c r="C28" s="22" t="s">
        <v>95</v>
      </c>
      <c r="D28" s="22" t="s">
        <v>9</v>
      </c>
      <c r="E28" s="22" t="s">
        <v>42</v>
      </c>
      <c r="F28" s="22" t="s">
        <v>72</v>
      </c>
      <c r="G28" s="23" t="str">
        <f>IFERROR(INDEX(Catalogos!$B$2:$B$9,MATCH(H28,Catalogos!$A$2:$A$9,0)),"")</f>
        <v>Iluminación</v>
      </c>
      <c r="H28" s="22" t="s">
        <v>117</v>
      </c>
      <c r="I28" s="22">
        <v>3</v>
      </c>
      <c r="J28" s="24">
        <f>IFERROR(INDEX(Catalogos!$C$2:$C$9,MATCH(H28,Catalogos!$A$2:$A$9,0)),0)</f>
        <v>58</v>
      </c>
      <c r="K28" s="25">
        <v>0.1</v>
      </c>
      <c r="L28" s="24">
        <f>IFERROR(INDEX(Catalogos!$D$2:$D$9,MATCH(H28,Catalogos!$A$2:$A$9,0)),0)</f>
        <v>31</v>
      </c>
      <c r="M28" s="22" t="s">
        <v>69</v>
      </c>
      <c r="N28" s="22" t="s">
        <v>74</v>
      </c>
      <c r="O28" s="23">
        <f t="shared" si="0"/>
        <v>2025</v>
      </c>
      <c r="P28" s="23">
        <f t="shared" si="1"/>
        <v>4</v>
      </c>
      <c r="Q28" s="24">
        <f t="shared" si="2"/>
        <v>174</v>
      </c>
      <c r="R28" s="24">
        <f t="shared" si="3"/>
        <v>17.400000000000002</v>
      </c>
      <c r="S28" s="24">
        <f t="shared" si="4"/>
        <v>156.6</v>
      </c>
      <c r="T28" s="24">
        <f t="shared" si="5"/>
        <v>93</v>
      </c>
      <c r="U28" s="24">
        <f t="shared" si="6"/>
        <v>63.599999999999994</v>
      </c>
      <c r="V28" s="26">
        <f t="shared" si="7"/>
        <v>0.4061302681992337</v>
      </c>
    </row>
    <row r="29" spans="1:22" ht="15" customHeight="1" x14ac:dyDescent="0.2">
      <c r="A29" s="21">
        <v>45761</v>
      </c>
      <c r="B29" s="22" t="s">
        <v>118</v>
      </c>
      <c r="C29" s="22" t="s">
        <v>91</v>
      </c>
      <c r="D29" s="22" t="s">
        <v>12</v>
      </c>
      <c r="E29" s="22" t="s">
        <v>42</v>
      </c>
      <c r="F29" s="22" t="s">
        <v>63</v>
      </c>
      <c r="G29" s="23" t="str">
        <f>IFERROR(INDEX(Catalogos!$B$2:$B$9,MATCH(H29,Catalogos!$A$2:$A$9,0)),"")</f>
        <v>Semillas</v>
      </c>
      <c r="H29" s="22" t="s">
        <v>64</v>
      </c>
      <c r="I29" s="22">
        <v>8</v>
      </c>
      <c r="J29" s="24">
        <f>IFERROR(INDEX(Catalogos!$C$2:$C$9,MATCH(H29,Catalogos!$A$2:$A$9,0)),0)</f>
        <v>14</v>
      </c>
      <c r="K29" s="25">
        <v>0.1</v>
      </c>
      <c r="L29" s="24">
        <f>IFERROR(INDEX(Catalogos!$D$2:$D$9,MATCH(H29,Catalogos!$A$2:$A$9,0)),0)</f>
        <v>4.5</v>
      </c>
      <c r="M29" s="22" t="s">
        <v>69</v>
      </c>
      <c r="N29" s="22" t="s">
        <v>66</v>
      </c>
      <c r="O29" s="23">
        <f t="shared" si="0"/>
        <v>2025</v>
      </c>
      <c r="P29" s="23">
        <f t="shared" si="1"/>
        <v>4</v>
      </c>
      <c r="Q29" s="24">
        <f t="shared" si="2"/>
        <v>112</v>
      </c>
      <c r="R29" s="24">
        <f t="shared" si="3"/>
        <v>11.200000000000001</v>
      </c>
      <c r="S29" s="24">
        <f t="shared" si="4"/>
        <v>100.8</v>
      </c>
      <c r="T29" s="24">
        <f t="shared" si="5"/>
        <v>36</v>
      </c>
      <c r="U29" s="24">
        <f t="shared" si="6"/>
        <v>64.8</v>
      </c>
      <c r="V29" s="26">
        <f t="shared" si="7"/>
        <v>0.64285714285714279</v>
      </c>
    </row>
    <row r="30" spans="1:22" ht="15" customHeight="1" x14ac:dyDescent="0.2">
      <c r="A30" s="21">
        <v>45752</v>
      </c>
      <c r="B30" s="22" t="s">
        <v>119</v>
      </c>
      <c r="C30" s="22" t="s">
        <v>87</v>
      </c>
      <c r="D30" s="22" t="s">
        <v>16</v>
      </c>
      <c r="E30" s="22" t="s">
        <v>43</v>
      </c>
      <c r="F30" s="22" t="s">
        <v>96</v>
      </c>
      <c r="G30" s="23" t="str">
        <f>IFERROR(INDEX(Catalogos!$B$2:$B$9,MATCH(H30,Catalogos!$A$2:$A$9,0)),"")</f>
        <v>Macetas</v>
      </c>
      <c r="H30" s="22" t="s">
        <v>120</v>
      </c>
      <c r="I30" s="22">
        <v>5</v>
      </c>
      <c r="J30" s="24">
        <f>IFERROR(INDEX(Catalogos!$C$2:$C$9,MATCH(H30,Catalogos!$A$2:$A$9,0)),0)</f>
        <v>42</v>
      </c>
      <c r="K30" s="25">
        <v>0.03</v>
      </c>
      <c r="L30" s="24">
        <f>IFERROR(INDEX(Catalogos!$D$2:$D$9,MATCH(H30,Catalogos!$A$2:$A$9,0)),0)</f>
        <v>21</v>
      </c>
      <c r="M30" s="22" t="s">
        <v>69</v>
      </c>
      <c r="N30" s="22" t="s">
        <v>66</v>
      </c>
      <c r="O30" s="23">
        <f t="shared" si="0"/>
        <v>2025</v>
      </c>
      <c r="P30" s="23">
        <f t="shared" si="1"/>
        <v>4</v>
      </c>
      <c r="Q30" s="24">
        <f t="shared" si="2"/>
        <v>210</v>
      </c>
      <c r="R30" s="24">
        <f t="shared" si="3"/>
        <v>6.3</v>
      </c>
      <c r="S30" s="24">
        <f t="shared" si="4"/>
        <v>203.7</v>
      </c>
      <c r="T30" s="24">
        <f t="shared" si="5"/>
        <v>105</v>
      </c>
      <c r="U30" s="24">
        <f t="shared" si="6"/>
        <v>98.699999999999989</v>
      </c>
      <c r="V30" s="26">
        <f t="shared" si="7"/>
        <v>0.48453608247422675</v>
      </c>
    </row>
    <row r="31" spans="1:22" ht="15" customHeight="1" x14ac:dyDescent="0.2">
      <c r="A31" s="21">
        <v>45752</v>
      </c>
      <c r="B31" s="22" t="s">
        <v>121</v>
      </c>
      <c r="C31" s="22" t="s">
        <v>110</v>
      </c>
      <c r="D31" s="22" t="s">
        <v>9</v>
      </c>
      <c r="E31" s="22" t="s">
        <v>42</v>
      </c>
      <c r="F31" s="22" t="s">
        <v>63</v>
      </c>
      <c r="G31" s="23" t="str">
        <f>IFERROR(INDEX(Catalogos!$B$2:$B$9,MATCH(H31,Catalogos!$A$2:$A$9,0)),"")</f>
        <v>Macetas</v>
      </c>
      <c r="H31" s="22" t="s">
        <v>80</v>
      </c>
      <c r="I31" s="22">
        <v>4</v>
      </c>
      <c r="J31" s="24">
        <f>IFERROR(INDEX(Catalogos!$C$2:$C$9,MATCH(H31,Catalogos!$A$2:$A$9,0)),0)</f>
        <v>24</v>
      </c>
      <c r="K31" s="25">
        <v>0</v>
      </c>
      <c r="L31" s="24">
        <f>IFERROR(INDEX(Catalogos!$D$2:$D$9,MATCH(H31,Catalogos!$A$2:$A$9,0)),0)</f>
        <v>11.5</v>
      </c>
      <c r="M31" s="22" t="s">
        <v>93</v>
      </c>
      <c r="N31" s="22" t="s">
        <v>107</v>
      </c>
      <c r="O31" s="23">
        <f t="shared" si="0"/>
        <v>2025</v>
      </c>
      <c r="P31" s="23">
        <f t="shared" si="1"/>
        <v>4</v>
      </c>
      <c r="Q31" s="24">
        <f t="shared" si="2"/>
        <v>96</v>
      </c>
      <c r="R31" s="24">
        <f t="shared" si="3"/>
        <v>0</v>
      </c>
      <c r="S31" s="24">
        <f t="shared" si="4"/>
        <v>96</v>
      </c>
      <c r="T31" s="24">
        <f t="shared" si="5"/>
        <v>46</v>
      </c>
      <c r="U31" s="24">
        <f t="shared" si="6"/>
        <v>50</v>
      </c>
      <c r="V31" s="26">
        <f t="shared" si="7"/>
        <v>0.52083333333333337</v>
      </c>
    </row>
    <row r="32" spans="1:22" ht="15" customHeight="1" x14ac:dyDescent="0.2">
      <c r="A32" s="21">
        <v>45773</v>
      </c>
      <c r="B32" s="22" t="s">
        <v>122</v>
      </c>
      <c r="C32" s="22" t="s">
        <v>123</v>
      </c>
      <c r="D32" s="22" t="s">
        <v>12</v>
      </c>
      <c r="E32" s="22" t="s">
        <v>42</v>
      </c>
      <c r="F32" s="22" t="s">
        <v>72</v>
      </c>
      <c r="G32" s="23" t="str">
        <f>IFERROR(INDEX(Catalogos!$B$2:$B$9,MATCH(H32,Catalogos!$A$2:$A$9,0)),"")</f>
        <v>Iluminación</v>
      </c>
      <c r="H32" s="22" t="s">
        <v>117</v>
      </c>
      <c r="I32" s="22">
        <v>5</v>
      </c>
      <c r="J32" s="24">
        <f>IFERROR(INDEX(Catalogos!$C$2:$C$9,MATCH(H32,Catalogos!$A$2:$A$9,0)),0)</f>
        <v>58</v>
      </c>
      <c r="K32" s="25">
        <v>0</v>
      </c>
      <c r="L32" s="24">
        <f>IFERROR(INDEX(Catalogos!$D$2:$D$9,MATCH(H32,Catalogos!$A$2:$A$9,0)),0)</f>
        <v>31</v>
      </c>
      <c r="M32" s="22" t="s">
        <v>78</v>
      </c>
      <c r="N32" s="22" t="s">
        <v>74</v>
      </c>
      <c r="O32" s="23">
        <f t="shared" si="0"/>
        <v>2025</v>
      </c>
      <c r="P32" s="23">
        <f t="shared" si="1"/>
        <v>4</v>
      </c>
      <c r="Q32" s="24">
        <f t="shared" si="2"/>
        <v>290</v>
      </c>
      <c r="R32" s="24">
        <f t="shared" si="3"/>
        <v>0</v>
      </c>
      <c r="S32" s="24">
        <f t="shared" si="4"/>
        <v>290</v>
      </c>
      <c r="T32" s="24">
        <f t="shared" si="5"/>
        <v>155</v>
      </c>
      <c r="U32" s="24">
        <f t="shared" si="6"/>
        <v>135</v>
      </c>
      <c r="V32" s="26">
        <f t="shared" si="7"/>
        <v>0.46551724137931033</v>
      </c>
    </row>
    <row r="33" spans="1:22" ht="15" customHeight="1" x14ac:dyDescent="0.2">
      <c r="A33" s="21">
        <v>45765</v>
      </c>
      <c r="B33" s="22" t="s">
        <v>124</v>
      </c>
      <c r="C33" s="22" t="s">
        <v>100</v>
      </c>
      <c r="D33" s="22" t="s">
        <v>7</v>
      </c>
      <c r="E33" s="22" t="s">
        <v>42</v>
      </c>
      <c r="F33" s="22" t="s">
        <v>63</v>
      </c>
      <c r="G33" s="23" t="str">
        <f>IFERROR(INDEX(Catalogos!$B$2:$B$9,MATCH(H33,Catalogos!$A$2:$A$9,0)),"")</f>
        <v>Macetas</v>
      </c>
      <c r="H33" s="22" t="s">
        <v>80</v>
      </c>
      <c r="I33" s="22">
        <v>10</v>
      </c>
      <c r="J33" s="24">
        <f>IFERROR(INDEX(Catalogos!$C$2:$C$9,MATCH(H33,Catalogos!$A$2:$A$9,0)),0)</f>
        <v>24</v>
      </c>
      <c r="K33" s="25">
        <v>0.1</v>
      </c>
      <c r="L33" s="24">
        <f>IFERROR(INDEX(Catalogos!$D$2:$D$9,MATCH(H33,Catalogos!$A$2:$A$9,0)),0)</f>
        <v>11.5</v>
      </c>
      <c r="M33" s="22" t="s">
        <v>65</v>
      </c>
      <c r="N33" s="22" t="s">
        <v>66</v>
      </c>
      <c r="O33" s="23">
        <f t="shared" si="0"/>
        <v>2025</v>
      </c>
      <c r="P33" s="23">
        <f t="shared" si="1"/>
        <v>4</v>
      </c>
      <c r="Q33" s="24">
        <f t="shared" si="2"/>
        <v>240</v>
      </c>
      <c r="R33" s="24">
        <f t="shared" si="3"/>
        <v>24</v>
      </c>
      <c r="S33" s="24">
        <f t="shared" si="4"/>
        <v>216</v>
      </c>
      <c r="T33" s="24">
        <f t="shared" si="5"/>
        <v>115</v>
      </c>
      <c r="U33" s="24">
        <f t="shared" si="6"/>
        <v>101</v>
      </c>
      <c r="V33" s="26">
        <f t="shared" si="7"/>
        <v>0.46759259259259262</v>
      </c>
    </row>
    <row r="34" spans="1:22" ht="15" customHeight="1" x14ac:dyDescent="0.2">
      <c r="A34" s="21">
        <v>45783</v>
      </c>
      <c r="B34" s="22" t="s">
        <v>125</v>
      </c>
      <c r="C34" s="22" t="s">
        <v>126</v>
      </c>
      <c r="D34" s="22" t="s">
        <v>7</v>
      </c>
      <c r="E34" s="22" t="s">
        <v>43</v>
      </c>
      <c r="F34" s="22" t="s">
        <v>96</v>
      </c>
      <c r="G34" s="23" t="str">
        <f>IFERROR(INDEX(Catalogos!$B$2:$B$9,MATCH(H34,Catalogos!$A$2:$A$9,0)),"")</f>
        <v>Macetas</v>
      </c>
      <c r="H34" s="22" t="s">
        <v>80</v>
      </c>
      <c r="I34" s="22">
        <v>7</v>
      </c>
      <c r="J34" s="24">
        <f>IFERROR(INDEX(Catalogos!$C$2:$C$9,MATCH(H34,Catalogos!$A$2:$A$9,0)),0)</f>
        <v>24</v>
      </c>
      <c r="K34" s="25">
        <v>0.1</v>
      </c>
      <c r="L34" s="24">
        <f>IFERROR(INDEX(Catalogos!$D$2:$D$9,MATCH(H34,Catalogos!$A$2:$A$9,0)),0)</f>
        <v>11.5</v>
      </c>
      <c r="M34" s="22" t="s">
        <v>65</v>
      </c>
      <c r="N34" s="22" t="s">
        <v>74</v>
      </c>
      <c r="O34" s="23">
        <f t="shared" ref="O34:O65" si="8">YEAR(A34)</f>
        <v>2025</v>
      </c>
      <c r="P34" s="23">
        <f t="shared" ref="P34:P65" si="9">MONTH(A34)</f>
        <v>5</v>
      </c>
      <c r="Q34" s="24">
        <f t="shared" ref="Q34:Q65" si="10">I34*J34</f>
        <v>168</v>
      </c>
      <c r="R34" s="24">
        <f t="shared" ref="R34:R65" si="11">Q34*K34</f>
        <v>16.8</v>
      </c>
      <c r="S34" s="24">
        <f t="shared" ref="S34:S65" si="12">Q34-R34</f>
        <v>151.19999999999999</v>
      </c>
      <c r="T34" s="24">
        <f t="shared" ref="T34:T65" si="13">I34*L34</f>
        <v>80.5</v>
      </c>
      <c r="U34" s="24">
        <f t="shared" ref="U34:U65" si="14">S34-T34</f>
        <v>70.699999999999989</v>
      </c>
      <c r="V34" s="26">
        <f t="shared" ref="V34:V65" si="15">IFERROR(U34/S34,0)</f>
        <v>0.46759259259259256</v>
      </c>
    </row>
    <row r="35" spans="1:22" ht="15" customHeight="1" x14ac:dyDescent="0.2">
      <c r="A35" s="21">
        <v>45793</v>
      </c>
      <c r="B35" s="22" t="s">
        <v>127</v>
      </c>
      <c r="C35" s="22" t="s">
        <v>128</v>
      </c>
      <c r="D35" s="22" t="s">
        <v>12</v>
      </c>
      <c r="E35" s="22" t="s">
        <v>44</v>
      </c>
      <c r="F35" s="22" t="s">
        <v>96</v>
      </c>
      <c r="G35" s="23" t="str">
        <f>IFERROR(INDEX(Catalogos!$B$2:$B$9,MATCH(H35,Catalogos!$A$2:$A$9,0)),"")</f>
        <v>Iluminación</v>
      </c>
      <c r="H35" s="22" t="s">
        <v>117</v>
      </c>
      <c r="I35" s="22">
        <v>5</v>
      </c>
      <c r="J35" s="24">
        <f>IFERROR(INDEX(Catalogos!$C$2:$C$9,MATCH(H35,Catalogos!$A$2:$A$9,0)),0)</f>
        <v>58</v>
      </c>
      <c r="K35" s="25">
        <v>0.05</v>
      </c>
      <c r="L35" s="24">
        <f>IFERROR(INDEX(Catalogos!$D$2:$D$9,MATCH(H35,Catalogos!$A$2:$A$9,0)),0)</f>
        <v>31</v>
      </c>
      <c r="M35" s="22" t="s">
        <v>78</v>
      </c>
      <c r="N35" s="22" t="s">
        <v>74</v>
      </c>
      <c r="O35" s="23">
        <f t="shared" si="8"/>
        <v>2025</v>
      </c>
      <c r="P35" s="23">
        <f t="shared" si="9"/>
        <v>5</v>
      </c>
      <c r="Q35" s="24">
        <f t="shared" si="10"/>
        <v>290</v>
      </c>
      <c r="R35" s="24">
        <f t="shared" si="11"/>
        <v>14.5</v>
      </c>
      <c r="S35" s="24">
        <f t="shared" si="12"/>
        <v>275.5</v>
      </c>
      <c r="T35" s="24">
        <f t="shared" si="13"/>
        <v>155</v>
      </c>
      <c r="U35" s="24">
        <f t="shared" si="14"/>
        <v>120.5</v>
      </c>
      <c r="V35" s="26">
        <f t="shared" si="15"/>
        <v>0.43738656987295826</v>
      </c>
    </row>
    <row r="36" spans="1:22" ht="15" customHeight="1" x14ac:dyDescent="0.2">
      <c r="A36" s="21">
        <v>45788</v>
      </c>
      <c r="B36" s="22" t="s">
        <v>129</v>
      </c>
      <c r="C36" s="22" t="s">
        <v>103</v>
      </c>
      <c r="D36" s="22" t="s">
        <v>12</v>
      </c>
      <c r="E36" s="22" t="s">
        <v>43</v>
      </c>
      <c r="F36" s="22" t="s">
        <v>63</v>
      </c>
      <c r="G36" s="23" t="str">
        <f>IFERROR(INDEX(Catalogos!$B$2:$B$9,MATCH(H36,Catalogos!$A$2:$A$9,0)),"")</f>
        <v>Kits</v>
      </c>
      <c r="H36" s="22" t="s">
        <v>73</v>
      </c>
      <c r="I36" s="22">
        <v>3</v>
      </c>
      <c r="J36" s="24">
        <f>IFERROR(INDEX(Catalogos!$C$2:$C$9,MATCH(H36,Catalogos!$A$2:$A$9,0)),0)</f>
        <v>79</v>
      </c>
      <c r="K36" s="25">
        <v>0</v>
      </c>
      <c r="L36" s="24">
        <f>IFERROR(INDEX(Catalogos!$D$2:$D$9,MATCH(H36,Catalogos!$A$2:$A$9,0)),0)</f>
        <v>42</v>
      </c>
      <c r="M36" s="22" t="s">
        <v>65</v>
      </c>
      <c r="N36" s="22" t="s">
        <v>66</v>
      </c>
      <c r="O36" s="23">
        <f t="shared" si="8"/>
        <v>2025</v>
      </c>
      <c r="P36" s="23">
        <f t="shared" si="9"/>
        <v>5</v>
      </c>
      <c r="Q36" s="24">
        <f t="shared" si="10"/>
        <v>237</v>
      </c>
      <c r="R36" s="24">
        <f t="shared" si="11"/>
        <v>0</v>
      </c>
      <c r="S36" s="24">
        <f t="shared" si="12"/>
        <v>237</v>
      </c>
      <c r="T36" s="24">
        <f t="shared" si="13"/>
        <v>126</v>
      </c>
      <c r="U36" s="24">
        <f t="shared" si="14"/>
        <v>111</v>
      </c>
      <c r="V36" s="26">
        <f t="shared" si="15"/>
        <v>0.46835443037974683</v>
      </c>
    </row>
    <row r="37" spans="1:22" ht="15" customHeight="1" x14ac:dyDescent="0.2">
      <c r="A37" s="21">
        <v>45780</v>
      </c>
      <c r="B37" s="22" t="s">
        <v>130</v>
      </c>
      <c r="C37" s="22" t="s">
        <v>71</v>
      </c>
      <c r="D37" s="22" t="s">
        <v>7</v>
      </c>
      <c r="E37" s="22" t="s">
        <v>43</v>
      </c>
      <c r="F37" s="22" t="s">
        <v>63</v>
      </c>
      <c r="G37" s="23" t="str">
        <f>IFERROR(INDEX(Catalogos!$B$2:$B$9,MATCH(H37,Catalogos!$A$2:$A$9,0)),"")</f>
        <v>Macetas</v>
      </c>
      <c r="H37" s="22" t="s">
        <v>120</v>
      </c>
      <c r="I37" s="22">
        <v>7</v>
      </c>
      <c r="J37" s="24">
        <f>IFERROR(INDEX(Catalogos!$C$2:$C$9,MATCH(H37,Catalogos!$A$2:$A$9,0)),0)</f>
        <v>42</v>
      </c>
      <c r="K37" s="25">
        <v>0.1</v>
      </c>
      <c r="L37" s="24">
        <f>IFERROR(INDEX(Catalogos!$D$2:$D$9,MATCH(H37,Catalogos!$A$2:$A$9,0)),0)</f>
        <v>21</v>
      </c>
      <c r="M37" s="22" t="s">
        <v>78</v>
      </c>
      <c r="N37" s="22" t="s">
        <v>74</v>
      </c>
      <c r="O37" s="23">
        <f t="shared" si="8"/>
        <v>2025</v>
      </c>
      <c r="P37" s="23">
        <f t="shared" si="9"/>
        <v>5</v>
      </c>
      <c r="Q37" s="24">
        <f t="shared" si="10"/>
        <v>294</v>
      </c>
      <c r="R37" s="24">
        <f t="shared" si="11"/>
        <v>29.400000000000002</v>
      </c>
      <c r="S37" s="24">
        <f t="shared" si="12"/>
        <v>264.60000000000002</v>
      </c>
      <c r="T37" s="24">
        <f t="shared" si="13"/>
        <v>147</v>
      </c>
      <c r="U37" s="24">
        <f t="shared" si="14"/>
        <v>117.60000000000002</v>
      </c>
      <c r="V37" s="26">
        <f t="shared" si="15"/>
        <v>0.44444444444444448</v>
      </c>
    </row>
    <row r="38" spans="1:22" ht="15" customHeight="1" x14ac:dyDescent="0.2">
      <c r="A38" s="21">
        <v>45780</v>
      </c>
      <c r="B38" s="22" t="s">
        <v>131</v>
      </c>
      <c r="C38" s="22" t="s">
        <v>132</v>
      </c>
      <c r="D38" s="22" t="s">
        <v>16</v>
      </c>
      <c r="E38" s="22" t="s">
        <v>45</v>
      </c>
      <c r="F38" s="22" t="s">
        <v>72</v>
      </c>
      <c r="G38" s="23" t="str">
        <f>IFERROR(INDEX(Catalogos!$B$2:$B$9,MATCH(H38,Catalogos!$A$2:$A$9,0)),"")</f>
        <v>Semillas</v>
      </c>
      <c r="H38" s="22" t="s">
        <v>64</v>
      </c>
      <c r="I38" s="22">
        <v>7</v>
      </c>
      <c r="J38" s="24">
        <f>IFERROR(INDEX(Catalogos!$C$2:$C$9,MATCH(H38,Catalogos!$A$2:$A$9,0)),0)</f>
        <v>14</v>
      </c>
      <c r="K38" s="25">
        <v>7.0000000000000007E-2</v>
      </c>
      <c r="L38" s="24">
        <f>IFERROR(INDEX(Catalogos!$D$2:$D$9,MATCH(H38,Catalogos!$A$2:$A$9,0)),0)</f>
        <v>4.5</v>
      </c>
      <c r="M38" s="22" t="s">
        <v>93</v>
      </c>
      <c r="N38" s="22" t="s">
        <v>74</v>
      </c>
      <c r="O38" s="23">
        <f t="shared" si="8"/>
        <v>2025</v>
      </c>
      <c r="P38" s="23">
        <f t="shared" si="9"/>
        <v>5</v>
      </c>
      <c r="Q38" s="24">
        <f t="shared" si="10"/>
        <v>98</v>
      </c>
      <c r="R38" s="24">
        <f t="shared" si="11"/>
        <v>6.86</v>
      </c>
      <c r="S38" s="24">
        <f t="shared" si="12"/>
        <v>91.14</v>
      </c>
      <c r="T38" s="24">
        <f t="shared" si="13"/>
        <v>31.5</v>
      </c>
      <c r="U38" s="24">
        <f t="shared" si="14"/>
        <v>59.64</v>
      </c>
      <c r="V38" s="26">
        <f t="shared" si="15"/>
        <v>0.65437788018433185</v>
      </c>
    </row>
    <row r="39" spans="1:22" ht="14.25" x14ac:dyDescent="0.2">
      <c r="A39" s="21">
        <v>45780</v>
      </c>
      <c r="B39" s="22" t="s">
        <v>133</v>
      </c>
      <c r="C39" s="22" t="s">
        <v>71</v>
      </c>
      <c r="D39" s="22" t="s">
        <v>9</v>
      </c>
      <c r="E39" s="22" t="s">
        <v>42</v>
      </c>
      <c r="F39" s="22" t="s">
        <v>72</v>
      </c>
      <c r="G39" s="23" t="str">
        <f>IFERROR(INDEX(Catalogos!$B$2:$B$9,MATCH(H39,Catalogos!$A$2:$A$9,0)),"")</f>
        <v>Sensores</v>
      </c>
      <c r="H39" s="22" t="s">
        <v>101</v>
      </c>
      <c r="I39" s="22">
        <v>2</v>
      </c>
      <c r="J39" s="24">
        <f>IFERROR(INDEX(Catalogos!$C$2:$C$9,MATCH(H39,Catalogos!$A$2:$A$9,0)),0)</f>
        <v>36</v>
      </c>
      <c r="K39" s="25">
        <v>0.1</v>
      </c>
      <c r="L39" s="24">
        <f>IFERROR(INDEX(Catalogos!$D$2:$D$9,MATCH(H39,Catalogos!$A$2:$A$9,0)),0)</f>
        <v>17</v>
      </c>
      <c r="M39" s="22" t="s">
        <v>93</v>
      </c>
      <c r="N39" s="22" t="s">
        <v>107</v>
      </c>
      <c r="O39" s="23">
        <f t="shared" si="8"/>
        <v>2025</v>
      </c>
      <c r="P39" s="23">
        <f t="shared" si="9"/>
        <v>5</v>
      </c>
      <c r="Q39" s="24">
        <f t="shared" si="10"/>
        <v>72</v>
      </c>
      <c r="R39" s="24">
        <f t="shared" si="11"/>
        <v>7.2</v>
      </c>
      <c r="S39" s="24">
        <f t="shared" si="12"/>
        <v>64.8</v>
      </c>
      <c r="T39" s="24">
        <f t="shared" si="13"/>
        <v>34</v>
      </c>
      <c r="U39" s="24">
        <f t="shared" si="14"/>
        <v>30.799999999999997</v>
      </c>
      <c r="V39" s="26">
        <f t="shared" si="15"/>
        <v>0.47530864197530864</v>
      </c>
    </row>
    <row r="40" spans="1:22" ht="14.25" x14ac:dyDescent="0.2">
      <c r="A40" s="21">
        <v>45789</v>
      </c>
      <c r="B40" s="22" t="s">
        <v>134</v>
      </c>
      <c r="C40" s="22" t="s">
        <v>91</v>
      </c>
      <c r="D40" s="22" t="s">
        <v>12</v>
      </c>
      <c r="E40" s="22" t="s">
        <v>43</v>
      </c>
      <c r="F40" s="22" t="s">
        <v>72</v>
      </c>
      <c r="G40" s="23" t="str">
        <f>IFERROR(INDEX(Catalogos!$B$2:$B$9,MATCH(H40,Catalogos!$A$2:$A$9,0)),"")</f>
        <v>Semillas</v>
      </c>
      <c r="H40" s="22" t="s">
        <v>64</v>
      </c>
      <c r="I40" s="22">
        <v>9</v>
      </c>
      <c r="J40" s="24">
        <f>IFERROR(INDEX(Catalogos!$C$2:$C$9,MATCH(H40,Catalogos!$A$2:$A$9,0)),0)</f>
        <v>14</v>
      </c>
      <c r="K40" s="25">
        <v>0</v>
      </c>
      <c r="L40" s="24">
        <f>IFERROR(INDEX(Catalogos!$D$2:$D$9,MATCH(H40,Catalogos!$A$2:$A$9,0)),0)</f>
        <v>4.5</v>
      </c>
      <c r="M40" s="22" t="s">
        <v>69</v>
      </c>
      <c r="N40" s="22" t="s">
        <v>107</v>
      </c>
      <c r="O40" s="23">
        <f t="shared" si="8"/>
        <v>2025</v>
      </c>
      <c r="P40" s="23">
        <f t="shared" si="9"/>
        <v>5</v>
      </c>
      <c r="Q40" s="24">
        <f t="shared" si="10"/>
        <v>126</v>
      </c>
      <c r="R40" s="24">
        <f t="shared" si="11"/>
        <v>0</v>
      </c>
      <c r="S40" s="24">
        <f t="shared" si="12"/>
        <v>126</v>
      </c>
      <c r="T40" s="24">
        <f t="shared" si="13"/>
        <v>40.5</v>
      </c>
      <c r="U40" s="24">
        <f t="shared" si="14"/>
        <v>85.5</v>
      </c>
      <c r="V40" s="26">
        <f t="shared" si="15"/>
        <v>0.6785714285714286</v>
      </c>
    </row>
    <row r="41" spans="1:22" ht="14.25" x14ac:dyDescent="0.2">
      <c r="A41" s="21">
        <v>45792</v>
      </c>
      <c r="B41" s="22" t="s">
        <v>135</v>
      </c>
      <c r="C41" s="22" t="s">
        <v>76</v>
      </c>
      <c r="D41" s="22" t="s">
        <v>16</v>
      </c>
      <c r="E41" s="22" t="s">
        <v>43</v>
      </c>
      <c r="F41" s="22" t="s">
        <v>96</v>
      </c>
      <c r="G41" s="23" t="str">
        <f>IFERROR(INDEX(Catalogos!$B$2:$B$9,MATCH(H41,Catalogos!$A$2:$A$9,0)),"")</f>
        <v>Sensores</v>
      </c>
      <c r="H41" s="22" t="s">
        <v>101</v>
      </c>
      <c r="I41" s="22">
        <v>7</v>
      </c>
      <c r="J41" s="24">
        <f>IFERROR(INDEX(Catalogos!$C$2:$C$9,MATCH(H41,Catalogos!$A$2:$A$9,0)),0)</f>
        <v>36</v>
      </c>
      <c r="K41" s="25">
        <v>0.03</v>
      </c>
      <c r="L41" s="24">
        <f>IFERROR(INDEX(Catalogos!$D$2:$D$9,MATCH(H41,Catalogos!$A$2:$A$9,0)),0)</f>
        <v>17</v>
      </c>
      <c r="M41" s="22" t="s">
        <v>78</v>
      </c>
      <c r="N41" s="22" t="s">
        <v>66</v>
      </c>
      <c r="O41" s="23">
        <f t="shared" si="8"/>
        <v>2025</v>
      </c>
      <c r="P41" s="23">
        <f t="shared" si="9"/>
        <v>5</v>
      </c>
      <c r="Q41" s="24">
        <f t="shared" si="10"/>
        <v>252</v>
      </c>
      <c r="R41" s="24">
        <f t="shared" si="11"/>
        <v>7.56</v>
      </c>
      <c r="S41" s="24">
        <f t="shared" si="12"/>
        <v>244.44</v>
      </c>
      <c r="T41" s="24">
        <f t="shared" si="13"/>
        <v>119</v>
      </c>
      <c r="U41" s="24">
        <f t="shared" si="14"/>
        <v>125.44</v>
      </c>
      <c r="V41" s="26">
        <f t="shared" si="15"/>
        <v>0.51317296678121416</v>
      </c>
    </row>
    <row r="42" spans="1:22" ht="14.25" x14ac:dyDescent="0.2">
      <c r="A42" s="21">
        <v>45832</v>
      </c>
      <c r="B42" s="22" t="s">
        <v>136</v>
      </c>
      <c r="C42" s="22" t="s">
        <v>128</v>
      </c>
      <c r="D42" s="22" t="s">
        <v>12</v>
      </c>
      <c r="E42" s="22" t="s">
        <v>43</v>
      </c>
      <c r="F42" s="22" t="s">
        <v>72</v>
      </c>
      <c r="G42" s="23" t="str">
        <f>IFERROR(INDEX(Catalogos!$B$2:$B$9,MATCH(H42,Catalogos!$A$2:$A$9,0)),"")</f>
        <v>Macetas</v>
      </c>
      <c r="H42" s="22" t="s">
        <v>80</v>
      </c>
      <c r="I42" s="22">
        <v>11</v>
      </c>
      <c r="J42" s="24">
        <f>IFERROR(INDEX(Catalogos!$C$2:$C$9,MATCH(H42,Catalogos!$A$2:$A$9,0)),0)</f>
        <v>24</v>
      </c>
      <c r="K42" s="25">
        <v>0.03</v>
      </c>
      <c r="L42" s="24">
        <f>IFERROR(INDEX(Catalogos!$D$2:$D$9,MATCH(H42,Catalogos!$A$2:$A$9,0)),0)</f>
        <v>11.5</v>
      </c>
      <c r="M42" s="22" t="s">
        <v>78</v>
      </c>
      <c r="N42" s="22" t="s">
        <v>107</v>
      </c>
      <c r="O42" s="23">
        <f t="shared" si="8"/>
        <v>2025</v>
      </c>
      <c r="P42" s="23">
        <f t="shared" si="9"/>
        <v>6</v>
      </c>
      <c r="Q42" s="24">
        <f t="shared" si="10"/>
        <v>264</v>
      </c>
      <c r="R42" s="24">
        <f t="shared" si="11"/>
        <v>7.92</v>
      </c>
      <c r="S42" s="24">
        <f t="shared" si="12"/>
        <v>256.08</v>
      </c>
      <c r="T42" s="24">
        <f t="shared" si="13"/>
        <v>126.5</v>
      </c>
      <c r="U42" s="24">
        <f t="shared" si="14"/>
        <v>129.57999999999998</v>
      </c>
      <c r="V42" s="26">
        <f t="shared" si="15"/>
        <v>0.50601374570446733</v>
      </c>
    </row>
    <row r="43" spans="1:22" ht="14.25" x14ac:dyDescent="0.2">
      <c r="A43" s="21">
        <v>45831</v>
      </c>
      <c r="B43" s="22" t="s">
        <v>137</v>
      </c>
      <c r="C43" s="22" t="s">
        <v>89</v>
      </c>
      <c r="D43" s="22" t="s">
        <v>16</v>
      </c>
      <c r="E43" s="22" t="s">
        <v>42</v>
      </c>
      <c r="F43" s="22" t="s">
        <v>72</v>
      </c>
      <c r="G43" s="23" t="str">
        <f>IFERROR(INDEX(Catalogos!$B$2:$B$9,MATCH(H43,Catalogos!$A$2:$A$9,0)),"")</f>
        <v>Mobiliario</v>
      </c>
      <c r="H43" s="22" t="s">
        <v>85</v>
      </c>
      <c r="I43" s="22">
        <v>4</v>
      </c>
      <c r="J43" s="24">
        <f>IFERROR(INDEX(Catalogos!$C$2:$C$9,MATCH(H43,Catalogos!$A$2:$A$9,0)),0)</f>
        <v>128</v>
      </c>
      <c r="K43" s="25">
        <v>0.1</v>
      </c>
      <c r="L43" s="24">
        <f>IFERROR(INDEX(Catalogos!$D$2:$D$9,MATCH(H43,Catalogos!$A$2:$A$9,0)),0)</f>
        <v>76</v>
      </c>
      <c r="M43" s="22" t="s">
        <v>93</v>
      </c>
      <c r="N43" s="22" t="s">
        <v>107</v>
      </c>
      <c r="O43" s="23">
        <f t="shared" si="8"/>
        <v>2025</v>
      </c>
      <c r="P43" s="23">
        <f t="shared" si="9"/>
        <v>6</v>
      </c>
      <c r="Q43" s="24">
        <f t="shared" si="10"/>
        <v>512</v>
      </c>
      <c r="R43" s="24">
        <f t="shared" si="11"/>
        <v>51.2</v>
      </c>
      <c r="S43" s="24">
        <f t="shared" si="12"/>
        <v>460.8</v>
      </c>
      <c r="T43" s="24">
        <f t="shared" si="13"/>
        <v>304</v>
      </c>
      <c r="U43" s="24">
        <f t="shared" si="14"/>
        <v>156.80000000000001</v>
      </c>
      <c r="V43" s="26">
        <f t="shared" si="15"/>
        <v>0.34027777777777779</v>
      </c>
    </row>
    <row r="44" spans="1:22" ht="14.25" x14ac:dyDescent="0.2">
      <c r="A44" s="21">
        <v>45814</v>
      </c>
      <c r="B44" s="22" t="s">
        <v>138</v>
      </c>
      <c r="C44" s="22" t="s">
        <v>123</v>
      </c>
      <c r="D44" s="22" t="s">
        <v>16</v>
      </c>
      <c r="E44" s="22" t="s">
        <v>43</v>
      </c>
      <c r="F44" s="22" t="s">
        <v>96</v>
      </c>
      <c r="G44" s="23" t="str">
        <f>IFERROR(INDEX(Catalogos!$B$2:$B$9,MATCH(H44,Catalogos!$A$2:$A$9,0)),"")</f>
        <v>Sensores</v>
      </c>
      <c r="H44" s="22" t="s">
        <v>101</v>
      </c>
      <c r="I44" s="22">
        <v>5</v>
      </c>
      <c r="J44" s="24">
        <f>IFERROR(INDEX(Catalogos!$C$2:$C$9,MATCH(H44,Catalogos!$A$2:$A$9,0)),0)</f>
        <v>36</v>
      </c>
      <c r="K44" s="25">
        <v>0</v>
      </c>
      <c r="L44" s="24">
        <f>IFERROR(INDEX(Catalogos!$D$2:$D$9,MATCH(H44,Catalogos!$A$2:$A$9,0)),0)</f>
        <v>17</v>
      </c>
      <c r="M44" s="22" t="s">
        <v>65</v>
      </c>
      <c r="N44" s="22" t="s">
        <v>74</v>
      </c>
      <c r="O44" s="23">
        <f t="shared" si="8"/>
        <v>2025</v>
      </c>
      <c r="P44" s="23">
        <f t="shared" si="9"/>
        <v>6</v>
      </c>
      <c r="Q44" s="24">
        <f t="shared" si="10"/>
        <v>180</v>
      </c>
      <c r="R44" s="24">
        <f t="shared" si="11"/>
        <v>0</v>
      </c>
      <c r="S44" s="24">
        <f t="shared" si="12"/>
        <v>180</v>
      </c>
      <c r="T44" s="24">
        <f t="shared" si="13"/>
        <v>85</v>
      </c>
      <c r="U44" s="24">
        <f t="shared" si="14"/>
        <v>95</v>
      </c>
      <c r="V44" s="26">
        <f t="shared" si="15"/>
        <v>0.52777777777777779</v>
      </c>
    </row>
    <row r="45" spans="1:22" ht="14.25" x14ac:dyDescent="0.2">
      <c r="A45" s="21">
        <v>45832</v>
      </c>
      <c r="B45" s="22" t="s">
        <v>139</v>
      </c>
      <c r="C45" s="22" t="s">
        <v>126</v>
      </c>
      <c r="D45" s="22" t="s">
        <v>7</v>
      </c>
      <c r="E45" s="22" t="s">
        <v>42</v>
      </c>
      <c r="F45" s="22" t="s">
        <v>96</v>
      </c>
      <c r="G45" s="23" t="str">
        <f>IFERROR(INDEX(Catalogos!$B$2:$B$9,MATCH(H45,Catalogos!$A$2:$A$9,0)),"")</f>
        <v>Kits</v>
      </c>
      <c r="H45" s="22" t="s">
        <v>73</v>
      </c>
      <c r="I45" s="22">
        <v>1</v>
      </c>
      <c r="J45" s="24">
        <f>IFERROR(INDEX(Catalogos!$C$2:$C$9,MATCH(H45,Catalogos!$A$2:$A$9,0)),0)</f>
        <v>79</v>
      </c>
      <c r="K45" s="25">
        <v>7.0000000000000007E-2</v>
      </c>
      <c r="L45" s="24">
        <f>IFERROR(INDEX(Catalogos!$D$2:$D$9,MATCH(H45,Catalogos!$A$2:$A$9,0)),0)</f>
        <v>42</v>
      </c>
      <c r="M45" s="22" t="s">
        <v>78</v>
      </c>
      <c r="N45" s="22" t="s">
        <v>107</v>
      </c>
      <c r="O45" s="23">
        <f t="shared" si="8"/>
        <v>2025</v>
      </c>
      <c r="P45" s="23">
        <f t="shared" si="9"/>
        <v>6</v>
      </c>
      <c r="Q45" s="24">
        <f t="shared" si="10"/>
        <v>79</v>
      </c>
      <c r="R45" s="24">
        <f t="shared" si="11"/>
        <v>5.53</v>
      </c>
      <c r="S45" s="24">
        <f t="shared" si="12"/>
        <v>73.47</v>
      </c>
      <c r="T45" s="24">
        <f t="shared" si="13"/>
        <v>42</v>
      </c>
      <c r="U45" s="24">
        <f t="shared" si="14"/>
        <v>31.47</v>
      </c>
      <c r="V45" s="26">
        <f t="shared" si="15"/>
        <v>0.42833809718252347</v>
      </c>
    </row>
    <row r="46" spans="1:22" ht="14.25" x14ac:dyDescent="0.2">
      <c r="A46" s="21">
        <v>45832</v>
      </c>
      <c r="B46" s="22" t="s">
        <v>140</v>
      </c>
      <c r="C46" s="22" t="s">
        <v>76</v>
      </c>
      <c r="D46" s="22" t="s">
        <v>7</v>
      </c>
      <c r="E46" s="22" t="s">
        <v>44</v>
      </c>
      <c r="F46" s="22" t="s">
        <v>63</v>
      </c>
      <c r="G46" s="23" t="str">
        <f>IFERROR(INDEX(Catalogos!$B$2:$B$9,MATCH(H46,Catalogos!$A$2:$A$9,0)),"")</f>
        <v>Mobiliario</v>
      </c>
      <c r="H46" s="22" t="s">
        <v>85</v>
      </c>
      <c r="I46" s="22">
        <v>4</v>
      </c>
      <c r="J46" s="24">
        <f>IFERROR(INDEX(Catalogos!$C$2:$C$9,MATCH(H46,Catalogos!$A$2:$A$9,0)),0)</f>
        <v>128</v>
      </c>
      <c r="K46" s="25">
        <v>0.03</v>
      </c>
      <c r="L46" s="24">
        <f>IFERROR(INDEX(Catalogos!$D$2:$D$9,MATCH(H46,Catalogos!$A$2:$A$9,0)),0)</f>
        <v>76</v>
      </c>
      <c r="M46" s="22" t="s">
        <v>78</v>
      </c>
      <c r="N46" s="22" t="s">
        <v>66</v>
      </c>
      <c r="O46" s="23">
        <f t="shared" si="8"/>
        <v>2025</v>
      </c>
      <c r="P46" s="23">
        <f t="shared" si="9"/>
        <v>6</v>
      </c>
      <c r="Q46" s="24">
        <f t="shared" si="10"/>
        <v>512</v>
      </c>
      <c r="R46" s="24">
        <f t="shared" si="11"/>
        <v>15.36</v>
      </c>
      <c r="S46" s="24">
        <f t="shared" si="12"/>
        <v>496.64</v>
      </c>
      <c r="T46" s="24">
        <f t="shared" si="13"/>
        <v>304</v>
      </c>
      <c r="U46" s="24">
        <f t="shared" si="14"/>
        <v>192.64</v>
      </c>
      <c r="V46" s="26">
        <f t="shared" si="15"/>
        <v>0.38788659793814434</v>
      </c>
    </row>
    <row r="47" spans="1:22" ht="14.25" x14ac:dyDescent="0.2">
      <c r="A47" s="21">
        <v>45828</v>
      </c>
      <c r="B47" s="22" t="s">
        <v>141</v>
      </c>
      <c r="C47" s="22" t="s">
        <v>62</v>
      </c>
      <c r="D47" s="22" t="s">
        <v>9</v>
      </c>
      <c r="E47" s="22" t="s">
        <v>42</v>
      </c>
      <c r="F47" s="22" t="s">
        <v>63</v>
      </c>
      <c r="G47" s="23" t="str">
        <f>IFERROR(INDEX(Catalogos!$B$2:$B$9,MATCH(H47,Catalogos!$A$2:$A$9,0)),"")</f>
        <v>Macetas</v>
      </c>
      <c r="H47" s="22" t="s">
        <v>80</v>
      </c>
      <c r="I47" s="22">
        <v>4</v>
      </c>
      <c r="J47" s="24">
        <f>IFERROR(INDEX(Catalogos!$C$2:$C$9,MATCH(H47,Catalogos!$A$2:$A$9,0)),0)</f>
        <v>24</v>
      </c>
      <c r="K47" s="25">
        <v>7.0000000000000007E-2</v>
      </c>
      <c r="L47" s="24">
        <f>IFERROR(INDEX(Catalogos!$D$2:$D$9,MATCH(H47,Catalogos!$A$2:$A$9,0)),0)</f>
        <v>11.5</v>
      </c>
      <c r="M47" s="22" t="s">
        <v>65</v>
      </c>
      <c r="N47" s="22" t="s">
        <v>74</v>
      </c>
      <c r="O47" s="23">
        <f t="shared" si="8"/>
        <v>2025</v>
      </c>
      <c r="P47" s="23">
        <f t="shared" si="9"/>
        <v>6</v>
      </c>
      <c r="Q47" s="24">
        <f t="shared" si="10"/>
        <v>96</v>
      </c>
      <c r="R47" s="24">
        <f t="shared" si="11"/>
        <v>6.7200000000000006</v>
      </c>
      <c r="S47" s="24">
        <f t="shared" si="12"/>
        <v>89.28</v>
      </c>
      <c r="T47" s="24">
        <f t="shared" si="13"/>
        <v>46</v>
      </c>
      <c r="U47" s="24">
        <f t="shared" si="14"/>
        <v>43.28</v>
      </c>
      <c r="V47" s="26">
        <f t="shared" si="15"/>
        <v>0.48476702508960573</v>
      </c>
    </row>
    <row r="48" spans="1:22" ht="14.25" x14ac:dyDescent="0.2">
      <c r="A48" s="21">
        <v>45821</v>
      </c>
      <c r="B48" s="22" t="s">
        <v>142</v>
      </c>
      <c r="C48" s="22" t="s">
        <v>100</v>
      </c>
      <c r="D48" s="22" t="s">
        <v>12</v>
      </c>
      <c r="E48" s="22" t="s">
        <v>42</v>
      </c>
      <c r="F48" s="22" t="s">
        <v>72</v>
      </c>
      <c r="G48" s="23" t="str">
        <f>IFERROR(INDEX(Catalogos!$B$2:$B$9,MATCH(H48,Catalogos!$A$2:$A$9,0)),"")</f>
        <v>Macetas</v>
      </c>
      <c r="H48" s="22" t="s">
        <v>80</v>
      </c>
      <c r="I48" s="22">
        <v>4</v>
      </c>
      <c r="J48" s="24">
        <f>IFERROR(INDEX(Catalogos!$C$2:$C$9,MATCH(H48,Catalogos!$A$2:$A$9,0)),0)</f>
        <v>24</v>
      </c>
      <c r="K48" s="25">
        <v>0</v>
      </c>
      <c r="L48" s="24">
        <f>IFERROR(INDEX(Catalogos!$D$2:$D$9,MATCH(H48,Catalogos!$A$2:$A$9,0)),0)</f>
        <v>11.5</v>
      </c>
      <c r="M48" s="22" t="s">
        <v>69</v>
      </c>
      <c r="N48" s="22" t="s">
        <v>66</v>
      </c>
      <c r="O48" s="23">
        <f t="shared" si="8"/>
        <v>2025</v>
      </c>
      <c r="P48" s="23">
        <f t="shared" si="9"/>
        <v>6</v>
      </c>
      <c r="Q48" s="24">
        <f t="shared" si="10"/>
        <v>96</v>
      </c>
      <c r="R48" s="24">
        <f t="shared" si="11"/>
        <v>0</v>
      </c>
      <c r="S48" s="24">
        <f t="shared" si="12"/>
        <v>96</v>
      </c>
      <c r="T48" s="24">
        <f t="shared" si="13"/>
        <v>46</v>
      </c>
      <c r="U48" s="24">
        <f t="shared" si="14"/>
        <v>50</v>
      </c>
      <c r="V48" s="26">
        <f t="shared" si="15"/>
        <v>0.52083333333333337</v>
      </c>
    </row>
    <row r="49" spans="1:22" ht="14.25" x14ac:dyDescent="0.2">
      <c r="A49" s="21">
        <v>45811</v>
      </c>
      <c r="B49" s="22" t="s">
        <v>143</v>
      </c>
      <c r="C49" s="22" t="s">
        <v>105</v>
      </c>
      <c r="D49" s="22" t="s">
        <v>9</v>
      </c>
      <c r="E49" s="22" t="s">
        <v>42</v>
      </c>
      <c r="F49" s="22" t="s">
        <v>63</v>
      </c>
      <c r="G49" s="23" t="str">
        <f>IFERROR(INDEX(Catalogos!$B$2:$B$9,MATCH(H49,Catalogos!$A$2:$A$9,0)),"")</f>
        <v>Macetas</v>
      </c>
      <c r="H49" s="22" t="s">
        <v>80</v>
      </c>
      <c r="I49" s="22">
        <v>8</v>
      </c>
      <c r="J49" s="24">
        <f>IFERROR(INDEX(Catalogos!$C$2:$C$9,MATCH(H49,Catalogos!$A$2:$A$9,0)),0)</f>
        <v>24</v>
      </c>
      <c r="K49" s="25">
        <v>0.1</v>
      </c>
      <c r="L49" s="24">
        <f>IFERROR(INDEX(Catalogos!$D$2:$D$9,MATCH(H49,Catalogos!$A$2:$A$9,0)),0)</f>
        <v>11.5</v>
      </c>
      <c r="M49" s="22" t="s">
        <v>78</v>
      </c>
      <c r="N49" s="22" t="s">
        <v>66</v>
      </c>
      <c r="O49" s="23">
        <f t="shared" si="8"/>
        <v>2025</v>
      </c>
      <c r="P49" s="23">
        <f t="shared" si="9"/>
        <v>6</v>
      </c>
      <c r="Q49" s="24">
        <f t="shared" si="10"/>
        <v>192</v>
      </c>
      <c r="R49" s="24">
        <f t="shared" si="11"/>
        <v>19.200000000000003</v>
      </c>
      <c r="S49" s="24">
        <f t="shared" si="12"/>
        <v>172.8</v>
      </c>
      <c r="T49" s="24">
        <f t="shared" si="13"/>
        <v>92</v>
      </c>
      <c r="U49" s="24">
        <f t="shared" si="14"/>
        <v>80.800000000000011</v>
      </c>
      <c r="V49" s="26">
        <f t="shared" si="15"/>
        <v>0.46759259259259262</v>
      </c>
    </row>
    <row r="50" spans="1:22" ht="14.25" x14ac:dyDescent="0.2">
      <c r="A50" s="21">
        <v>45852</v>
      </c>
      <c r="B50" s="22" t="s">
        <v>144</v>
      </c>
      <c r="C50" s="22" t="s">
        <v>128</v>
      </c>
      <c r="D50" s="22" t="s">
        <v>7</v>
      </c>
      <c r="E50" s="22" t="s">
        <v>42</v>
      </c>
      <c r="F50" s="22" t="s">
        <v>72</v>
      </c>
      <c r="G50" s="23" t="str">
        <f>IFERROR(INDEX(Catalogos!$B$2:$B$9,MATCH(H50,Catalogos!$A$2:$A$9,0)),"")</f>
        <v>Kits</v>
      </c>
      <c r="H50" s="22" t="s">
        <v>73</v>
      </c>
      <c r="I50" s="22">
        <v>2</v>
      </c>
      <c r="J50" s="24">
        <f>IFERROR(INDEX(Catalogos!$C$2:$C$9,MATCH(H50,Catalogos!$A$2:$A$9,0)),0)</f>
        <v>79</v>
      </c>
      <c r="K50" s="25">
        <v>0.1</v>
      </c>
      <c r="L50" s="24">
        <f>IFERROR(INDEX(Catalogos!$D$2:$D$9,MATCH(H50,Catalogos!$A$2:$A$9,0)),0)</f>
        <v>42</v>
      </c>
      <c r="M50" s="22" t="s">
        <v>69</v>
      </c>
      <c r="N50" s="22" t="s">
        <v>74</v>
      </c>
      <c r="O50" s="23">
        <f t="shared" si="8"/>
        <v>2025</v>
      </c>
      <c r="P50" s="23">
        <f t="shared" si="9"/>
        <v>7</v>
      </c>
      <c r="Q50" s="24">
        <f t="shared" si="10"/>
        <v>158</v>
      </c>
      <c r="R50" s="24">
        <f t="shared" si="11"/>
        <v>15.8</v>
      </c>
      <c r="S50" s="24">
        <f t="shared" si="12"/>
        <v>142.19999999999999</v>
      </c>
      <c r="T50" s="24">
        <f t="shared" si="13"/>
        <v>84</v>
      </c>
      <c r="U50" s="24">
        <f t="shared" si="14"/>
        <v>58.199999999999989</v>
      </c>
      <c r="V50" s="26">
        <f t="shared" si="15"/>
        <v>0.40928270042194087</v>
      </c>
    </row>
    <row r="51" spans="1:22" ht="14.25" x14ac:dyDescent="0.2">
      <c r="A51" s="21">
        <v>45858</v>
      </c>
      <c r="B51" s="22" t="s">
        <v>145</v>
      </c>
      <c r="C51" s="22" t="s">
        <v>105</v>
      </c>
      <c r="D51" s="22" t="s">
        <v>16</v>
      </c>
      <c r="E51" s="22" t="s">
        <v>42</v>
      </c>
      <c r="F51" s="22" t="s">
        <v>72</v>
      </c>
      <c r="G51" s="23" t="str">
        <f>IFERROR(INDEX(Catalogos!$B$2:$B$9,MATCH(H51,Catalogos!$A$2:$A$9,0)),"")</f>
        <v>Compostaje</v>
      </c>
      <c r="H51" s="22" t="s">
        <v>77</v>
      </c>
      <c r="I51" s="22">
        <v>8</v>
      </c>
      <c r="J51" s="24">
        <f>IFERROR(INDEX(Catalogos!$C$2:$C$9,MATCH(H51,Catalogos!$A$2:$A$9,0)),0)</f>
        <v>95</v>
      </c>
      <c r="K51" s="25">
        <v>0</v>
      </c>
      <c r="L51" s="24">
        <f>IFERROR(INDEX(Catalogos!$D$2:$D$9,MATCH(H51,Catalogos!$A$2:$A$9,0)),0)</f>
        <v>51</v>
      </c>
      <c r="M51" s="22" t="s">
        <v>65</v>
      </c>
      <c r="N51" s="22" t="s">
        <v>66</v>
      </c>
      <c r="O51" s="23">
        <f t="shared" si="8"/>
        <v>2025</v>
      </c>
      <c r="P51" s="23">
        <f t="shared" si="9"/>
        <v>7</v>
      </c>
      <c r="Q51" s="24">
        <f t="shared" si="10"/>
        <v>760</v>
      </c>
      <c r="R51" s="24">
        <f t="shared" si="11"/>
        <v>0</v>
      </c>
      <c r="S51" s="24">
        <f t="shared" si="12"/>
        <v>760</v>
      </c>
      <c r="T51" s="24">
        <f t="shared" si="13"/>
        <v>408</v>
      </c>
      <c r="U51" s="24">
        <f t="shared" si="14"/>
        <v>352</v>
      </c>
      <c r="V51" s="26">
        <f t="shared" si="15"/>
        <v>0.4631578947368421</v>
      </c>
    </row>
    <row r="52" spans="1:22" ht="14.25" x14ac:dyDescent="0.2">
      <c r="A52" s="21">
        <v>45860</v>
      </c>
      <c r="B52" s="22" t="s">
        <v>146</v>
      </c>
      <c r="C52" s="22" t="s">
        <v>128</v>
      </c>
      <c r="D52" s="22" t="s">
        <v>12</v>
      </c>
      <c r="E52" s="22" t="s">
        <v>44</v>
      </c>
      <c r="F52" s="22" t="s">
        <v>72</v>
      </c>
      <c r="G52" s="23" t="str">
        <f>IFERROR(INDEX(Catalogos!$B$2:$B$9,MATCH(H52,Catalogos!$A$2:$A$9,0)),"")</f>
        <v>Semillas</v>
      </c>
      <c r="H52" s="22" t="s">
        <v>64</v>
      </c>
      <c r="I52" s="22">
        <v>7</v>
      </c>
      <c r="J52" s="24">
        <f>IFERROR(INDEX(Catalogos!$C$2:$C$9,MATCH(H52,Catalogos!$A$2:$A$9,0)),0)</f>
        <v>14</v>
      </c>
      <c r="K52" s="25">
        <v>0</v>
      </c>
      <c r="L52" s="24">
        <f>IFERROR(INDEX(Catalogos!$D$2:$D$9,MATCH(H52,Catalogos!$A$2:$A$9,0)),0)</f>
        <v>4.5</v>
      </c>
      <c r="M52" s="22" t="s">
        <v>69</v>
      </c>
      <c r="N52" s="22" t="s">
        <v>74</v>
      </c>
      <c r="O52" s="23">
        <f t="shared" si="8"/>
        <v>2025</v>
      </c>
      <c r="P52" s="23">
        <f t="shared" si="9"/>
        <v>7</v>
      </c>
      <c r="Q52" s="24">
        <f t="shared" si="10"/>
        <v>98</v>
      </c>
      <c r="R52" s="24">
        <f t="shared" si="11"/>
        <v>0</v>
      </c>
      <c r="S52" s="24">
        <f t="shared" si="12"/>
        <v>98</v>
      </c>
      <c r="T52" s="24">
        <f t="shared" si="13"/>
        <v>31.5</v>
      </c>
      <c r="U52" s="24">
        <f t="shared" si="14"/>
        <v>66.5</v>
      </c>
      <c r="V52" s="26">
        <f t="shared" si="15"/>
        <v>0.6785714285714286</v>
      </c>
    </row>
    <row r="53" spans="1:22" ht="14.25" x14ac:dyDescent="0.2">
      <c r="A53" s="21">
        <v>45843</v>
      </c>
      <c r="B53" s="22" t="s">
        <v>147</v>
      </c>
      <c r="C53" s="22" t="s">
        <v>95</v>
      </c>
      <c r="D53" s="22" t="s">
        <v>9</v>
      </c>
      <c r="E53" s="22" t="s">
        <v>42</v>
      </c>
      <c r="F53" s="22" t="s">
        <v>96</v>
      </c>
      <c r="G53" s="23" t="str">
        <f>IFERROR(INDEX(Catalogos!$B$2:$B$9,MATCH(H53,Catalogos!$A$2:$A$9,0)),"")</f>
        <v>Macetas</v>
      </c>
      <c r="H53" s="22" t="s">
        <v>120</v>
      </c>
      <c r="I53" s="22">
        <v>1</v>
      </c>
      <c r="J53" s="24">
        <f>IFERROR(INDEX(Catalogos!$C$2:$C$9,MATCH(H53,Catalogos!$A$2:$A$9,0)),0)</f>
        <v>42</v>
      </c>
      <c r="K53" s="25">
        <v>0.1</v>
      </c>
      <c r="L53" s="24">
        <f>IFERROR(INDEX(Catalogos!$D$2:$D$9,MATCH(H53,Catalogos!$A$2:$A$9,0)),0)</f>
        <v>21</v>
      </c>
      <c r="M53" s="22" t="s">
        <v>78</v>
      </c>
      <c r="N53" s="22" t="s">
        <v>74</v>
      </c>
      <c r="O53" s="23">
        <f t="shared" si="8"/>
        <v>2025</v>
      </c>
      <c r="P53" s="23">
        <f t="shared" si="9"/>
        <v>7</v>
      </c>
      <c r="Q53" s="24">
        <f t="shared" si="10"/>
        <v>42</v>
      </c>
      <c r="R53" s="24">
        <f t="shared" si="11"/>
        <v>4.2</v>
      </c>
      <c r="S53" s="24">
        <f t="shared" si="12"/>
        <v>37.799999999999997</v>
      </c>
      <c r="T53" s="24">
        <f t="shared" si="13"/>
        <v>21</v>
      </c>
      <c r="U53" s="24">
        <f t="shared" si="14"/>
        <v>16.799999999999997</v>
      </c>
      <c r="V53" s="26">
        <f t="shared" si="15"/>
        <v>0.44444444444444442</v>
      </c>
    </row>
    <row r="54" spans="1:22" ht="14.25" x14ac:dyDescent="0.2">
      <c r="A54" s="21">
        <v>45844</v>
      </c>
      <c r="B54" s="22" t="s">
        <v>148</v>
      </c>
      <c r="C54" s="22" t="s">
        <v>105</v>
      </c>
      <c r="D54" s="22" t="s">
        <v>16</v>
      </c>
      <c r="E54" s="22" t="s">
        <v>43</v>
      </c>
      <c r="F54" s="22" t="s">
        <v>96</v>
      </c>
      <c r="G54" s="23" t="str">
        <f>IFERROR(INDEX(Catalogos!$B$2:$B$9,MATCH(H54,Catalogos!$A$2:$A$9,0)),"")</f>
        <v>Macetas</v>
      </c>
      <c r="H54" s="22" t="s">
        <v>120</v>
      </c>
      <c r="I54" s="22">
        <v>4</v>
      </c>
      <c r="J54" s="24">
        <f>IFERROR(INDEX(Catalogos!$C$2:$C$9,MATCH(H54,Catalogos!$A$2:$A$9,0)),0)</f>
        <v>42</v>
      </c>
      <c r="K54" s="25">
        <v>0</v>
      </c>
      <c r="L54" s="24">
        <f>IFERROR(INDEX(Catalogos!$D$2:$D$9,MATCH(H54,Catalogos!$A$2:$A$9,0)),0)</f>
        <v>21</v>
      </c>
      <c r="M54" s="22" t="s">
        <v>69</v>
      </c>
      <c r="N54" s="22" t="s">
        <v>74</v>
      </c>
      <c r="O54" s="23">
        <f t="shared" si="8"/>
        <v>2025</v>
      </c>
      <c r="P54" s="23">
        <f t="shared" si="9"/>
        <v>7</v>
      </c>
      <c r="Q54" s="24">
        <f t="shared" si="10"/>
        <v>168</v>
      </c>
      <c r="R54" s="24">
        <f t="shared" si="11"/>
        <v>0</v>
      </c>
      <c r="S54" s="24">
        <f t="shared" si="12"/>
        <v>168</v>
      </c>
      <c r="T54" s="24">
        <f t="shared" si="13"/>
        <v>84</v>
      </c>
      <c r="U54" s="24">
        <f t="shared" si="14"/>
        <v>84</v>
      </c>
      <c r="V54" s="26">
        <f t="shared" si="15"/>
        <v>0.5</v>
      </c>
    </row>
    <row r="55" spans="1:22" ht="14.25" x14ac:dyDescent="0.2">
      <c r="A55" s="21">
        <v>45842</v>
      </c>
      <c r="B55" s="22" t="s">
        <v>149</v>
      </c>
      <c r="C55" s="22" t="s">
        <v>87</v>
      </c>
      <c r="D55" s="22" t="s">
        <v>12</v>
      </c>
      <c r="E55" s="22" t="s">
        <v>43</v>
      </c>
      <c r="F55" s="22" t="s">
        <v>63</v>
      </c>
      <c r="G55" s="23" t="str">
        <f>IFERROR(INDEX(Catalogos!$B$2:$B$9,MATCH(H55,Catalogos!$A$2:$A$9,0)),"")</f>
        <v>Semillas</v>
      </c>
      <c r="H55" s="22" t="s">
        <v>64</v>
      </c>
      <c r="I55" s="22">
        <v>8</v>
      </c>
      <c r="J55" s="24">
        <f>IFERROR(INDEX(Catalogos!$C$2:$C$9,MATCH(H55,Catalogos!$A$2:$A$9,0)),0)</f>
        <v>14</v>
      </c>
      <c r="K55" s="25">
        <v>7.0000000000000007E-2</v>
      </c>
      <c r="L55" s="24">
        <f>IFERROR(INDEX(Catalogos!$D$2:$D$9,MATCH(H55,Catalogos!$A$2:$A$9,0)),0)</f>
        <v>4.5</v>
      </c>
      <c r="M55" s="22" t="s">
        <v>69</v>
      </c>
      <c r="N55" s="22" t="s">
        <v>66</v>
      </c>
      <c r="O55" s="23">
        <f t="shared" si="8"/>
        <v>2025</v>
      </c>
      <c r="P55" s="23">
        <f t="shared" si="9"/>
        <v>7</v>
      </c>
      <c r="Q55" s="24">
        <f t="shared" si="10"/>
        <v>112</v>
      </c>
      <c r="R55" s="24">
        <f t="shared" si="11"/>
        <v>7.8400000000000007</v>
      </c>
      <c r="S55" s="24">
        <f t="shared" si="12"/>
        <v>104.16</v>
      </c>
      <c r="T55" s="24">
        <f t="shared" si="13"/>
        <v>36</v>
      </c>
      <c r="U55" s="24">
        <f t="shared" si="14"/>
        <v>68.16</v>
      </c>
      <c r="V55" s="26">
        <f t="shared" si="15"/>
        <v>0.65437788018433174</v>
      </c>
    </row>
    <row r="56" spans="1:22" ht="14.25" x14ac:dyDescent="0.2">
      <c r="A56" s="21">
        <v>45842</v>
      </c>
      <c r="B56" s="22" t="s">
        <v>150</v>
      </c>
      <c r="C56" s="22" t="s">
        <v>71</v>
      </c>
      <c r="D56" s="22" t="s">
        <v>7</v>
      </c>
      <c r="E56" s="22" t="s">
        <v>43</v>
      </c>
      <c r="F56" s="22" t="s">
        <v>72</v>
      </c>
      <c r="G56" s="23" t="str">
        <f>IFERROR(INDEX(Catalogos!$B$2:$B$9,MATCH(H56,Catalogos!$A$2:$A$9,0)),"")</f>
        <v>Kits</v>
      </c>
      <c r="H56" s="22" t="s">
        <v>73</v>
      </c>
      <c r="I56" s="22">
        <v>3</v>
      </c>
      <c r="J56" s="24">
        <f>IFERROR(INDEX(Catalogos!$C$2:$C$9,MATCH(H56,Catalogos!$A$2:$A$9,0)),0)</f>
        <v>79</v>
      </c>
      <c r="K56" s="25">
        <v>0</v>
      </c>
      <c r="L56" s="24">
        <f>IFERROR(INDEX(Catalogos!$D$2:$D$9,MATCH(H56,Catalogos!$A$2:$A$9,0)),0)</f>
        <v>42</v>
      </c>
      <c r="M56" s="22" t="s">
        <v>78</v>
      </c>
      <c r="N56" s="22" t="s">
        <v>107</v>
      </c>
      <c r="O56" s="23">
        <f t="shared" si="8"/>
        <v>2025</v>
      </c>
      <c r="P56" s="23">
        <f t="shared" si="9"/>
        <v>7</v>
      </c>
      <c r="Q56" s="24">
        <f t="shared" si="10"/>
        <v>237</v>
      </c>
      <c r="R56" s="24">
        <f t="shared" si="11"/>
        <v>0</v>
      </c>
      <c r="S56" s="24">
        <f t="shared" si="12"/>
        <v>237</v>
      </c>
      <c r="T56" s="24">
        <f t="shared" si="13"/>
        <v>126</v>
      </c>
      <c r="U56" s="24">
        <f t="shared" si="14"/>
        <v>111</v>
      </c>
      <c r="V56" s="26">
        <f t="shared" si="15"/>
        <v>0.46835443037974683</v>
      </c>
    </row>
    <row r="57" spans="1:22" ht="14.25" x14ac:dyDescent="0.2">
      <c r="A57" s="21">
        <v>45860</v>
      </c>
      <c r="B57" s="22" t="s">
        <v>151</v>
      </c>
      <c r="C57" s="22" t="s">
        <v>128</v>
      </c>
      <c r="D57" s="22" t="s">
        <v>9</v>
      </c>
      <c r="E57" s="22" t="s">
        <v>42</v>
      </c>
      <c r="F57" s="22" t="s">
        <v>72</v>
      </c>
      <c r="G57" s="23" t="str">
        <f>IFERROR(INDEX(Catalogos!$B$2:$B$9,MATCH(H57,Catalogos!$A$2:$A$9,0)),"")</f>
        <v>Kits</v>
      </c>
      <c r="H57" s="22" t="s">
        <v>73</v>
      </c>
      <c r="I57" s="22">
        <v>8</v>
      </c>
      <c r="J57" s="24">
        <f>IFERROR(INDEX(Catalogos!$C$2:$C$9,MATCH(H57,Catalogos!$A$2:$A$9,0)),0)</f>
        <v>79</v>
      </c>
      <c r="K57" s="25">
        <v>0</v>
      </c>
      <c r="L57" s="24">
        <f>IFERROR(INDEX(Catalogos!$D$2:$D$9,MATCH(H57,Catalogos!$A$2:$A$9,0)),0)</f>
        <v>42</v>
      </c>
      <c r="M57" s="22" t="s">
        <v>93</v>
      </c>
      <c r="N57" s="22" t="s">
        <v>74</v>
      </c>
      <c r="O57" s="23">
        <f t="shared" si="8"/>
        <v>2025</v>
      </c>
      <c r="P57" s="23">
        <f t="shared" si="9"/>
        <v>7</v>
      </c>
      <c r="Q57" s="24">
        <f t="shared" si="10"/>
        <v>632</v>
      </c>
      <c r="R57" s="24">
        <f t="shared" si="11"/>
        <v>0</v>
      </c>
      <c r="S57" s="24">
        <f t="shared" si="12"/>
        <v>632</v>
      </c>
      <c r="T57" s="24">
        <f t="shared" si="13"/>
        <v>336</v>
      </c>
      <c r="U57" s="24">
        <f t="shared" si="14"/>
        <v>296</v>
      </c>
      <c r="V57" s="26">
        <f t="shared" si="15"/>
        <v>0.46835443037974683</v>
      </c>
    </row>
    <row r="58" spans="1:22" ht="14.25" x14ac:dyDescent="0.2">
      <c r="A58" s="21">
        <v>45873</v>
      </c>
      <c r="B58" s="22" t="s">
        <v>152</v>
      </c>
      <c r="C58" s="22" t="s">
        <v>87</v>
      </c>
      <c r="D58" s="22" t="s">
        <v>16</v>
      </c>
      <c r="E58" s="22" t="s">
        <v>42</v>
      </c>
      <c r="F58" s="22" t="s">
        <v>82</v>
      </c>
      <c r="G58" s="23" t="str">
        <f>IFERROR(INDEX(Catalogos!$B$2:$B$9,MATCH(H58,Catalogos!$A$2:$A$9,0)),"")</f>
        <v>Semillas</v>
      </c>
      <c r="H58" s="22" t="s">
        <v>64</v>
      </c>
      <c r="I58" s="22">
        <v>10</v>
      </c>
      <c r="J58" s="24">
        <f>IFERROR(INDEX(Catalogos!$C$2:$C$9,MATCH(H58,Catalogos!$A$2:$A$9,0)),0)</f>
        <v>14</v>
      </c>
      <c r="K58" s="25">
        <v>0.03</v>
      </c>
      <c r="L58" s="24">
        <f>IFERROR(INDEX(Catalogos!$D$2:$D$9,MATCH(H58,Catalogos!$A$2:$A$9,0)),0)</f>
        <v>4.5</v>
      </c>
      <c r="M58" s="22" t="s">
        <v>93</v>
      </c>
      <c r="N58" s="22" t="s">
        <v>74</v>
      </c>
      <c r="O58" s="23">
        <f t="shared" si="8"/>
        <v>2025</v>
      </c>
      <c r="P58" s="23">
        <f t="shared" si="9"/>
        <v>8</v>
      </c>
      <c r="Q58" s="24">
        <f t="shared" si="10"/>
        <v>140</v>
      </c>
      <c r="R58" s="24">
        <f t="shared" si="11"/>
        <v>4.2</v>
      </c>
      <c r="S58" s="24">
        <f t="shared" si="12"/>
        <v>135.80000000000001</v>
      </c>
      <c r="T58" s="24">
        <f t="shared" si="13"/>
        <v>45</v>
      </c>
      <c r="U58" s="24">
        <f t="shared" si="14"/>
        <v>90.800000000000011</v>
      </c>
      <c r="V58" s="26">
        <f t="shared" si="15"/>
        <v>0.66863033873343158</v>
      </c>
    </row>
    <row r="59" spans="1:22" ht="14.25" x14ac:dyDescent="0.2">
      <c r="A59" s="21">
        <v>45891</v>
      </c>
      <c r="B59" s="22" t="s">
        <v>153</v>
      </c>
      <c r="C59" s="22" t="s">
        <v>62</v>
      </c>
      <c r="D59" s="22" t="s">
        <v>7</v>
      </c>
      <c r="E59" s="22" t="s">
        <v>43</v>
      </c>
      <c r="F59" s="22" t="s">
        <v>63</v>
      </c>
      <c r="G59" s="23" t="str">
        <f>IFERROR(INDEX(Catalogos!$B$2:$B$9,MATCH(H59,Catalogos!$A$2:$A$9,0)),"")</f>
        <v>Iluminación</v>
      </c>
      <c r="H59" s="22" t="s">
        <v>117</v>
      </c>
      <c r="I59" s="22">
        <v>3</v>
      </c>
      <c r="J59" s="24">
        <f>IFERROR(INDEX(Catalogos!$C$2:$C$9,MATCH(H59,Catalogos!$A$2:$A$9,0)),0)</f>
        <v>58</v>
      </c>
      <c r="K59" s="25">
        <v>0.05</v>
      </c>
      <c r="L59" s="24">
        <f>IFERROR(INDEX(Catalogos!$D$2:$D$9,MATCH(H59,Catalogos!$A$2:$A$9,0)),0)</f>
        <v>31</v>
      </c>
      <c r="M59" s="22" t="s">
        <v>78</v>
      </c>
      <c r="N59" s="22" t="s">
        <v>66</v>
      </c>
      <c r="O59" s="23">
        <f t="shared" si="8"/>
        <v>2025</v>
      </c>
      <c r="P59" s="23">
        <f t="shared" si="9"/>
        <v>8</v>
      </c>
      <c r="Q59" s="24">
        <f t="shared" si="10"/>
        <v>174</v>
      </c>
      <c r="R59" s="24">
        <f t="shared" si="11"/>
        <v>8.7000000000000011</v>
      </c>
      <c r="S59" s="24">
        <f t="shared" si="12"/>
        <v>165.3</v>
      </c>
      <c r="T59" s="24">
        <f t="shared" si="13"/>
        <v>93</v>
      </c>
      <c r="U59" s="24">
        <f t="shared" si="14"/>
        <v>72.300000000000011</v>
      </c>
      <c r="V59" s="26">
        <f t="shared" si="15"/>
        <v>0.43738656987295832</v>
      </c>
    </row>
    <row r="60" spans="1:22" ht="14.25" x14ac:dyDescent="0.2">
      <c r="A60" s="21">
        <v>45878</v>
      </c>
      <c r="B60" s="22" t="s">
        <v>154</v>
      </c>
      <c r="C60" s="22" t="s">
        <v>132</v>
      </c>
      <c r="D60" s="22" t="s">
        <v>12</v>
      </c>
      <c r="E60" s="22" t="s">
        <v>42</v>
      </c>
      <c r="F60" s="22" t="s">
        <v>82</v>
      </c>
      <c r="G60" s="23" t="str">
        <f>IFERROR(INDEX(Catalogos!$B$2:$B$9,MATCH(H60,Catalogos!$A$2:$A$9,0)),"")</f>
        <v>Mobiliario</v>
      </c>
      <c r="H60" s="22" t="s">
        <v>85</v>
      </c>
      <c r="I60" s="22">
        <v>11</v>
      </c>
      <c r="J60" s="24">
        <f>IFERROR(INDEX(Catalogos!$C$2:$C$9,MATCH(H60,Catalogos!$A$2:$A$9,0)),0)</f>
        <v>128</v>
      </c>
      <c r="K60" s="25">
        <v>7.0000000000000007E-2</v>
      </c>
      <c r="L60" s="24">
        <f>IFERROR(INDEX(Catalogos!$D$2:$D$9,MATCH(H60,Catalogos!$A$2:$A$9,0)),0)</f>
        <v>76</v>
      </c>
      <c r="M60" s="22" t="s">
        <v>78</v>
      </c>
      <c r="N60" s="22" t="s">
        <v>107</v>
      </c>
      <c r="O60" s="23">
        <f t="shared" si="8"/>
        <v>2025</v>
      </c>
      <c r="P60" s="23">
        <f t="shared" si="9"/>
        <v>8</v>
      </c>
      <c r="Q60" s="24">
        <f t="shared" si="10"/>
        <v>1408</v>
      </c>
      <c r="R60" s="24">
        <f t="shared" si="11"/>
        <v>98.56</v>
      </c>
      <c r="S60" s="24">
        <f t="shared" si="12"/>
        <v>1309.44</v>
      </c>
      <c r="T60" s="24">
        <f t="shared" si="13"/>
        <v>836</v>
      </c>
      <c r="U60" s="24">
        <f t="shared" si="14"/>
        <v>473.44000000000005</v>
      </c>
      <c r="V60" s="26">
        <f t="shared" si="15"/>
        <v>0.36155913978494625</v>
      </c>
    </row>
    <row r="61" spans="1:22" ht="14.25" x14ac:dyDescent="0.2">
      <c r="A61" s="21">
        <v>45888</v>
      </c>
      <c r="B61" s="22" t="s">
        <v>155</v>
      </c>
      <c r="C61" s="22" t="s">
        <v>68</v>
      </c>
      <c r="D61" s="22" t="s">
        <v>9</v>
      </c>
      <c r="E61" s="22" t="s">
        <v>42</v>
      </c>
      <c r="F61" s="22" t="s">
        <v>96</v>
      </c>
      <c r="G61" s="23" t="str">
        <f>IFERROR(INDEX(Catalogos!$B$2:$B$9,MATCH(H61,Catalogos!$A$2:$A$9,0)),"")</f>
        <v>Semillas</v>
      </c>
      <c r="H61" s="22" t="s">
        <v>64</v>
      </c>
      <c r="I61" s="22">
        <v>4</v>
      </c>
      <c r="J61" s="24">
        <f>IFERROR(INDEX(Catalogos!$C$2:$C$9,MATCH(H61,Catalogos!$A$2:$A$9,0)),0)</f>
        <v>14</v>
      </c>
      <c r="K61" s="25">
        <v>0</v>
      </c>
      <c r="L61" s="24">
        <f>IFERROR(INDEX(Catalogos!$D$2:$D$9,MATCH(H61,Catalogos!$A$2:$A$9,0)),0)</f>
        <v>4.5</v>
      </c>
      <c r="M61" s="22" t="s">
        <v>93</v>
      </c>
      <c r="N61" s="22" t="s">
        <v>74</v>
      </c>
      <c r="O61" s="23">
        <f t="shared" si="8"/>
        <v>2025</v>
      </c>
      <c r="P61" s="23">
        <f t="shared" si="9"/>
        <v>8</v>
      </c>
      <c r="Q61" s="24">
        <f t="shared" si="10"/>
        <v>56</v>
      </c>
      <c r="R61" s="24">
        <f t="shared" si="11"/>
        <v>0</v>
      </c>
      <c r="S61" s="24">
        <f t="shared" si="12"/>
        <v>56</v>
      </c>
      <c r="T61" s="24">
        <f t="shared" si="13"/>
        <v>18</v>
      </c>
      <c r="U61" s="24">
        <f t="shared" si="14"/>
        <v>38</v>
      </c>
      <c r="V61" s="26">
        <f t="shared" si="15"/>
        <v>0.6785714285714286</v>
      </c>
    </row>
    <row r="62" spans="1:22" ht="14.25" x14ac:dyDescent="0.2">
      <c r="A62" s="21">
        <v>45877</v>
      </c>
      <c r="B62" s="22" t="s">
        <v>156</v>
      </c>
      <c r="C62" s="22" t="s">
        <v>132</v>
      </c>
      <c r="D62" s="22" t="s">
        <v>7</v>
      </c>
      <c r="E62" s="22" t="s">
        <v>43</v>
      </c>
      <c r="F62" s="22" t="s">
        <v>82</v>
      </c>
      <c r="G62" s="23" t="str">
        <f>IFERROR(INDEX(Catalogos!$B$2:$B$9,MATCH(H62,Catalogos!$A$2:$A$9,0)),"")</f>
        <v>Compostaje</v>
      </c>
      <c r="H62" s="22" t="s">
        <v>77</v>
      </c>
      <c r="I62" s="22">
        <v>5</v>
      </c>
      <c r="J62" s="24">
        <f>IFERROR(INDEX(Catalogos!$C$2:$C$9,MATCH(H62,Catalogos!$A$2:$A$9,0)),0)</f>
        <v>95</v>
      </c>
      <c r="K62" s="25">
        <v>0.05</v>
      </c>
      <c r="L62" s="24">
        <f>IFERROR(INDEX(Catalogos!$D$2:$D$9,MATCH(H62,Catalogos!$A$2:$A$9,0)),0)</f>
        <v>51</v>
      </c>
      <c r="M62" s="22" t="s">
        <v>65</v>
      </c>
      <c r="N62" s="22" t="s">
        <v>74</v>
      </c>
      <c r="O62" s="23">
        <f t="shared" si="8"/>
        <v>2025</v>
      </c>
      <c r="P62" s="23">
        <f t="shared" si="9"/>
        <v>8</v>
      </c>
      <c r="Q62" s="24">
        <f t="shared" si="10"/>
        <v>475</v>
      </c>
      <c r="R62" s="24">
        <f t="shared" si="11"/>
        <v>23.75</v>
      </c>
      <c r="S62" s="24">
        <f t="shared" si="12"/>
        <v>451.25</v>
      </c>
      <c r="T62" s="24">
        <f t="shared" si="13"/>
        <v>255</v>
      </c>
      <c r="U62" s="24">
        <f t="shared" si="14"/>
        <v>196.25</v>
      </c>
      <c r="V62" s="26">
        <f t="shared" si="15"/>
        <v>0.43490304709141275</v>
      </c>
    </row>
    <row r="63" spans="1:22" ht="14.25" x14ac:dyDescent="0.2">
      <c r="A63" s="21">
        <v>45872</v>
      </c>
      <c r="B63" s="22" t="s">
        <v>157</v>
      </c>
      <c r="C63" s="22" t="s">
        <v>68</v>
      </c>
      <c r="D63" s="22" t="s">
        <v>7</v>
      </c>
      <c r="E63" s="22" t="s">
        <v>42</v>
      </c>
      <c r="F63" s="22" t="s">
        <v>63</v>
      </c>
      <c r="G63" s="23" t="str">
        <f>IFERROR(INDEX(Catalogos!$B$2:$B$9,MATCH(H63,Catalogos!$A$2:$A$9,0)),"")</f>
        <v>Iluminación</v>
      </c>
      <c r="H63" s="22" t="s">
        <v>117</v>
      </c>
      <c r="I63" s="22">
        <v>3</v>
      </c>
      <c r="J63" s="24">
        <f>IFERROR(INDEX(Catalogos!$C$2:$C$9,MATCH(H63,Catalogos!$A$2:$A$9,0)),0)</f>
        <v>58</v>
      </c>
      <c r="K63" s="25">
        <v>0</v>
      </c>
      <c r="L63" s="24">
        <f>IFERROR(INDEX(Catalogos!$D$2:$D$9,MATCH(H63,Catalogos!$A$2:$A$9,0)),0)</f>
        <v>31</v>
      </c>
      <c r="M63" s="22" t="s">
        <v>93</v>
      </c>
      <c r="N63" s="22" t="s">
        <v>66</v>
      </c>
      <c r="O63" s="23">
        <f t="shared" si="8"/>
        <v>2025</v>
      </c>
      <c r="P63" s="23">
        <f t="shared" si="9"/>
        <v>8</v>
      </c>
      <c r="Q63" s="24">
        <f t="shared" si="10"/>
        <v>174</v>
      </c>
      <c r="R63" s="24">
        <f t="shared" si="11"/>
        <v>0</v>
      </c>
      <c r="S63" s="24">
        <f t="shared" si="12"/>
        <v>174</v>
      </c>
      <c r="T63" s="24">
        <f t="shared" si="13"/>
        <v>93</v>
      </c>
      <c r="U63" s="24">
        <f t="shared" si="14"/>
        <v>81</v>
      </c>
      <c r="V63" s="26">
        <f t="shared" si="15"/>
        <v>0.46551724137931033</v>
      </c>
    </row>
    <row r="64" spans="1:22" ht="14.25" x14ac:dyDescent="0.2">
      <c r="A64" s="21">
        <v>45889</v>
      </c>
      <c r="B64" s="22" t="s">
        <v>158</v>
      </c>
      <c r="C64" s="22" t="s">
        <v>89</v>
      </c>
      <c r="D64" s="22" t="s">
        <v>7</v>
      </c>
      <c r="E64" s="22" t="s">
        <v>44</v>
      </c>
      <c r="F64" s="22" t="s">
        <v>63</v>
      </c>
      <c r="G64" s="23" t="str">
        <f>IFERROR(INDEX(Catalogos!$B$2:$B$9,MATCH(H64,Catalogos!$A$2:$A$9,0)),"")</f>
        <v>Kits</v>
      </c>
      <c r="H64" s="22" t="s">
        <v>73</v>
      </c>
      <c r="I64" s="22">
        <v>8</v>
      </c>
      <c r="J64" s="24">
        <f>IFERROR(INDEX(Catalogos!$C$2:$C$9,MATCH(H64,Catalogos!$A$2:$A$9,0)),0)</f>
        <v>79</v>
      </c>
      <c r="K64" s="25">
        <v>0.03</v>
      </c>
      <c r="L64" s="24">
        <f>IFERROR(INDEX(Catalogos!$D$2:$D$9,MATCH(H64,Catalogos!$A$2:$A$9,0)),0)</f>
        <v>42</v>
      </c>
      <c r="M64" s="22" t="s">
        <v>78</v>
      </c>
      <c r="N64" s="22" t="s">
        <v>107</v>
      </c>
      <c r="O64" s="23">
        <f t="shared" si="8"/>
        <v>2025</v>
      </c>
      <c r="P64" s="23">
        <f t="shared" si="9"/>
        <v>8</v>
      </c>
      <c r="Q64" s="24">
        <f t="shared" si="10"/>
        <v>632</v>
      </c>
      <c r="R64" s="24">
        <f t="shared" si="11"/>
        <v>18.96</v>
      </c>
      <c r="S64" s="24">
        <f t="shared" si="12"/>
        <v>613.04</v>
      </c>
      <c r="T64" s="24">
        <f t="shared" si="13"/>
        <v>336</v>
      </c>
      <c r="U64" s="24">
        <f t="shared" si="14"/>
        <v>277.03999999999996</v>
      </c>
      <c r="V64" s="26">
        <f t="shared" si="15"/>
        <v>0.45191178389664621</v>
      </c>
    </row>
    <row r="65" spans="1:22" ht="14.25" x14ac:dyDescent="0.2">
      <c r="A65" s="21">
        <v>45890</v>
      </c>
      <c r="B65" s="22" t="s">
        <v>159</v>
      </c>
      <c r="C65" s="22" t="s">
        <v>68</v>
      </c>
      <c r="D65" s="22" t="s">
        <v>7</v>
      </c>
      <c r="E65" s="22" t="s">
        <v>45</v>
      </c>
      <c r="F65" s="22" t="s">
        <v>63</v>
      </c>
      <c r="G65" s="23" t="str">
        <f>IFERROR(INDEX(Catalogos!$B$2:$B$9,MATCH(H65,Catalogos!$A$2:$A$9,0)),"")</f>
        <v>Semillas</v>
      </c>
      <c r="H65" s="22" t="s">
        <v>64</v>
      </c>
      <c r="I65" s="22">
        <v>9</v>
      </c>
      <c r="J65" s="24">
        <f>IFERROR(INDEX(Catalogos!$C$2:$C$9,MATCH(H65,Catalogos!$A$2:$A$9,0)),0)</f>
        <v>14</v>
      </c>
      <c r="K65" s="25">
        <v>0</v>
      </c>
      <c r="L65" s="24">
        <f>IFERROR(INDEX(Catalogos!$D$2:$D$9,MATCH(H65,Catalogos!$A$2:$A$9,0)),0)</f>
        <v>4.5</v>
      </c>
      <c r="M65" s="22" t="s">
        <v>69</v>
      </c>
      <c r="N65" s="22" t="s">
        <v>66</v>
      </c>
      <c r="O65" s="23">
        <f t="shared" si="8"/>
        <v>2025</v>
      </c>
      <c r="P65" s="23">
        <f t="shared" si="9"/>
        <v>8</v>
      </c>
      <c r="Q65" s="24">
        <f t="shared" si="10"/>
        <v>126</v>
      </c>
      <c r="R65" s="24">
        <f t="shared" si="11"/>
        <v>0</v>
      </c>
      <c r="S65" s="24">
        <f t="shared" si="12"/>
        <v>126</v>
      </c>
      <c r="T65" s="24">
        <f t="shared" si="13"/>
        <v>40.5</v>
      </c>
      <c r="U65" s="24">
        <f t="shared" si="14"/>
        <v>85.5</v>
      </c>
      <c r="V65" s="26">
        <f t="shared" si="15"/>
        <v>0.6785714285714286</v>
      </c>
    </row>
    <row r="66" spans="1:22" ht="14.25" x14ac:dyDescent="0.2">
      <c r="A66" s="21">
        <v>45923</v>
      </c>
      <c r="B66" s="22" t="s">
        <v>160</v>
      </c>
      <c r="C66" s="22" t="s">
        <v>68</v>
      </c>
      <c r="D66" s="22" t="s">
        <v>7</v>
      </c>
      <c r="E66" s="22" t="s">
        <v>45</v>
      </c>
      <c r="F66" s="22" t="s">
        <v>63</v>
      </c>
      <c r="G66" s="23" t="str">
        <f>IFERROR(INDEX(Catalogos!$B$2:$B$9,MATCH(H66,Catalogos!$A$2:$A$9,0)),"")</f>
        <v>Sensores</v>
      </c>
      <c r="H66" s="22" t="s">
        <v>101</v>
      </c>
      <c r="I66" s="22">
        <v>2</v>
      </c>
      <c r="J66" s="24">
        <f>IFERROR(INDEX(Catalogos!$C$2:$C$9,MATCH(H66,Catalogos!$A$2:$A$9,0)),0)</f>
        <v>36</v>
      </c>
      <c r="K66" s="25">
        <v>0.1</v>
      </c>
      <c r="L66" s="24">
        <f>IFERROR(INDEX(Catalogos!$D$2:$D$9,MATCH(H66,Catalogos!$A$2:$A$9,0)),0)</f>
        <v>17</v>
      </c>
      <c r="M66" s="22" t="s">
        <v>69</v>
      </c>
      <c r="N66" s="22" t="s">
        <v>74</v>
      </c>
      <c r="O66" s="23">
        <f t="shared" ref="O66:O97" si="16">YEAR(A66)</f>
        <v>2025</v>
      </c>
      <c r="P66" s="23">
        <f t="shared" ref="P66:P97" si="17">MONTH(A66)</f>
        <v>9</v>
      </c>
      <c r="Q66" s="24">
        <f t="shared" ref="Q66:Q97" si="18">I66*J66</f>
        <v>72</v>
      </c>
      <c r="R66" s="24">
        <f t="shared" ref="R66:R97" si="19">Q66*K66</f>
        <v>7.2</v>
      </c>
      <c r="S66" s="24">
        <f t="shared" ref="S66:S97" si="20">Q66-R66</f>
        <v>64.8</v>
      </c>
      <c r="T66" s="24">
        <f t="shared" ref="T66:T97" si="21">I66*L66</f>
        <v>34</v>
      </c>
      <c r="U66" s="24">
        <f t="shared" ref="U66:U97" si="22">S66-T66</f>
        <v>30.799999999999997</v>
      </c>
      <c r="V66" s="26">
        <f t="shared" ref="V66:V97" si="23">IFERROR(U66/S66,0)</f>
        <v>0.47530864197530864</v>
      </c>
    </row>
    <row r="67" spans="1:22" ht="14.25" x14ac:dyDescent="0.2">
      <c r="A67" s="21">
        <v>45919</v>
      </c>
      <c r="B67" s="22" t="s">
        <v>161</v>
      </c>
      <c r="C67" s="22" t="s">
        <v>87</v>
      </c>
      <c r="D67" s="22" t="s">
        <v>16</v>
      </c>
      <c r="E67" s="22" t="s">
        <v>45</v>
      </c>
      <c r="F67" s="22" t="s">
        <v>63</v>
      </c>
      <c r="G67" s="23" t="str">
        <f>IFERROR(INDEX(Catalogos!$B$2:$B$9,MATCH(H67,Catalogos!$A$2:$A$9,0)),"")</f>
        <v>Macetas</v>
      </c>
      <c r="H67" s="22" t="s">
        <v>80</v>
      </c>
      <c r="I67" s="22">
        <v>6</v>
      </c>
      <c r="J67" s="24">
        <f>IFERROR(INDEX(Catalogos!$C$2:$C$9,MATCH(H67,Catalogos!$A$2:$A$9,0)),0)</f>
        <v>24</v>
      </c>
      <c r="K67" s="25">
        <v>7.0000000000000007E-2</v>
      </c>
      <c r="L67" s="24">
        <f>IFERROR(INDEX(Catalogos!$D$2:$D$9,MATCH(H67,Catalogos!$A$2:$A$9,0)),0)</f>
        <v>11.5</v>
      </c>
      <c r="M67" s="22" t="s">
        <v>69</v>
      </c>
      <c r="N67" s="22" t="s">
        <v>74</v>
      </c>
      <c r="O67" s="23">
        <f t="shared" si="16"/>
        <v>2025</v>
      </c>
      <c r="P67" s="23">
        <f t="shared" si="17"/>
        <v>9</v>
      </c>
      <c r="Q67" s="24">
        <f t="shared" si="18"/>
        <v>144</v>
      </c>
      <c r="R67" s="24">
        <f t="shared" si="19"/>
        <v>10.080000000000002</v>
      </c>
      <c r="S67" s="24">
        <f t="shared" si="20"/>
        <v>133.91999999999999</v>
      </c>
      <c r="T67" s="24">
        <f t="shared" si="21"/>
        <v>69</v>
      </c>
      <c r="U67" s="24">
        <f t="shared" si="22"/>
        <v>64.919999999999987</v>
      </c>
      <c r="V67" s="26">
        <f t="shared" si="23"/>
        <v>0.48476702508960567</v>
      </c>
    </row>
    <row r="68" spans="1:22" ht="14.25" x14ac:dyDescent="0.2">
      <c r="A68" s="21">
        <v>45911</v>
      </c>
      <c r="B68" s="22" t="s">
        <v>162</v>
      </c>
      <c r="C68" s="22" t="s">
        <v>89</v>
      </c>
      <c r="D68" s="22" t="s">
        <v>7</v>
      </c>
      <c r="E68" s="22" t="s">
        <v>42</v>
      </c>
      <c r="F68" s="22" t="s">
        <v>63</v>
      </c>
      <c r="G68" s="23" t="str">
        <f>IFERROR(INDEX(Catalogos!$B$2:$B$9,MATCH(H68,Catalogos!$A$2:$A$9,0)),"")</f>
        <v>Iluminación</v>
      </c>
      <c r="H68" s="22" t="s">
        <v>117</v>
      </c>
      <c r="I68" s="22">
        <v>3</v>
      </c>
      <c r="J68" s="24">
        <f>IFERROR(INDEX(Catalogos!$C$2:$C$9,MATCH(H68,Catalogos!$A$2:$A$9,0)),0)</f>
        <v>58</v>
      </c>
      <c r="K68" s="25">
        <v>0.03</v>
      </c>
      <c r="L68" s="24">
        <f>IFERROR(INDEX(Catalogos!$D$2:$D$9,MATCH(H68,Catalogos!$A$2:$A$9,0)),0)</f>
        <v>31</v>
      </c>
      <c r="M68" s="22" t="s">
        <v>69</v>
      </c>
      <c r="N68" s="22" t="s">
        <v>66</v>
      </c>
      <c r="O68" s="23">
        <f t="shared" si="16"/>
        <v>2025</v>
      </c>
      <c r="P68" s="23">
        <f t="shared" si="17"/>
        <v>9</v>
      </c>
      <c r="Q68" s="24">
        <f t="shared" si="18"/>
        <v>174</v>
      </c>
      <c r="R68" s="24">
        <f t="shared" si="19"/>
        <v>5.22</v>
      </c>
      <c r="S68" s="24">
        <f t="shared" si="20"/>
        <v>168.78</v>
      </c>
      <c r="T68" s="24">
        <f t="shared" si="21"/>
        <v>93</v>
      </c>
      <c r="U68" s="24">
        <f t="shared" si="22"/>
        <v>75.78</v>
      </c>
      <c r="V68" s="26">
        <f t="shared" si="23"/>
        <v>0.44898684678279416</v>
      </c>
    </row>
    <row r="69" spans="1:22" ht="14.25" x14ac:dyDescent="0.2">
      <c r="A69" s="21">
        <v>45911</v>
      </c>
      <c r="B69" s="22" t="s">
        <v>163</v>
      </c>
      <c r="C69" s="22" t="s">
        <v>105</v>
      </c>
      <c r="D69" s="22" t="s">
        <v>9</v>
      </c>
      <c r="E69" s="22" t="s">
        <v>43</v>
      </c>
      <c r="F69" s="22" t="s">
        <v>63</v>
      </c>
      <c r="G69" s="23" t="str">
        <f>IFERROR(INDEX(Catalogos!$B$2:$B$9,MATCH(H69,Catalogos!$A$2:$A$9,0)),"")</f>
        <v>Kits</v>
      </c>
      <c r="H69" s="22" t="s">
        <v>73</v>
      </c>
      <c r="I69" s="22">
        <v>3</v>
      </c>
      <c r="J69" s="24">
        <f>IFERROR(INDEX(Catalogos!$C$2:$C$9,MATCH(H69,Catalogos!$A$2:$A$9,0)),0)</f>
        <v>79</v>
      </c>
      <c r="K69" s="25">
        <v>7.0000000000000007E-2</v>
      </c>
      <c r="L69" s="24">
        <f>IFERROR(INDEX(Catalogos!$D$2:$D$9,MATCH(H69,Catalogos!$A$2:$A$9,0)),0)</f>
        <v>42</v>
      </c>
      <c r="M69" s="22" t="s">
        <v>69</v>
      </c>
      <c r="N69" s="22" t="s">
        <v>66</v>
      </c>
      <c r="O69" s="23">
        <f t="shared" si="16"/>
        <v>2025</v>
      </c>
      <c r="P69" s="23">
        <f t="shared" si="17"/>
        <v>9</v>
      </c>
      <c r="Q69" s="24">
        <f t="shared" si="18"/>
        <v>237</v>
      </c>
      <c r="R69" s="24">
        <f t="shared" si="19"/>
        <v>16.59</v>
      </c>
      <c r="S69" s="24">
        <f t="shared" si="20"/>
        <v>220.41</v>
      </c>
      <c r="T69" s="24">
        <f t="shared" si="21"/>
        <v>126</v>
      </c>
      <c r="U69" s="24">
        <f t="shared" si="22"/>
        <v>94.41</v>
      </c>
      <c r="V69" s="26">
        <f t="shared" si="23"/>
        <v>0.42833809718252347</v>
      </c>
    </row>
    <row r="70" spans="1:22" ht="14.25" x14ac:dyDescent="0.2">
      <c r="A70" s="21">
        <v>45907</v>
      </c>
      <c r="B70" s="22" t="s">
        <v>164</v>
      </c>
      <c r="C70" s="22" t="s">
        <v>103</v>
      </c>
      <c r="D70" s="22" t="s">
        <v>12</v>
      </c>
      <c r="E70" s="22" t="s">
        <v>45</v>
      </c>
      <c r="F70" s="22" t="s">
        <v>82</v>
      </c>
      <c r="G70" s="23" t="str">
        <f>IFERROR(INDEX(Catalogos!$B$2:$B$9,MATCH(H70,Catalogos!$A$2:$A$9,0)),"")</f>
        <v>Iluminación</v>
      </c>
      <c r="H70" s="22" t="s">
        <v>117</v>
      </c>
      <c r="I70" s="22">
        <v>5</v>
      </c>
      <c r="J70" s="24">
        <f>IFERROR(INDEX(Catalogos!$C$2:$C$9,MATCH(H70,Catalogos!$A$2:$A$9,0)),0)</f>
        <v>58</v>
      </c>
      <c r="K70" s="25">
        <v>0</v>
      </c>
      <c r="L70" s="24">
        <f>IFERROR(INDEX(Catalogos!$D$2:$D$9,MATCH(H70,Catalogos!$A$2:$A$9,0)),0)</f>
        <v>31</v>
      </c>
      <c r="M70" s="22" t="s">
        <v>69</v>
      </c>
      <c r="N70" s="22" t="s">
        <v>66</v>
      </c>
      <c r="O70" s="23">
        <f t="shared" si="16"/>
        <v>2025</v>
      </c>
      <c r="P70" s="23">
        <f t="shared" si="17"/>
        <v>9</v>
      </c>
      <c r="Q70" s="24">
        <f t="shared" si="18"/>
        <v>290</v>
      </c>
      <c r="R70" s="24">
        <f t="shared" si="19"/>
        <v>0</v>
      </c>
      <c r="S70" s="24">
        <f t="shared" si="20"/>
        <v>290</v>
      </c>
      <c r="T70" s="24">
        <f t="shared" si="21"/>
        <v>155</v>
      </c>
      <c r="U70" s="24">
        <f t="shared" si="22"/>
        <v>135</v>
      </c>
      <c r="V70" s="26">
        <f t="shared" si="23"/>
        <v>0.46551724137931033</v>
      </c>
    </row>
    <row r="71" spans="1:22" ht="14.25" x14ac:dyDescent="0.2">
      <c r="A71" s="21">
        <v>45912</v>
      </c>
      <c r="B71" s="22" t="s">
        <v>165</v>
      </c>
      <c r="C71" s="22" t="s">
        <v>128</v>
      </c>
      <c r="D71" s="22" t="s">
        <v>7</v>
      </c>
      <c r="E71" s="22" t="s">
        <v>45</v>
      </c>
      <c r="F71" s="22" t="s">
        <v>96</v>
      </c>
      <c r="G71" s="23" t="str">
        <f>IFERROR(INDEX(Catalogos!$B$2:$B$9,MATCH(H71,Catalogos!$A$2:$A$9,0)),"")</f>
        <v>Mobiliario</v>
      </c>
      <c r="H71" s="22" t="s">
        <v>85</v>
      </c>
      <c r="I71" s="22">
        <v>7</v>
      </c>
      <c r="J71" s="24">
        <f>IFERROR(INDEX(Catalogos!$C$2:$C$9,MATCH(H71,Catalogos!$A$2:$A$9,0)),0)</f>
        <v>128</v>
      </c>
      <c r="K71" s="25">
        <v>0.03</v>
      </c>
      <c r="L71" s="24">
        <f>IFERROR(INDEX(Catalogos!$D$2:$D$9,MATCH(H71,Catalogos!$A$2:$A$9,0)),0)</f>
        <v>76</v>
      </c>
      <c r="M71" s="22" t="s">
        <v>93</v>
      </c>
      <c r="N71" s="22" t="s">
        <v>66</v>
      </c>
      <c r="O71" s="23">
        <f t="shared" si="16"/>
        <v>2025</v>
      </c>
      <c r="P71" s="23">
        <f t="shared" si="17"/>
        <v>9</v>
      </c>
      <c r="Q71" s="24">
        <f t="shared" si="18"/>
        <v>896</v>
      </c>
      <c r="R71" s="24">
        <f t="shared" si="19"/>
        <v>26.88</v>
      </c>
      <c r="S71" s="24">
        <f t="shared" si="20"/>
        <v>869.12</v>
      </c>
      <c r="T71" s="24">
        <f t="shared" si="21"/>
        <v>532</v>
      </c>
      <c r="U71" s="24">
        <f t="shared" si="22"/>
        <v>337.12</v>
      </c>
      <c r="V71" s="26">
        <f t="shared" si="23"/>
        <v>0.38788659793814434</v>
      </c>
    </row>
    <row r="72" spans="1:22" ht="14.25" x14ac:dyDescent="0.2">
      <c r="A72" s="21">
        <v>45904</v>
      </c>
      <c r="B72" s="22" t="s">
        <v>166</v>
      </c>
      <c r="C72" s="22" t="s">
        <v>62</v>
      </c>
      <c r="D72" s="22" t="s">
        <v>9</v>
      </c>
      <c r="E72" s="22" t="s">
        <v>43</v>
      </c>
      <c r="F72" s="22" t="s">
        <v>63</v>
      </c>
      <c r="G72" s="23" t="str">
        <f>IFERROR(INDEX(Catalogos!$B$2:$B$9,MATCH(H72,Catalogos!$A$2:$A$9,0)),"")</f>
        <v>Macetas</v>
      </c>
      <c r="H72" s="22" t="s">
        <v>80</v>
      </c>
      <c r="I72" s="22">
        <v>11</v>
      </c>
      <c r="J72" s="24">
        <f>IFERROR(INDEX(Catalogos!$C$2:$C$9,MATCH(H72,Catalogos!$A$2:$A$9,0)),0)</f>
        <v>24</v>
      </c>
      <c r="K72" s="25">
        <v>7.0000000000000007E-2</v>
      </c>
      <c r="L72" s="24">
        <f>IFERROR(INDEX(Catalogos!$D$2:$D$9,MATCH(H72,Catalogos!$A$2:$A$9,0)),0)</f>
        <v>11.5</v>
      </c>
      <c r="M72" s="22" t="s">
        <v>69</v>
      </c>
      <c r="N72" s="22" t="s">
        <v>66</v>
      </c>
      <c r="O72" s="23">
        <f t="shared" si="16"/>
        <v>2025</v>
      </c>
      <c r="P72" s="23">
        <f t="shared" si="17"/>
        <v>9</v>
      </c>
      <c r="Q72" s="24">
        <f t="shared" si="18"/>
        <v>264</v>
      </c>
      <c r="R72" s="24">
        <f t="shared" si="19"/>
        <v>18.48</v>
      </c>
      <c r="S72" s="24">
        <f t="shared" si="20"/>
        <v>245.52</v>
      </c>
      <c r="T72" s="24">
        <f t="shared" si="21"/>
        <v>126.5</v>
      </c>
      <c r="U72" s="24">
        <f t="shared" si="22"/>
        <v>119.02000000000001</v>
      </c>
      <c r="V72" s="26">
        <f t="shared" si="23"/>
        <v>0.48476702508960573</v>
      </c>
    </row>
    <row r="73" spans="1:22" ht="14.25" x14ac:dyDescent="0.2">
      <c r="A73" s="21">
        <v>45915</v>
      </c>
      <c r="B73" s="22" t="s">
        <v>167</v>
      </c>
      <c r="C73" s="22" t="s">
        <v>128</v>
      </c>
      <c r="D73" s="22" t="s">
        <v>16</v>
      </c>
      <c r="E73" s="22" t="s">
        <v>43</v>
      </c>
      <c r="F73" s="22" t="s">
        <v>63</v>
      </c>
      <c r="G73" s="23" t="str">
        <f>IFERROR(INDEX(Catalogos!$B$2:$B$9,MATCH(H73,Catalogos!$A$2:$A$9,0)),"")</f>
        <v>Kits</v>
      </c>
      <c r="H73" s="22" t="s">
        <v>73</v>
      </c>
      <c r="I73" s="22">
        <v>6</v>
      </c>
      <c r="J73" s="24">
        <f>IFERROR(INDEX(Catalogos!$C$2:$C$9,MATCH(H73,Catalogos!$A$2:$A$9,0)),0)</f>
        <v>79</v>
      </c>
      <c r="K73" s="25">
        <v>0.1</v>
      </c>
      <c r="L73" s="24">
        <f>IFERROR(INDEX(Catalogos!$D$2:$D$9,MATCH(H73,Catalogos!$A$2:$A$9,0)),0)</f>
        <v>42</v>
      </c>
      <c r="M73" s="22" t="s">
        <v>65</v>
      </c>
      <c r="N73" s="22" t="s">
        <v>74</v>
      </c>
      <c r="O73" s="23">
        <f t="shared" si="16"/>
        <v>2025</v>
      </c>
      <c r="P73" s="23">
        <f t="shared" si="17"/>
        <v>9</v>
      </c>
      <c r="Q73" s="24">
        <f t="shared" si="18"/>
        <v>474</v>
      </c>
      <c r="R73" s="24">
        <f t="shared" si="19"/>
        <v>47.400000000000006</v>
      </c>
      <c r="S73" s="24">
        <f t="shared" si="20"/>
        <v>426.6</v>
      </c>
      <c r="T73" s="24">
        <f t="shared" si="21"/>
        <v>252</v>
      </c>
      <c r="U73" s="24">
        <f t="shared" si="22"/>
        <v>174.60000000000002</v>
      </c>
      <c r="V73" s="26">
        <f t="shared" si="23"/>
        <v>0.40928270042194098</v>
      </c>
    </row>
    <row r="74" spans="1:22" ht="14.25" x14ac:dyDescent="0.2">
      <c r="A74" s="21">
        <v>45932</v>
      </c>
      <c r="B74" s="22" t="s">
        <v>168</v>
      </c>
      <c r="C74" s="22" t="s">
        <v>87</v>
      </c>
      <c r="D74" s="22" t="s">
        <v>9</v>
      </c>
      <c r="E74" s="22" t="s">
        <v>43</v>
      </c>
      <c r="F74" s="22" t="s">
        <v>96</v>
      </c>
      <c r="G74" s="23" t="str">
        <f>IFERROR(INDEX(Catalogos!$B$2:$B$9,MATCH(H74,Catalogos!$A$2:$A$9,0)),"")</f>
        <v>Semillas</v>
      </c>
      <c r="H74" s="22" t="s">
        <v>64</v>
      </c>
      <c r="I74" s="22">
        <v>9</v>
      </c>
      <c r="J74" s="24">
        <f>IFERROR(INDEX(Catalogos!$C$2:$C$9,MATCH(H74,Catalogos!$A$2:$A$9,0)),0)</f>
        <v>14</v>
      </c>
      <c r="K74" s="25">
        <v>0</v>
      </c>
      <c r="L74" s="24">
        <f>IFERROR(INDEX(Catalogos!$D$2:$D$9,MATCH(H74,Catalogos!$A$2:$A$9,0)),0)</f>
        <v>4.5</v>
      </c>
      <c r="M74" s="22" t="s">
        <v>93</v>
      </c>
      <c r="N74" s="22" t="s">
        <v>66</v>
      </c>
      <c r="O74" s="23">
        <f t="shared" si="16"/>
        <v>2025</v>
      </c>
      <c r="P74" s="23">
        <f t="shared" si="17"/>
        <v>10</v>
      </c>
      <c r="Q74" s="24">
        <f t="shared" si="18"/>
        <v>126</v>
      </c>
      <c r="R74" s="24">
        <f t="shared" si="19"/>
        <v>0</v>
      </c>
      <c r="S74" s="24">
        <f t="shared" si="20"/>
        <v>126</v>
      </c>
      <c r="T74" s="24">
        <f t="shared" si="21"/>
        <v>40.5</v>
      </c>
      <c r="U74" s="24">
        <f t="shared" si="22"/>
        <v>85.5</v>
      </c>
      <c r="V74" s="26">
        <f t="shared" si="23"/>
        <v>0.6785714285714286</v>
      </c>
    </row>
    <row r="75" spans="1:22" ht="14.25" x14ac:dyDescent="0.2">
      <c r="A75" s="21">
        <v>45945</v>
      </c>
      <c r="B75" s="22" t="s">
        <v>169</v>
      </c>
      <c r="C75" s="22" t="s">
        <v>71</v>
      </c>
      <c r="D75" s="22" t="s">
        <v>12</v>
      </c>
      <c r="E75" s="22" t="s">
        <v>42</v>
      </c>
      <c r="F75" s="22" t="s">
        <v>63</v>
      </c>
      <c r="G75" s="23" t="str">
        <f>IFERROR(INDEX(Catalogos!$B$2:$B$9,MATCH(H75,Catalogos!$A$2:$A$9,0)),"")</f>
        <v>Iluminación</v>
      </c>
      <c r="H75" s="22" t="s">
        <v>117</v>
      </c>
      <c r="I75" s="22">
        <v>2</v>
      </c>
      <c r="J75" s="24">
        <f>IFERROR(INDEX(Catalogos!$C$2:$C$9,MATCH(H75,Catalogos!$A$2:$A$9,0)),0)</f>
        <v>58</v>
      </c>
      <c r="K75" s="25">
        <v>0</v>
      </c>
      <c r="L75" s="24">
        <f>IFERROR(INDEX(Catalogos!$D$2:$D$9,MATCH(H75,Catalogos!$A$2:$A$9,0)),0)</f>
        <v>31</v>
      </c>
      <c r="M75" s="22" t="s">
        <v>69</v>
      </c>
      <c r="N75" s="22" t="s">
        <v>66</v>
      </c>
      <c r="O75" s="23">
        <f t="shared" si="16"/>
        <v>2025</v>
      </c>
      <c r="P75" s="23">
        <f t="shared" si="17"/>
        <v>10</v>
      </c>
      <c r="Q75" s="24">
        <f t="shared" si="18"/>
        <v>116</v>
      </c>
      <c r="R75" s="24">
        <f t="shared" si="19"/>
        <v>0</v>
      </c>
      <c r="S75" s="24">
        <f t="shared" si="20"/>
        <v>116</v>
      </c>
      <c r="T75" s="24">
        <f t="shared" si="21"/>
        <v>62</v>
      </c>
      <c r="U75" s="24">
        <f t="shared" si="22"/>
        <v>54</v>
      </c>
      <c r="V75" s="26">
        <f t="shared" si="23"/>
        <v>0.46551724137931033</v>
      </c>
    </row>
    <row r="76" spans="1:22" ht="14.25" x14ac:dyDescent="0.2">
      <c r="A76" s="21">
        <v>45934</v>
      </c>
      <c r="B76" s="22" t="s">
        <v>170</v>
      </c>
      <c r="C76" s="22" t="s">
        <v>103</v>
      </c>
      <c r="D76" s="22" t="s">
        <v>12</v>
      </c>
      <c r="E76" s="22" t="s">
        <v>42</v>
      </c>
      <c r="F76" s="22" t="s">
        <v>63</v>
      </c>
      <c r="G76" s="23" t="str">
        <f>IFERROR(INDEX(Catalogos!$B$2:$B$9,MATCH(H76,Catalogos!$A$2:$A$9,0)),"")</f>
        <v>Iluminación</v>
      </c>
      <c r="H76" s="22" t="s">
        <v>117</v>
      </c>
      <c r="I76" s="22">
        <v>8</v>
      </c>
      <c r="J76" s="24">
        <f>IFERROR(INDEX(Catalogos!$C$2:$C$9,MATCH(H76,Catalogos!$A$2:$A$9,0)),0)</f>
        <v>58</v>
      </c>
      <c r="K76" s="25">
        <v>0.05</v>
      </c>
      <c r="L76" s="24">
        <f>IFERROR(INDEX(Catalogos!$D$2:$D$9,MATCH(H76,Catalogos!$A$2:$A$9,0)),0)</f>
        <v>31</v>
      </c>
      <c r="M76" s="22" t="s">
        <v>78</v>
      </c>
      <c r="N76" s="22" t="s">
        <v>74</v>
      </c>
      <c r="O76" s="23">
        <f t="shared" si="16"/>
        <v>2025</v>
      </c>
      <c r="P76" s="23">
        <f t="shared" si="17"/>
        <v>10</v>
      </c>
      <c r="Q76" s="24">
        <f t="shared" si="18"/>
        <v>464</v>
      </c>
      <c r="R76" s="24">
        <f t="shared" si="19"/>
        <v>23.200000000000003</v>
      </c>
      <c r="S76" s="24">
        <f t="shared" si="20"/>
        <v>440.8</v>
      </c>
      <c r="T76" s="24">
        <f t="shared" si="21"/>
        <v>248</v>
      </c>
      <c r="U76" s="24">
        <f t="shared" si="22"/>
        <v>192.8</v>
      </c>
      <c r="V76" s="26">
        <f t="shared" si="23"/>
        <v>0.43738656987295826</v>
      </c>
    </row>
    <row r="77" spans="1:22" ht="14.25" x14ac:dyDescent="0.2">
      <c r="A77" s="21">
        <v>45956</v>
      </c>
      <c r="B77" s="22" t="s">
        <v>171</v>
      </c>
      <c r="C77" s="22" t="s">
        <v>87</v>
      </c>
      <c r="D77" s="22" t="s">
        <v>12</v>
      </c>
      <c r="E77" s="22" t="s">
        <v>43</v>
      </c>
      <c r="F77" s="22" t="s">
        <v>72</v>
      </c>
      <c r="G77" s="23" t="str">
        <f>IFERROR(INDEX(Catalogos!$B$2:$B$9,MATCH(H77,Catalogos!$A$2:$A$9,0)),"")</f>
        <v>Mobiliario</v>
      </c>
      <c r="H77" s="22" t="s">
        <v>85</v>
      </c>
      <c r="I77" s="22">
        <v>8</v>
      </c>
      <c r="J77" s="24">
        <f>IFERROR(INDEX(Catalogos!$C$2:$C$9,MATCH(H77,Catalogos!$A$2:$A$9,0)),0)</f>
        <v>128</v>
      </c>
      <c r="K77" s="25">
        <v>0.1</v>
      </c>
      <c r="L77" s="24">
        <f>IFERROR(INDEX(Catalogos!$D$2:$D$9,MATCH(H77,Catalogos!$A$2:$A$9,0)),0)</f>
        <v>76</v>
      </c>
      <c r="M77" s="22" t="s">
        <v>93</v>
      </c>
      <c r="N77" s="22" t="s">
        <v>74</v>
      </c>
      <c r="O77" s="23">
        <f t="shared" si="16"/>
        <v>2025</v>
      </c>
      <c r="P77" s="23">
        <f t="shared" si="17"/>
        <v>10</v>
      </c>
      <c r="Q77" s="24">
        <f t="shared" si="18"/>
        <v>1024</v>
      </c>
      <c r="R77" s="24">
        <f t="shared" si="19"/>
        <v>102.4</v>
      </c>
      <c r="S77" s="24">
        <f t="shared" si="20"/>
        <v>921.6</v>
      </c>
      <c r="T77" s="24">
        <f t="shared" si="21"/>
        <v>608</v>
      </c>
      <c r="U77" s="24">
        <f t="shared" si="22"/>
        <v>313.60000000000002</v>
      </c>
      <c r="V77" s="26">
        <f t="shared" si="23"/>
        <v>0.34027777777777779</v>
      </c>
    </row>
    <row r="78" spans="1:22" ht="14.25" x14ac:dyDescent="0.2">
      <c r="A78" s="21">
        <v>45956</v>
      </c>
      <c r="B78" s="22" t="s">
        <v>172</v>
      </c>
      <c r="C78" s="22" t="s">
        <v>68</v>
      </c>
      <c r="D78" s="22" t="s">
        <v>12</v>
      </c>
      <c r="E78" s="22" t="s">
        <v>42</v>
      </c>
      <c r="F78" s="22" t="s">
        <v>63</v>
      </c>
      <c r="G78" s="23" t="str">
        <f>IFERROR(INDEX(Catalogos!$B$2:$B$9,MATCH(H78,Catalogos!$A$2:$A$9,0)),"")</f>
        <v>Sensores</v>
      </c>
      <c r="H78" s="22" t="s">
        <v>101</v>
      </c>
      <c r="I78" s="22">
        <v>3</v>
      </c>
      <c r="J78" s="24">
        <f>IFERROR(INDEX(Catalogos!$C$2:$C$9,MATCH(H78,Catalogos!$A$2:$A$9,0)),0)</f>
        <v>36</v>
      </c>
      <c r="K78" s="25">
        <v>0.03</v>
      </c>
      <c r="L78" s="24">
        <f>IFERROR(INDEX(Catalogos!$D$2:$D$9,MATCH(H78,Catalogos!$A$2:$A$9,0)),0)</f>
        <v>17</v>
      </c>
      <c r="M78" s="22" t="s">
        <v>69</v>
      </c>
      <c r="N78" s="22" t="s">
        <v>66</v>
      </c>
      <c r="O78" s="23">
        <f t="shared" si="16"/>
        <v>2025</v>
      </c>
      <c r="P78" s="23">
        <f t="shared" si="17"/>
        <v>10</v>
      </c>
      <c r="Q78" s="24">
        <f t="shared" si="18"/>
        <v>108</v>
      </c>
      <c r="R78" s="24">
        <f t="shared" si="19"/>
        <v>3.2399999999999998</v>
      </c>
      <c r="S78" s="24">
        <f t="shared" si="20"/>
        <v>104.76</v>
      </c>
      <c r="T78" s="24">
        <f t="shared" si="21"/>
        <v>51</v>
      </c>
      <c r="U78" s="24">
        <f t="shared" si="22"/>
        <v>53.760000000000005</v>
      </c>
      <c r="V78" s="26">
        <f t="shared" si="23"/>
        <v>0.51317296678121427</v>
      </c>
    </row>
    <row r="79" spans="1:22" ht="14.25" x14ac:dyDescent="0.2">
      <c r="A79" s="21">
        <v>45935</v>
      </c>
      <c r="B79" s="22" t="s">
        <v>173</v>
      </c>
      <c r="C79" s="22" t="s">
        <v>126</v>
      </c>
      <c r="D79" s="22" t="s">
        <v>7</v>
      </c>
      <c r="E79" s="22" t="s">
        <v>43</v>
      </c>
      <c r="F79" s="22" t="s">
        <v>72</v>
      </c>
      <c r="G79" s="23" t="str">
        <f>IFERROR(INDEX(Catalogos!$B$2:$B$9,MATCH(H79,Catalogos!$A$2:$A$9,0)),"")</f>
        <v>Mobiliario</v>
      </c>
      <c r="H79" s="22" t="s">
        <v>85</v>
      </c>
      <c r="I79" s="22">
        <v>4</v>
      </c>
      <c r="J79" s="24">
        <f>IFERROR(INDEX(Catalogos!$C$2:$C$9,MATCH(H79,Catalogos!$A$2:$A$9,0)),0)</f>
        <v>128</v>
      </c>
      <c r="K79" s="25">
        <v>0.1</v>
      </c>
      <c r="L79" s="24">
        <f>IFERROR(INDEX(Catalogos!$D$2:$D$9,MATCH(H79,Catalogos!$A$2:$A$9,0)),0)</f>
        <v>76</v>
      </c>
      <c r="M79" s="22" t="s">
        <v>93</v>
      </c>
      <c r="N79" s="22" t="s">
        <v>66</v>
      </c>
      <c r="O79" s="23">
        <f t="shared" si="16"/>
        <v>2025</v>
      </c>
      <c r="P79" s="23">
        <f t="shared" si="17"/>
        <v>10</v>
      </c>
      <c r="Q79" s="24">
        <f t="shared" si="18"/>
        <v>512</v>
      </c>
      <c r="R79" s="24">
        <f t="shared" si="19"/>
        <v>51.2</v>
      </c>
      <c r="S79" s="24">
        <f t="shared" si="20"/>
        <v>460.8</v>
      </c>
      <c r="T79" s="24">
        <f t="shared" si="21"/>
        <v>304</v>
      </c>
      <c r="U79" s="24">
        <f t="shared" si="22"/>
        <v>156.80000000000001</v>
      </c>
      <c r="V79" s="26">
        <f t="shared" si="23"/>
        <v>0.34027777777777779</v>
      </c>
    </row>
    <row r="80" spans="1:22" ht="14.25" x14ac:dyDescent="0.2">
      <c r="A80" s="21">
        <v>45945</v>
      </c>
      <c r="B80" s="22" t="s">
        <v>174</v>
      </c>
      <c r="C80" s="22" t="s">
        <v>89</v>
      </c>
      <c r="D80" s="22" t="s">
        <v>12</v>
      </c>
      <c r="E80" s="22" t="s">
        <v>44</v>
      </c>
      <c r="F80" s="22" t="s">
        <v>72</v>
      </c>
      <c r="G80" s="23" t="str">
        <f>IFERROR(INDEX(Catalogos!$B$2:$B$9,MATCH(H80,Catalogos!$A$2:$A$9,0)),"")</f>
        <v>Iluminación</v>
      </c>
      <c r="H80" s="22" t="s">
        <v>117</v>
      </c>
      <c r="I80" s="22">
        <v>7</v>
      </c>
      <c r="J80" s="24">
        <f>IFERROR(INDEX(Catalogos!$C$2:$C$9,MATCH(H80,Catalogos!$A$2:$A$9,0)),0)</f>
        <v>58</v>
      </c>
      <c r="K80" s="25">
        <v>0</v>
      </c>
      <c r="L80" s="24">
        <f>IFERROR(INDEX(Catalogos!$D$2:$D$9,MATCH(H80,Catalogos!$A$2:$A$9,0)),0)</f>
        <v>31</v>
      </c>
      <c r="M80" s="22" t="s">
        <v>69</v>
      </c>
      <c r="N80" s="22" t="s">
        <v>66</v>
      </c>
      <c r="O80" s="23">
        <f t="shared" si="16"/>
        <v>2025</v>
      </c>
      <c r="P80" s="23">
        <f t="shared" si="17"/>
        <v>10</v>
      </c>
      <c r="Q80" s="24">
        <f t="shared" si="18"/>
        <v>406</v>
      </c>
      <c r="R80" s="24">
        <f t="shared" si="19"/>
        <v>0</v>
      </c>
      <c r="S80" s="24">
        <f t="shared" si="20"/>
        <v>406</v>
      </c>
      <c r="T80" s="24">
        <f t="shared" si="21"/>
        <v>217</v>
      </c>
      <c r="U80" s="24">
        <f t="shared" si="22"/>
        <v>189</v>
      </c>
      <c r="V80" s="26">
        <f t="shared" si="23"/>
        <v>0.46551724137931033</v>
      </c>
    </row>
    <row r="81" spans="1:22" ht="14.25" x14ac:dyDescent="0.2">
      <c r="A81" s="21">
        <v>45933</v>
      </c>
      <c r="B81" s="22" t="s">
        <v>175</v>
      </c>
      <c r="C81" s="22" t="s">
        <v>62</v>
      </c>
      <c r="D81" s="22" t="s">
        <v>12</v>
      </c>
      <c r="E81" s="22" t="s">
        <v>42</v>
      </c>
      <c r="F81" s="22" t="s">
        <v>96</v>
      </c>
      <c r="G81" s="23" t="str">
        <f>IFERROR(INDEX(Catalogos!$B$2:$B$9,MATCH(H81,Catalogos!$A$2:$A$9,0)),"")</f>
        <v>Sensores</v>
      </c>
      <c r="H81" s="22" t="s">
        <v>101</v>
      </c>
      <c r="I81" s="22">
        <v>3</v>
      </c>
      <c r="J81" s="24">
        <f>IFERROR(INDEX(Catalogos!$C$2:$C$9,MATCH(H81,Catalogos!$A$2:$A$9,0)),0)</f>
        <v>36</v>
      </c>
      <c r="K81" s="25">
        <v>0</v>
      </c>
      <c r="L81" s="24">
        <f>IFERROR(INDEX(Catalogos!$D$2:$D$9,MATCH(H81,Catalogos!$A$2:$A$9,0)),0)</f>
        <v>17</v>
      </c>
      <c r="M81" s="22" t="s">
        <v>69</v>
      </c>
      <c r="N81" s="22" t="s">
        <v>107</v>
      </c>
      <c r="O81" s="23">
        <f t="shared" si="16"/>
        <v>2025</v>
      </c>
      <c r="P81" s="23">
        <f t="shared" si="17"/>
        <v>10</v>
      </c>
      <c r="Q81" s="24">
        <f t="shared" si="18"/>
        <v>108</v>
      </c>
      <c r="R81" s="24">
        <f t="shared" si="19"/>
        <v>0</v>
      </c>
      <c r="S81" s="24">
        <f t="shared" si="20"/>
        <v>108</v>
      </c>
      <c r="T81" s="24">
        <f t="shared" si="21"/>
        <v>51</v>
      </c>
      <c r="U81" s="24">
        <f t="shared" si="22"/>
        <v>57</v>
      </c>
      <c r="V81" s="26">
        <f t="shared" si="23"/>
        <v>0.52777777777777779</v>
      </c>
    </row>
    <row r="82" spans="1:22" ht="14.25" x14ac:dyDescent="0.2">
      <c r="A82" s="21">
        <v>45971</v>
      </c>
      <c r="B82" s="22" t="s">
        <v>176</v>
      </c>
      <c r="C82" s="22" t="s">
        <v>76</v>
      </c>
      <c r="D82" s="22" t="s">
        <v>12</v>
      </c>
      <c r="E82" s="22" t="s">
        <v>43</v>
      </c>
      <c r="F82" s="22" t="s">
        <v>96</v>
      </c>
      <c r="G82" s="23" t="str">
        <f>IFERROR(INDEX(Catalogos!$B$2:$B$9,MATCH(H82,Catalogos!$A$2:$A$9,0)),"")</f>
        <v>Sensores</v>
      </c>
      <c r="H82" s="22" t="s">
        <v>101</v>
      </c>
      <c r="I82" s="22">
        <v>5</v>
      </c>
      <c r="J82" s="24">
        <f>IFERROR(INDEX(Catalogos!$C$2:$C$9,MATCH(H82,Catalogos!$A$2:$A$9,0)),0)</f>
        <v>36</v>
      </c>
      <c r="K82" s="25">
        <v>0.1</v>
      </c>
      <c r="L82" s="24">
        <f>IFERROR(INDEX(Catalogos!$D$2:$D$9,MATCH(H82,Catalogos!$A$2:$A$9,0)),0)</f>
        <v>17</v>
      </c>
      <c r="M82" s="22" t="s">
        <v>69</v>
      </c>
      <c r="N82" s="22" t="s">
        <v>74</v>
      </c>
      <c r="O82" s="23">
        <f t="shared" si="16"/>
        <v>2025</v>
      </c>
      <c r="P82" s="23">
        <f t="shared" si="17"/>
        <v>11</v>
      </c>
      <c r="Q82" s="24">
        <f t="shared" si="18"/>
        <v>180</v>
      </c>
      <c r="R82" s="24">
        <f t="shared" si="19"/>
        <v>18</v>
      </c>
      <c r="S82" s="24">
        <f t="shared" si="20"/>
        <v>162</v>
      </c>
      <c r="T82" s="24">
        <f t="shared" si="21"/>
        <v>85</v>
      </c>
      <c r="U82" s="24">
        <f t="shared" si="22"/>
        <v>77</v>
      </c>
      <c r="V82" s="26">
        <f t="shared" si="23"/>
        <v>0.47530864197530864</v>
      </c>
    </row>
    <row r="83" spans="1:22" ht="14.25" x14ac:dyDescent="0.2">
      <c r="A83" s="21">
        <v>45972</v>
      </c>
      <c r="B83" s="22" t="s">
        <v>177</v>
      </c>
      <c r="C83" s="22" t="s">
        <v>126</v>
      </c>
      <c r="D83" s="22" t="s">
        <v>7</v>
      </c>
      <c r="E83" s="22" t="s">
        <v>45</v>
      </c>
      <c r="F83" s="22" t="s">
        <v>63</v>
      </c>
      <c r="G83" s="23" t="str">
        <f>IFERROR(INDEX(Catalogos!$B$2:$B$9,MATCH(H83,Catalogos!$A$2:$A$9,0)),"")</f>
        <v>Compostaje</v>
      </c>
      <c r="H83" s="22" t="s">
        <v>77</v>
      </c>
      <c r="I83" s="22">
        <v>1</v>
      </c>
      <c r="J83" s="24">
        <f>IFERROR(INDEX(Catalogos!$C$2:$C$9,MATCH(H83,Catalogos!$A$2:$A$9,0)),0)</f>
        <v>95</v>
      </c>
      <c r="K83" s="25">
        <v>0</v>
      </c>
      <c r="L83" s="24">
        <f>IFERROR(INDEX(Catalogos!$D$2:$D$9,MATCH(H83,Catalogos!$A$2:$A$9,0)),0)</f>
        <v>51</v>
      </c>
      <c r="M83" s="22" t="s">
        <v>78</v>
      </c>
      <c r="N83" s="22" t="s">
        <v>74</v>
      </c>
      <c r="O83" s="23">
        <f t="shared" si="16"/>
        <v>2025</v>
      </c>
      <c r="P83" s="23">
        <f t="shared" si="17"/>
        <v>11</v>
      </c>
      <c r="Q83" s="24">
        <f t="shared" si="18"/>
        <v>95</v>
      </c>
      <c r="R83" s="24">
        <f t="shared" si="19"/>
        <v>0</v>
      </c>
      <c r="S83" s="24">
        <f t="shared" si="20"/>
        <v>95</v>
      </c>
      <c r="T83" s="24">
        <f t="shared" si="21"/>
        <v>51</v>
      </c>
      <c r="U83" s="24">
        <f t="shared" si="22"/>
        <v>44</v>
      </c>
      <c r="V83" s="26">
        <f t="shared" si="23"/>
        <v>0.4631578947368421</v>
      </c>
    </row>
    <row r="84" spans="1:22" ht="14.25" x14ac:dyDescent="0.2">
      <c r="A84" s="21">
        <v>45971</v>
      </c>
      <c r="B84" s="22" t="s">
        <v>178</v>
      </c>
      <c r="C84" s="22" t="s">
        <v>103</v>
      </c>
      <c r="D84" s="22" t="s">
        <v>7</v>
      </c>
      <c r="E84" s="22" t="s">
        <v>42</v>
      </c>
      <c r="F84" s="22" t="s">
        <v>63</v>
      </c>
      <c r="G84" s="23" t="str">
        <f>IFERROR(INDEX(Catalogos!$B$2:$B$9,MATCH(H84,Catalogos!$A$2:$A$9,0)),"")</f>
        <v>Semillas</v>
      </c>
      <c r="H84" s="22" t="s">
        <v>64</v>
      </c>
      <c r="I84" s="22">
        <v>9</v>
      </c>
      <c r="J84" s="24">
        <f>IFERROR(INDEX(Catalogos!$C$2:$C$9,MATCH(H84,Catalogos!$A$2:$A$9,0)),0)</f>
        <v>14</v>
      </c>
      <c r="K84" s="25">
        <v>0.03</v>
      </c>
      <c r="L84" s="24">
        <f>IFERROR(INDEX(Catalogos!$D$2:$D$9,MATCH(H84,Catalogos!$A$2:$A$9,0)),0)</f>
        <v>4.5</v>
      </c>
      <c r="M84" s="22" t="s">
        <v>78</v>
      </c>
      <c r="N84" s="22" t="s">
        <v>74</v>
      </c>
      <c r="O84" s="23">
        <f t="shared" si="16"/>
        <v>2025</v>
      </c>
      <c r="P84" s="23">
        <f t="shared" si="17"/>
        <v>11</v>
      </c>
      <c r="Q84" s="24">
        <f t="shared" si="18"/>
        <v>126</v>
      </c>
      <c r="R84" s="24">
        <f t="shared" si="19"/>
        <v>3.78</v>
      </c>
      <c r="S84" s="24">
        <f t="shared" si="20"/>
        <v>122.22</v>
      </c>
      <c r="T84" s="24">
        <f t="shared" si="21"/>
        <v>40.5</v>
      </c>
      <c r="U84" s="24">
        <f t="shared" si="22"/>
        <v>81.72</v>
      </c>
      <c r="V84" s="26">
        <f t="shared" si="23"/>
        <v>0.66863033873343147</v>
      </c>
    </row>
    <row r="85" spans="1:22" ht="14.25" x14ac:dyDescent="0.2">
      <c r="A85" s="21">
        <v>45979</v>
      </c>
      <c r="B85" s="22" t="s">
        <v>179</v>
      </c>
      <c r="C85" s="22" t="s">
        <v>91</v>
      </c>
      <c r="D85" s="22" t="s">
        <v>7</v>
      </c>
      <c r="E85" s="22" t="s">
        <v>43</v>
      </c>
      <c r="F85" s="22" t="s">
        <v>96</v>
      </c>
      <c r="G85" s="23" t="str">
        <f>IFERROR(INDEX(Catalogos!$B$2:$B$9,MATCH(H85,Catalogos!$A$2:$A$9,0)),"")</f>
        <v>Macetas</v>
      </c>
      <c r="H85" s="22" t="s">
        <v>80</v>
      </c>
      <c r="I85" s="22">
        <v>10</v>
      </c>
      <c r="J85" s="24">
        <f>IFERROR(INDEX(Catalogos!$C$2:$C$9,MATCH(H85,Catalogos!$A$2:$A$9,0)),0)</f>
        <v>24</v>
      </c>
      <c r="K85" s="25">
        <v>7.0000000000000007E-2</v>
      </c>
      <c r="L85" s="24">
        <f>IFERROR(INDEX(Catalogos!$D$2:$D$9,MATCH(H85,Catalogos!$A$2:$A$9,0)),0)</f>
        <v>11.5</v>
      </c>
      <c r="M85" s="22" t="s">
        <v>93</v>
      </c>
      <c r="N85" s="22" t="s">
        <v>74</v>
      </c>
      <c r="O85" s="23">
        <f t="shared" si="16"/>
        <v>2025</v>
      </c>
      <c r="P85" s="23">
        <f t="shared" si="17"/>
        <v>11</v>
      </c>
      <c r="Q85" s="24">
        <f t="shared" si="18"/>
        <v>240</v>
      </c>
      <c r="R85" s="24">
        <f t="shared" si="19"/>
        <v>16.8</v>
      </c>
      <c r="S85" s="24">
        <f t="shared" si="20"/>
        <v>223.2</v>
      </c>
      <c r="T85" s="24">
        <f t="shared" si="21"/>
        <v>115</v>
      </c>
      <c r="U85" s="24">
        <f t="shared" si="22"/>
        <v>108.19999999999999</v>
      </c>
      <c r="V85" s="26">
        <f t="shared" si="23"/>
        <v>0.48476702508960573</v>
      </c>
    </row>
    <row r="86" spans="1:22" ht="14.25" x14ac:dyDescent="0.2">
      <c r="A86" s="21">
        <v>45967</v>
      </c>
      <c r="B86" s="22" t="s">
        <v>180</v>
      </c>
      <c r="C86" s="22" t="s">
        <v>103</v>
      </c>
      <c r="D86" s="22" t="s">
        <v>9</v>
      </c>
      <c r="E86" s="22" t="s">
        <v>43</v>
      </c>
      <c r="F86" s="22" t="s">
        <v>72</v>
      </c>
      <c r="G86" s="23" t="str">
        <f>IFERROR(INDEX(Catalogos!$B$2:$B$9,MATCH(H86,Catalogos!$A$2:$A$9,0)),"")</f>
        <v>Kits</v>
      </c>
      <c r="H86" s="22" t="s">
        <v>73</v>
      </c>
      <c r="I86" s="22">
        <v>8</v>
      </c>
      <c r="J86" s="24">
        <f>IFERROR(INDEX(Catalogos!$C$2:$C$9,MATCH(H86,Catalogos!$A$2:$A$9,0)),0)</f>
        <v>79</v>
      </c>
      <c r="K86" s="25">
        <v>7.0000000000000007E-2</v>
      </c>
      <c r="L86" s="24">
        <f>IFERROR(INDEX(Catalogos!$D$2:$D$9,MATCH(H86,Catalogos!$A$2:$A$9,0)),0)</f>
        <v>42</v>
      </c>
      <c r="M86" s="22" t="s">
        <v>69</v>
      </c>
      <c r="N86" s="22" t="s">
        <v>107</v>
      </c>
      <c r="O86" s="23">
        <f t="shared" si="16"/>
        <v>2025</v>
      </c>
      <c r="P86" s="23">
        <f t="shared" si="17"/>
        <v>11</v>
      </c>
      <c r="Q86" s="24">
        <f t="shared" si="18"/>
        <v>632</v>
      </c>
      <c r="R86" s="24">
        <f t="shared" si="19"/>
        <v>44.24</v>
      </c>
      <c r="S86" s="24">
        <f t="shared" si="20"/>
        <v>587.76</v>
      </c>
      <c r="T86" s="24">
        <f t="shared" si="21"/>
        <v>336</v>
      </c>
      <c r="U86" s="24">
        <f t="shared" si="22"/>
        <v>251.76</v>
      </c>
      <c r="V86" s="26">
        <f t="shared" si="23"/>
        <v>0.42833809718252347</v>
      </c>
    </row>
    <row r="87" spans="1:22" ht="14.25" x14ac:dyDescent="0.2">
      <c r="A87" s="21">
        <v>45963</v>
      </c>
      <c r="B87" s="22" t="s">
        <v>181</v>
      </c>
      <c r="C87" s="22" t="s">
        <v>71</v>
      </c>
      <c r="D87" s="22" t="s">
        <v>9</v>
      </c>
      <c r="E87" s="22" t="s">
        <v>45</v>
      </c>
      <c r="F87" s="22" t="s">
        <v>63</v>
      </c>
      <c r="G87" s="23" t="str">
        <f>IFERROR(INDEX(Catalogos!$B$2:$B$9,MATCH(H87,Catalogos!$A$2:$A$9,0)),"")</f>
        <v>Macetas</v>
      </c>
      <c r="H87" s="22" t="s">
        <v>80</v>
      </c>
      <c r="I87" s="22">
        <v>7</v>
      </c>
      <c r="J87" s="24">
        <f>IFERROR(INDEX(Catalogos!$C$2:$C$9,MATCH(H87,Catalogos!$A$2:$A$9,0)),0)</f>
        <v>24</v>
      </c>
      <c r="K87" s="25">
        <v>0.03</v>
      </c>
      <c r="L87" s="24">
        <f>IFERROR(INDEX(Catalogos!$D$2:$D$9,MATCH(H87,Catalogos!$A$2:$A$9,0)),0)</f>
        <v>11.5</v>
      </c>
      <c r="M87" s="22" t="s">
        <v>93</v>
      </c>
      <c r="N87" s="22" t="s">
        <v>74</v>
      </c>
      <c r="O87" s="23">
        <f t="shared" si="16"/>
        <v>2025</v>
      </c>
      <c r="P87" s="23">
        <f t="shared" si="17"/>
        <v>11</v>
      </c>
      <c r="Q87" s="24">
        <f t="shared" si="18"/>
        <v>168</v>
      </c>
      <c r="R87" s="24">
        <f t="shared" si="19"/>
        <v>5.04</v>
      </c>
      <c r="S87" s="24">
        <f t="shared" si="20"/>
        <v>162.96</v>
      </c>
      <c r="T87" s="24">
        <f t="shared" si="21"/>
        <v>80.5</v>
      </c>
      <c r="U87" s="24">
        <f t="shared" si="22"/>
        <v>82.460000000000008</v>
      </c>
      <c r="V87" s="26">
        <f t="shared" si="23"/>
        <v>0.50601374570446733</v>
      </c>
    </row>
    <row r="88" spans="1:22" ht="14.25" x14ac:dyDescent="0.2">
      <c r="A88" s="21">
        <v>45978</v>
      </c>
      <c r="B88" s="22" t="s">
        <v>182</v>
      </c>
      <c r="C88" s="22" t="s">
        <v>103</v>
      </c>
      <c r="D88" s="22" t="s">
        <v>16</v>
      </c>
      <c r="E88" s="22" t="s">
        <v>45</v>
      </c>
      <c r="F88" s="22" t="s">
        <v>96</v>
      </c>
      <c r="G88" s="23" t="str">
        <f>IFERROR(INDEX(Catalogos!$B$2:$B$9,MATCH(H88,Catalogos!$A$2:$A$9,0)),"")</f>
        <v>Macetas</v>
      </c>
      <c r="H88" s="22" t="s">
        <v>120</v>
      </c>
      <c r="I88" s="22">
        <v>5</v>
      </c>
      <c r="J88" s="24">
        <f>IFERROR(INDEX(Catalogos!$C$2:$C$9,MATCH(H88,Catalogos!$A$2:$A$9,0)),0)</f>
        <v>42</v>
      </c>
      <c r="K88" s="25">
        <v>0</v>
      </c>
      <c r="L88" s="24">
        <f>IFERROR(INDEX(Catalogos!$D$2:$D$9,MATCH(H88,Catalogos!$A$2:$A$9,0)),0)</f>
        <v>21</v>
      </c>
      <c r="M88" s="22" t="s">
        <v>78</v>
      </c>
      <c r="N88" s="22" t="s">
        <v>66</v>
      </c>
      <c r="O88" s="23">
        <f t="shared" si="16"/>
        <v>2025</v>
      </c>
      <c r="P88" s="23">
        <f t="shared" si="17"/>
        <v>11</v>
      </c>
      <c r="Q88" s="24">
        <f t="shared" si="18"/>
        <v>210</v>
      </c>
      <c r="R88" s="24">
        <f t="shared" si="19"/>
        <v>0</v>
      </c>
      <c r="S88" s="24">
        <f t="shared" si="20"/>
        <v>210</v>
      </c>
      <c r="T88" s="24">
        <f t="shared" si="21"/>
        <v>105</v>
      </c>
      <c r="U88" s="24">
        <f t="shared" si="22"/>
        <v>105</v>
      </c>
      <c r="V88" s="26">
        <f t="shared" si="23"/>
        <v>0.5</v>
      </c>
    </row>
    <row r="89" spans="1:22" ht="14.25" x14ac:dyDescent="0.2">
      <c r="A89" s="21">
        <v>45970</v>
      </c>
      <c r="B89" s="22" t="s">
        <v>183</v>
      </c>
      <c r="C89" s="22" t="s">
        <v>87</v>
      </c>
      <c r="D89" s="22" t="s">
        <v>7</v>
      </c>
      <c r="E89" s="22" t="s">
        <v>45</v>
      </c>
      <c r="F89" s="22" t="s">
        <v>72</v>
      </c>
      <c r="G89" s="23" t="str">
        <f>IFERROR(INDEX(Catalogos!$B$2:$B$9,MATCH(H89,Catalogos!$A$2:$A$9,0)),"")</f>
        <v>Semillas</v>
      </c>
      <c r="H89" s="22" t="s">
        <v>64</v>
      </c>
      <c r="I89" s="22">
        <v>6</v>
      </c>
      <c r="J89" s="24">
        <f>IFERROR(INDEX(Catalogos!$C$2:$C$9,MATCH(H89,Catalogos!$A$2:$A$9,0)),0)</f>
        <v>14</v>
      </c>
      <c r="K89" s="25">
        <v>0.03</v>
      </c>
      <c r="L89" s="24">
        <f>IFERROR(INDEX(Catalogos!$D$2:$D$9,MATCH(H89,Catalogos!$A$2:$A$9,0)),0)</f>
        <v>4.5</v>
      </c>
      <c r="M89" s="22" t="s">
        <v>65</v>
      </c>
      <c r="N89" s="22" t="s">
        <v>66</v>
      </c>
      <c r="O89" s="23">
        <f t="shared" si="16"/>
        <v>2025</v>
      </c>
      <c r="P89" s="23">
        <f t="shared" si="17"/>
        <v>11</v>
      </c>
      <c r="Q89" s="24">
        <f t="shared" si="18"/>
        <v>84</v>
      </c>
      <c r="R89" s="24">
        <f t="shared" si="19"/>
        <v>2.52</v>
      </c>
      <c r="S89" s="24">
        <f t="shared" si="20"/>
        <v>81.48</v>
      </c>
      <c r="T89" s="24">
        <f t="shared" si="21"/>
        <v>27</v>
      </c>
      <c r="U89" s="24">
        <f t="shared" si="22"/>
        <v>54.480000000000004</v>
      </c>
      <c r="V89" s="26">
        <f t="shared" si="23"/>
        <v>0.66863033873343158</v>
      </c>
    </row>
    <row r="90" spans="1:22" ht="14.25" x14ac:dyDescent="0.2">
      <c r="A90" s="21">
        <v>45994</v>
      </c>
      <c r="B90" s="22" t="s">
        <v>184</v>
      </c>
      <c r="C90" s="22" t="s">
        <v>71</v>
      </c>
      <c r="D90" s="22" t="s">
        <v>12</v>
      </c>
      <c r="E90" s="22" t="s">
        <v>44</v>
      </c>
      <c r="F90" s="22" t="s">
        <v>82</v>
      </c>
      <c r="G90" s="23" t="str">
        <f>IFERROR(INDEX(Catalogos!$B$2:$B$9,MATCH(H90,Catalogos!$A$2:$A$9,0)),"")</f>
        <v>Mobiliario</v>
      </c>
      <c r="H90" s="22" t="s">
        <v>85</v>
      </c>
      <c r="I90" s="22">
        <v>3</v>
      </c>
      <c r="J90" s="24">
        <f>IFERROR(INDEX(Catalogos!$C$2:$C$9,MATCH(H90,Catalogos!$A$2:$A$9,0)),0)</f>
        <v>128</v>
      </c>
      <c r="K90" s="25">
        <v>0</v>
      </c>
      <c r="L90" s="24">
        <f>IFERROR(INDEX(Catalogos!$D$2:$D$9,MATCH(H90,Catalogos!$A$2:$A$9,0)),0)</f>
        <v>76</v>
      </c>
      <c r="M90" s="22" t="s">
        <v>93</v>
      </c>
      <c r="N90" s="22" t="s">
        <v>74</v>
      </c>
      <c r="O90" s="23">
        <f t="shared" si="16"/>
        <v>2025</v>
      </c>
      <c r="P90" s="23">
        <f t="shared" si="17"/>
        <v>12</v>
      </c>
      <c r="Q90" s="24">
        <f t="shared" si="18"/>
        <v>384</v>
      </c>
      <c r="R90" s="24">
        <f t="shared" si="19"/>
        <v>0</v>
      </c>
      <c r="S90" s="24">
        <f t="shared" si="20"/>
        <v>384</v>
      </c>
      <c r="T90" s="24">
        <f t="shared" si="21"/>
        <v>228</v>
      </c>
      <c r="U90" s="24">
        <f t="shared" si="22"/>
        <v>156</v>
      </c>
      <c r="V90" s="26">
        <f t="shared" si="23"/>
        <v>0.40625</v>
      </c>
    </row>
    <row r="91" spans="1:22" ht="14.25" x14ac:dyDescent="0.2">
      <c r="A91" s="21">
        <v>45994</v>
      </c>
      <c r="B91" s="22" t="s">
        <v>185</v>
      </c>
      <c r="C91" s="22" t="s">
        <v>89</v>
      </c>
      <c r="D91" s="22" t="s">
        <v>12</v>
      </c>
      <c r="E91" s="22" t="s">
        <v>43</v>
      </c>
      <c r="F91" s="22" t="s">
        <v>63</v>
      </c>
      <c r="G91" s="23" t="str">
        <f>IFERROR(INDEX(Catalogos!$B$2:$B$9,MATCH(H91,Catalogos!$A$2:$A$9,0)),"")</f>
        <v>Compostaje</v>
      </c>
      <c r="H91" s="22" t="s">
        <v>77</v>
      </c>
      <c r="I91" s="22">
        <v>3</v>
      </c>
      <c r="J91" s="24">
        <f>IFERROR(INDEX(Catalogos!$C$2:$C$9,MATCH(H91,Catalogos!$A$2:$A$9,0)),0)</f>
        <v>95</v>
      </c>
      <c r="K91" s="25">
        <v>7.0000000000000007E-2</v>
      </c>
      <c r="L91" s="24">
        <f>IFERROR(INDEX(Catalogos!$D$2:$D$9,MATCH(H91,Catalogos!$A$2:$A$9,0)),0)</f>
        <v>51</v>
      </c>
      <c r="M91" s="22" t="s">
        <v>69</v>
      </c>
      <c r="N91" s="22" t="s">
        <v>66</v>
      </c>
      <c r="O91" s="23">
        <f t="shared" si="16"/>
        <v>2025</v>
      </c>
      <c r="P91" s="23">
        <f t="shared" si="17"/>
        <v>12</v>
      </c>
      <c r="Q91" s="24">
        <f t="shared" si="18"/>
        <v>285</v>
      </c>
      <c r="R91" s="24">
        <f t="shared" si="19"/>
        <v>19.950000000000003</v>
      </c>
      <c r="S91" s="24">
        <f t="shared" si="20"/>
        <v>265.05</v>
      </c>
      <c r="T91" s="24">
        <f t="shared" si="21"/>
        <v>153</v>
      </c>
      <c r="U91" s="24">
        <f t="shared" si="22"/>
        <v>112.05000000000001</v>
      </c>
      <c r="V91" s="26">
        <f t="shared" si="23"/>
        <v>0.42275042444821737</v>
      </c>
    </row>
    <row r="92" spans="1:22" ht="14.25" x14ac:dyDescent="0.2">
      <c r="A92" s="21">
        <v>46005</v>
      </c>
      <c r="B92" s="22" t="s">
        <v>186</v>
      </c>
      <c r="C92" s="22" t="s">
        <v>110</v>
      </c>
      <c r="D92" s="22" t="s">
        <v>12</v>
      </c>
      <c r="E92" s="22" t="s">
        <v>42</v>
      </c>
      <c r="F92" s="22" t="s">
        <v>96</v>
      </c>
      <c r="G92" s="23" t="str">
        <f>IFERROR(INDEX(Catalogos!$B$2:$B$9,MATCH(H92,Catalogos!$A$2:$A$9,0)),"")</f>
        <v>Macetas</v>
      </c>
      <c r="H92" s="22" t="s">
        <v>80</v>
      </c>
      <c r="I92" s="22">
        <v>14</v>
      </c>
      <c r="J92" s="24">
        <f>IFERROR(INDEX(Catalogos!$C$2:$C$9,MATCH(H92,Catalogos!$A$2:$A$9,0)),0)</f>
        <v>24</v>
      </c>
      <c r="K92" s="25">
        <v>0.1</v>
      </c>
      <c r="L92" s="24">
        <f>IFERROR(INDEX(Catalogos!$D$2:$D$9,MATCH(H92,Catalogos!$A$2:$A$9,0)),0)</f>
        <v>11.5</v>
      </c>
      <c r="M92" s="22" t="s">
        <v>69</v>
      </c>
      <c r="N92" s="22" t="s">
        <v>107</v>
      </c>
      <c r="O92" s="23">
        <f t="shared" si="16"/>
        <v>2025</v>
      </c>
      <c r="P92" s="23">
        <f t="shared" si="17"/>
        <v>12</v>
      </c>
      <c r="Q92" s="24">
        <f t="shared" si="18"/>
        <v>336</v>
      </c>
      <c r="R92" s="24">
        <f t="shared" si="19"/>
        <v>33.6</v>
      </c>
      <c r="S92" s="24">
        <f t="shared" si="20"/>
        <v>302.39999999999998</v>
      </c>
      <c r="T92" s="24">
        <f t="shared" si="21"/>
        <v>161</v>
      </c>
      <c r="U92" s="24">
        <f t="shared" si="22"/>
        <v>141.39999999999998</v>
      </c>
      <c r="V92" s="26">
        <f t="shared" si="23"/>
        <v>0.46759259259259256</v>
      </c>
    </row>
    <row r="93" spans="1:22" ht="14.25" x14ac:dyDescent="0.2">
      <c r="A93" s="21">
        <v>46012</v>
      </c>
      <c r="B93" s="22" t="s">
        <v>187</v>
      </c>
      <c r="C93" s="22" t="s">
        <v>62</v>
      </c>
      <c r="D93" s="22" t="s">
        <v>12</v>
      </c>
      <c r="E93" s="22" t="s">
        <v>43</v>
      </c>
      <c r="F93" s="22" t="s">
        <v>82</v>
      </c>
      <c r="G93" s="23" t="str">
        <f>IFERROR(INDEX(Catalogos!$B$2:$B$9,MATCH(H93,Catalogos!$A$2:$A$9,0)),"")</f>
        <v>Compostaje</v>
      </c>
      <c r="H93" s="22" t="s">
        <v>77</v>
      </c>
      <c r="I93" s="22">
        <v>8</v>
      </c>
      <c r="J93" s="24">
        <f>IFERROR(INDEX(Catalogos!$C$2:$C$9,MATCH(H93,Catalogos!$A$2:$A$9,0)),0)</f>
        <v>95</v>
      </c>
      <c r="K93" s="25">
        <v>0.1</v>
      </c>
      <c r="L93" s="24">
        <f>IFERROR(INDEX(Catalogos!$D$2:$D$9,MATCH(H93,Catalogos!$A$2:$A$9,0)),0)</f>
        <v>51</v>
      </c>
      <c r="M93" s="22" t="s">
        <v>69</v>
      </c>
      <c r="N93" s="22" t="s">
        <v>107</v>
      </c>
      <c r="O93" s="23">
        <f t="shared" si="16"/>
        <v>2025</v>
      </c>
      <c r="P93" s="23">
        <f t="shared" si="17"/>
        <v>12</v>
      </c>
      <c r="Q93" s="24">
        <f t="shared" si="18"/>
        <v>760</v>
      </c>
      <c r="R93" s="24">
        <f t="shared" si="19"/>
        <v>76</v>
      </c>
      <c r="S93" s="24">
        <f t="shared" si="20"/>
        <v>684</v>
      </c>
      <c r="T93" s="24">
        <f t="shared" si="21"/>
        <v>408</v>
      </c>
      <c r="U93" s="24">
        <f t="shared" si="22"/>
        <v>276</v>
      </c>
      <c r="V93" s="26">
        <f t="shared" si="23"/>
        <v>0.40350877192982454</v>
      </c>
    </row>
    <row r="94" spans="1:22" ht="14.25" x14ac:dyDescent="0.2">
      <c r="A94" s="21">
        <v>46011</v>
      </c>
      <c r="B94" s="22" t="s">
        <v>188</v>
      </c>
      <c r="C94" s="22" t="s">
        <v>132</v>
      </c>
      <c r="D94" s="22" t="s">
        <v>9</v>
      </c>
      <c r="E94" s="22" t="s">
        <v>42</v>
      </c>
      <c r="F94" s="22" t="s">
        <v>63</v>
      </c>
      <c r="G94" s="23" t="str">
        <f>IFERROR(INDEX(Catalogos!$B$2:$B$9,MATCH(H94,Catalogos!$A$2:$A$9,0)),"")</f>
        <v>Semillas</v>
      </c>
      <c r="H94" s="22" t="s">
        <v>64</v>
      </c>
      <c r="I94" s="22">
        <v>6</v>
      </c>
      <c r="J94" s="24">
        <f>IFERROR(INDEX(Catalogos!$C$2:$C$9,MATCH(H94,Catalogos!$A$2:$A$9,0)),0)</f>
        <v>14</v>
      </c>
      <c r="K94" s="25">
        <v>0</v>
      </c>
      <c r="L94" s="24">
        <f>IFERROR(INDEX(Catalogos!$D$2:$D$9,MATCH(H94,Catalogos!$A$2:$A$9,0)),0)</f>
        <v>4.5</v>
      </c>
      <c r="M94" s="22" t="s">
        <v>65</v>
      </c>
      <c r="N94" s="22" t="s">
        <v>66</v>
      </c>
      <c r="O94" s="23">
        <f t="shared" si="16"/>
        <v>2025</v>
      </c>
      <c r="P94" s="23">
        <f t="shared" si="17"/>
        <v>12</v>
      </c>
      <c r="Q94" s="24">
        <f t="shared" si="18"/>
        <v>84</v>
      </c>
      <c r="R94" s="24">
        <f t="shared" si="19"/>
        <v>0</v>
      </c>
      <c r="S94" s="24">
        <f t="shared" si="20"/>
        <v>84</v>
      </c>
      <c r="T94" s="24">
        <f t="shared" si="21"/>
        <v>27</v>
      </c>
      <c r="U94" s="24">
        <f t="shared" si="22"/>
        <v>57</v>
      </c>
      <c r="V94" s="26">
        <f t="shared" si="23"/>
        <v>0.6785714285714286</v>
      </c>
    </row>
    <row r="95" spans="1:22" ht="14.25" x14ac:dyDescent="0.2">
      <c r="A95" s="21">
        <v>46004</v>
      </c>
      <c r="B95" s="22" t="s">
        <v>189</v>
      </c>
      <c r="C95" s="22" t="s">
        <v>87</v>
      </c>
      <c r="D95" s="22" t="s">
        <v>12</v>
      </c>
      <c r="E95" s="22" t="s">
        <v>42</v>
      </c>
      <c r="F95" s="22" t="s">
        <v>82</v>
      </c>
      <c r="G95" s="23" t="str">
        <f>IFERROR(INDEX(Catalogos!$B$2:$B$9,MATCH(H95,Catalogos!$A$2:$A$9,0)),"")</f>
        <v>Kits</v>
      </c>
      <c r="H95" s="22" t="s">
        <v>73</v>
      </c>
      <c r="I95" s="22">
        <v>4</v>
      </c>
      <c r="J95" s="24">
        <f>IFERROR(INDEX(Catalogos!$C$2:$C$9,MATCH(H95,Catalogos!$A$2:$A$9,0)),0)</f>
        <v>79</v>
      </c>
      <c r="K95" s="25">
        <v>0</v>
      </c>
      <c r="L95" s="24">
        <f>IFERROR(INDEX(Catalogos!$D$2:$D$9,MATCH(H95,Catalogos!$A$2:$A$9,0)),0)</f>
        <v>42</v>
      </c>
      <c r="M95" s="22" t="s">
        <v>93</v>
      </c>
      <c r="N95" s="22" t="s">
        <v>66</v>
      </c>
      <c r="O95" s="23">
        <f t="shared" si="16"/>
        <v>2025</v>
      </c>
      <c r="P95" s="23">
        <f t="shared" si="17"/>
        <v>12</v>
      </c>
      <c r="Q95" s="24">
        <f t="shared" si="18"/>
        <v>316</v>
      </c>
      <c r="R95" s="24">
        <f t="shared" si="19"/>
        <v>0</v>
      </c>
      <c r="S95" s="24">
        <f t="shared" si="20"/>
        <v>316</v>
      </c>
      <c r="T95" s="24">
        <f t="shared" si="21"/>
        <v>168</v>
      </c>
      <c r="U95" s="24">
        <f t="shared" si="22"/>
        <v>148</v>
      </c>
      <c r="V95" s="26">
        <f t="shared" si="23"/>
        <v>0.46835443037974683</v>
      </c>
    </row>
    <row r="96" spans="1:22" ht="14.25" x14ac:dyDescent="0.2">
      <c r="A96" s="21">
        <v>46008</v>
      </c>
      <c r="B96" s="22" t="s">
        <v>190</v>
      </c>
      <c r="C96" s="22" t="s">
        <v>100</v>
      </c>
      <c r="D96" s="22" t="s">
        <v>12</v>
      </c>
      <c r="E96" s="22" t="s">
        <v>42</v>
      </c>
      <c r="F96" s="22" t="s">
        <v>82</v>
      </c>
      <c r="G96" s="23" t="str">
        <f>IFERROR(INDEX(Catalogos!$B$2:$B$9,MATCH(H96,Catalogos!$A$2:$A$9,0)),"")</f>
        <v>Mobiliario</v>
      </c>
      <c r="H96" s="22" t="s">
        <v>85</v>
      </c>
      <c r="I96" s="22">
        <v>6</v>
      </c>
      <c r="J96" s="24">
        <f>IFERROR(INDEX(Catalogos!$C$2:$C$9,MATCH(H96,Catalogos!$A$2:$A$9,0)),0)</f>
        <v>128</v>
      </c>
      <c r="K96" s="25">
        <v>0</v>
      </c>
      <c r="L96" s="24">
        <f>IFERROR(INDEX(Catalogos!$D$2:$D$9,MATCH(H96,Catalogos!$A$2:$A$9,0)),0)</f>
        <v>76</v>
      </c>
      <c r="M96" s="22" t="s">
        <v>93</v>
      </c>
      <c r="N96" s="22" t="s">
        <v>66</v>
      </c>
      <c r="O96" s="23">
        <f t="shared" si="16"/>
        <v>2025</v>
      </c>
      <c r="P96" s="23">
        <f t="shared" si="17"/>
        <v>12</v>
      </c>
      <c r="Q96" s="24">
        <f t="shared" si="18"/>
        <v>768</v>
      </c>
      <c r="R96" s="24">
        <f t="shared" si="19"/>
        <v>0</v>
      </c>
      <c r="S96" s="24">
        <f t="shared" si="20"/>
        <v>768</v>
      </c>
      <c r="T96" s="24">
        <f t="shared" si="21"/>
        <v>456</v>
      </c>
      <c r="U96" s="24">
        <f t="shared" si="22"/>
        <v>312</v>
      </c>
      <c r="V96" s="26">
        <f t="shared" si="23"/>
        <v>0.40625</v>
      </c>
    </row>
    <row r="97" spans="1:22" ht="14.25" x14ac:dyDescent="0.2">
      <c r="A97" s="21">
        <v>46009</v>
      </c>
      <c r="B97" s="22" t="s">
        <v>191</v>
      </c>
      <c r="C97" s="22" t="s">
        <v>123</v>
      </c>
      <c r="D97" s="22" t="s">
        <v>7</v>
      </c>
      <c r="E97" s="22" t="s">
        <v>43</v>
      </c>
      <c r="F97" s="22" t="s">
        <v>96</v>
      </c>
      <c r="G97" s="23" t="str">
        <f>IFERROR(INDEX(Catalogos!$B$2:$B$9,MATCH(H97,Catalogos!$A$2:$A$9,0)),"")</f>
        <v>Kits</v>
      </c>
      <c r="H97" s="22" t="s">
        <v>73</v>
      </c>
      <c r="I97" s="22">
        <v>1</v>
      </c>
      <c r="J97" s="24">
        <f>IFERROR(INDEX(Catalogos!$C$2:$C$9,MATCH(H97,Catalogos!$A$2:$A$9,0)),0)</f>
        <v>79</v>
      </c>
      <c r="K97" s="25">
        <v>0.05</v>
      </c>
      <c r="L97" s="24">
        <f>IFERROR(INDEX(Catalogos!$D$2:$D$9,MATCH(H97,Catalogos!$A$2:$A$9,0)),0)</f>
        <v>42</v>
      </c>
      <c r="M97" s="22" t="s">
        <v>65</v>
      </c>
      <c r="N97" s="22" t="s">
        <v>66</v>
      </c>
      <c r="O97" s="23">
        <f t="shared" si="16"/>
        <v>2025</v>
      </c>
      <c r="P97" s="23">
        <f t="shared" si="17"/>
        <v>12</v>
      </c>
      <c r="Q97" s="24">
        <f t="shared" si="18"/>
        <v>79</v>
      </c>
      <c r="R97" s="24">
        <f t="shared" si="19"/>
        <v>3.95</v>
      </c>
      <c r="S97" s="24">
        <f t="shared" si="20"/>
        <v>75.05</v>
      </c>
      <c r="T97" s="24">
        <f t="shared" si="21"/>
        <v>42</v>
      </c>
      <c r="U97" s="24">
        <f t="shared" si="22"/>
        <v>33.049999999999997</v>
      </c>
      <c r="V97" s="26">
        <f t="shared" si="23"/>
        <v>0.44037308461025981</v>
      </c>
    </row>
    <row r="98" spans="1:22" ht="14.25" x14ac:dyDescent="0.2">
      <c r="A98" s="21">
        <v>46045</v>
      </c>
      <c r="B98" s="22" t="s">
        <v>192</v>
      </c>
      <c r="C98" s="22" t="s">
        <v>76</v>
      </c>
      <c r="D98" s="22" t="s">
        <v>12</v>
      </c>
      <c r="E98" s="22" t="s">
        <v>43</v>
      </c>
      <c r="F98" s="22" t="s">
        <v>96</v>
      </c>
      <c r="G98" s="23" t="str">
        <f>IFERROR(INDEX(Catalogos!$B$2:$B$9,MATCH(H98,Catalogos!$A$2:$A$9,0)),"")</f>
        <v>Kits</v>
      </c>
      <c r="H98" s="22" t="s">
        <v>73</v>
      </c>
      <c r="I98" s="22">
        <v>2</v>
      </c>
      <c r="J98" s="24">
        <f>IFERROR(INDEX(Catalogos!$C$2:$C$9,MATCH(H98,Catalogos!$A$2:$A$9,0)),0)</f>
        <v>79</v>
      </c>
      <c r="K98" s="25">
        <v>0</v>
      </c>
      <c r="L98" s="24">
        <f>IFERROR(INDEX(Catalogos!$D$2:$D$9,MATCH(H98,Catalogos!$A$2:$A$9,0)),0)</f>
        <v>42</v>
      </c>
      <c r="M98" s="22" t="s">
        <v>65</v>
      </c>
      <c r="N98" s="22" t="s">
        <v>74</v>
      </c>
      <c r="O98" s="23">
        <f t="shared" ref="O98:O133" si="24">YEAR(A98)</f>
        <v>2026</v>
      </c>
      <c r="P98" s="23">
        <f t="shared" ref="P98:P133" si="25">MONTH(A98)</f>
        <v>1</v>
      </c>
      <c r="Q98" s="24">
        <f t="shared" ref="Q98:Q133" si="26">I98*J98</f>
        <v>158</v>
      </c>
      <c r="R98" s="24">
        <f t="shared" ref="R98:R129" si="27">Q98*K98</f>
        <v>0</v>
      </c>
      <c r="S98" s="24">
        <f t="shared" ref="S98:S129" si="28">Q98-R98</f>
        <v>158</v>
      </c>
      <c r="T98" s="24">
        <f t="shared" ref="T98:T133" si="29">I98*L98</f>
        <v>84</v>
      </c>
      <c r="U98" s="24">
        <f t="shared" ref="U98:U129" si="30">S98-T98</f>
        <v>74</v>
      </c>
      <c r="V98" s="26">
        <f t="shared" ref="V98:V129" si="31">IFERROR(U98/S98,0)</f>
        <v>0.46835443037974683</v>
      </c>
    </row>
    <row r="99" spans="1:22" ht="14.25" x14ac:dyDescent="0.2">
      <c r="A99" s="21">
        <v>46025</v>
      </c>
      <c r="B99" s="22" t="s">
        <v>193</v>
      </c>
      <c r="C99" s="22" t="s">
        <v>87</v>
      </c>
      <c r="D99" s="22" t="s">
        <v>9</v>
      </c>
      <c r="E99" s="22" t="s">
        <v>45</v>
      </c>
      <c r="F99" s="22" t="s">
        <v>72</v>
      </c>
      <c r="G99" s="23" t="str">
        <f>IFERROR(INDEX(Catalogos!$B$2:$B$9,MATCH(H99,Catalogos!$A$2:$A$9,0)),"")</f>
        <v>Macetas</v>
      </c>
      <c r="H99" s="22" t="s">
        <v>120</v>
      </c>
      <c r="I99" s="22">
        <v>6</v>
      </c>
      <c r="J99" s="24">
        <f>IFERROR(INDEX(Catalogos!$C$2:$C$9,MATCH(H99,Catalogos!$A$2:$A$9,0)),0)</f>
        <v>42</v>
      </c>
      <c r="K99" s="25">
        <v>0.05</v>
      </c>
      <c r="L99" s="24">
        <f>IFERROR(INDEX(Catalogos!$D$2:$D$9,MATCH(H99,Catalogos!$A$2:$A$9,0)),0)</f>
        <v>21</v>
      </c>
      <c r="M99" s="22" t="s">
        <v>93</v>
      </c>
      <c r="N99" s="22" t="s">
        <v>74</v>
      </c>
      <c r="O99" s="23">
        <f t="shared" si="24"/>
        <v>2026</v>
      </c>
      <c r="P99" s="23">
        <f t="shared" si="25"/>
        <v>1</v>
      </c>
      <c r="Q99" s="24">
        <f t="shared" si="26"/>
        <v>252</v>
      </c>
      <c r="R99" s="24">
        <f t="shared" si="27"/>
        <v>12.600000000000001</v>
      </c>
      <c r="S99" s="24">
        <f t="shared" si="28"/>
        <v>239.4</v>
      </c>
      <c r="T99" s="24">
        <f t="shared" si="29"/>
        <v>126</v>
      </c>
      <c r="U99" s="24">
        <f t="shared" si="30"/>
        <v>113.4</v>
      </c>
      <c r="V99" s="26">
        <f t="shared" si="31"/>
        <v>0.47368421052631582</v>
      </c>
    </row>
    <row r="100" spans="1:22" ht="14.25" x14ac:dyDescent="0.2">
      <c r="A100" s="21">
        <v>46026</v>
      </c>
      <c r="B100" s="22" t="s">
        <v>194</v>
      </c>
      <c r="C100" s="22" t="s">
        <v>87</v>
      </c>
      <c r="D100" s="22" t="s">
        <v>7</v>
      </c>
      <c r="E100" s="22" t="s">
        <v>42</v>
      </c>
      <c r="F100" s="22" t="s">
        <v>63</v>
      </c>
      <c r="G100" s="23" t="str">
        <f>IFERROR(INDEX(Catalogos!$B$2:$B$9,MATCH(H100,Catalogos!$A$2:$A$9,0)),"")</f>
        <v>Macetas</v>
      </c>
      <c r="H100" s="22" t="s">
        <v>80</v>
      </c>
      <c r="I100" s="22">
        <v>8</v>
      </c>
      <c r="J100" s="24">
        <f>IFERROR(INDEX(Catalogos!$C$2:$C$9,MATCH(H100,Catalogos!$A$2:$A$9,0)),0)</f>
        <v>24</v>
      </c>
      <c r="K100" s="25">
        <v>0</v>
      </c>
      <c r="L100" s="24">
        <f>IFERROR(INDEX(Catalogos!$D$2:$D$9,MATCH(H100,Catalogos!$A$2:$A$9,0)),0)</f>
        <v>11.5</v>
      </c>
      <c r="M100" s="22" t="s">
        <v>69</v>
      </c>
      <c r="N100" s="22" t="s">
        <v>66</v>
      </c>
      <c r="O100" s="23">
        <f t="shared" si="24"/>
        <v>2026</v>
      </c>
      <c r="P100" s="23">
        <f t="shared" si="25"/>
        <v>1</v>
      </c>
      <c r="Q100" s="24">
        <f t="shared" si="26"/>
        <v>192</v>
      </c>
      <c r="R100" s="24">
        <f t="shared" si="27"/>
        <v>0</v>
      </c>
      <c r="S100" s="24">
        <f t="shared" si="28"/>
        <v>192</v>
      </c>
      <c r="T100" s="24">
        <f t="shared" si="29"/>
        <v>92</v>
      </c>
      <c r="U100" s="24">
        <f t="shared" si="30"/>
        <v>100</v>
      </c>
      <c r="V100" s="26">
        <f t="shared" si="31"/>
        <v>0.52083333333333337</v>
      </c>
    </row>
    <row r="101" spans="1:22" ht="14.25" x14ac:dyDescent="0.2">
      <c r="A101" s="21">
        <v>46048</v>
      </c>
      <c r="B101" s="22" t="s">
        <v>195</v>
      </c>
      <c r="C101" s="22" t="s">
        <v>91</v>
      </c>
      <c r="D101" s="22" t="s">
        <v>12</v>
      </c>
      <c r="E101" s="22" t="s">
        <v>45</v>
      </c>
      <c r="F101" s="22" t="s">
        <v>63</v>
      </c>
      <c r="G101" s="23" t="str">
        <f>IFERROR(INDEX(Catalogos!$B$2:$B$9,MATCH(H101,Catalogos!$A$2:$A$9,0)),"")</f>
        <v>Semillas</v>
      </c>
      <c r="H101" s="22" t="s">
        <v>64</v>
      </c>
      <c r="I101" s="22">
        <v>7</v>
      </c>
      <c r="J101" s="24">
        <f>IFERROR(INDEX(Catalogos!$C$2:$C$9,MATCH(H101,Catalogos!$A$2:$A$9,0)),0)</f>
        <v>14</v>
      </c>
      <c r="K101" s="25">
        <v>0</v>
      </c>
      <c r="L101" s="24">
        <f>IFERROR(INDEX(Catalogos!$D$2:$D$9,MATCH(H101,Catalogos!$A$2:$A$9,0)),0)</f>
        <v>4.5</v>
      </c>
      <c r="M101" s="22" t="s">
        <v>78</v>
      </c>
      <c r="N101" s="22" t="s">
        <v>107</v>
      </c>
      <c r="O101" s="23">
        <f t="shared" si="24"/>
        <v>2026</v>
      </c>
      <c r="P101" s="23">
        <f t="shared" si="25"/>
        <v>1</v>
      </c>
      <c r="Q101" s="24">
        <f t="shared" si="26"/>
        <v>98</v>
      </c>
      <c r="R101" s="24">
        <f t="shared" si="27"/>
        <v>0</v>
      </c>
      <c r="S101" s="24">
        <f t="shared" si="28"/>
        <v>98</v>
      </c>
      <c r="T101" s="24">
        <f t="shared" si="29"/>
        <v>31.5</v>
      </c>
      <c r="U101" s="24">
        <f t="shared" si="30"/>
        <v>66.5</v>
      </c>
      <c r="V101" s="26">
        <f t="shared" si="31"/>
        <v>0.6785714285714286</v>
      </c>
    </row>
    <row r="102" spans="1:22" ht="14.25" x14ac:dyDescent="0.2">
      <c r="A102" s="21">
        <v>46035</v>
      </c>
      <c r="B102" s="22" t="s">
        <v>196</v>
      </c>
      <c r="C102" s="22" t="s">
        <v>105</v>
      </c>
      <c r="D102" s="22" t="s">
        <v>12</v>
      </c>
      <c r="E102" s="22" t="s">
        <v>44</v>
      </c>
      <c r="F102" s="22" t="s">
        <v>96</v>
      </c>
      <c r="G102" s="23" t="str">
        <f>IFERROR(INDEX(Catalogos!$B$2:$B$9,MATCH(H102,Catalogos!$A$2:$A$9,0)),"")</f>
        <v>Mobiliario</v>
      </c>
      <c r="H102" s="22" t="s">
        <v>85</v>
      </c>
      <c r="I102" s="22">
        <v>8</v>
      </c>
      <c r="J102" s="24">
        <f>IFERROR(INDEX(Catalogos!$C$2:$C$9,MATCH(H102,Catalogos!$A$2:$A$9,0)),0)</f>
        <v>128</v>
      </c>
      <c r="K102" s="25">
        <v>0</v>
      </c>
      <c r="L102" s="24">
        <f>IFERROR(INDEX(Catalogos!$D$2:$D$9,MATCH(H102,Catalogos!$A$2:$A$9,0)),0)</f>
        <v>76</v>
      </c>
      <c r="M102" s="22" t="s">
        <v>93</v>
      </c>
      <c r="N102" s="22" t="s">
        <v>66</v>
      </c>
      <c r="O102" s="23">
        <f t="shared" si="24"/>
        <v>2026</v>
      </c>
      <c r="P102" s="23">
        <f t="shared" si="25"/>
        <v>1</v>
      </c>
      <c r="Q102" s="24">
        <f t="shared" si="26"/>
        <v>1024</v>
      </c>
      <c r="R102" s="24">
        <f t="shared" si="27"/>
        <v>0</v>
      </c>
      <c r="S102" s="24">
        <f t="shared" si="28"/>
        <v>1024</v>
      </c>
      <c r="T102" s="24">
        <f t="shared" si="29"/>
        <v>608</v>
      </c>
      <c r="U102" s="24">
        <f t="shared" si="30"/>
        <v>416</v>
      </c>
      <c r="V102" s="26">
        <f t="shared" si="31"/>
        <v>0.40625</v>
      </c>
    </row>
    <row r="103" spans="1:22" ht="14.25" x14ac:dyDescent="0.2">
      <c r="A103" s="21">
        <v>46045</v>
      </c>
      <c r="B103" s="22" t="s">
        <v>197</v>
      </c>
      <c r="C103" s="22" t="s">
        <v>71</v>
      </c>
      <c r="D103" s="22" t="s">
        <v>12</v>
      </c>
      <c r="E103" s="22" t="s">
        <v>42</v>
      </c>
      <c r="F103" s="22" t="s">
        <v>96</v>
      </c>
      <c r="G103" s="23" t="str">
        <f>IFERROR(INDEX(Catalogos!$B$2:$B$9,MATCH(H103,Catalogos!$A$2:$A$9,0)),"")</f>
        <v>Semillas</v>
      </c>
      <c r="H103" s="22" t="s">
        <v>64</v>
      </c>
      <c r="I103" s="22">
        <v>6</v>
      </c>
      <c r="J103" s="24">
        <f>IFERROR(INDEX(Catalogos!$C$2:$C$9,MATCH(H103,Catalogos!$A$2:$A$9,0)),0)</f>
        <v>14</v>
      </c>
      <c r="K103" s="25">
        <v>0.03</v>
      </c>
      <c r="L103" s="24">
        <f>IFERROR(INDEX(Catalogos!$D$2:$D$9,MATCH(H103,Catalogos!$A$2:$A$9,0)),0)</f>
        <v>4.5</v>
      </c>
      <c r="M103" s="22" t="s">
        <v>69</v>
      </c>
      <c r="N103" s="22" t="s">
        <v>66</v>
      </c>
      <c r="O103" s="23">
        <f t="shared" si="24"/>
        <v>2026</v>
      </c>
      <c r="P103" s="23">
        <f t="shared" si="25"/>
        <v>1</v>
      </c>
      <c r="Q103" s="24">
        <f t="shared" si="26"/>
        <v>84</v>
      </c>
      <c r="R103" s="24">
        <f t="shared" si="27"/>
        <v>2.52</v>
      </c>
      <c r="S103" s="24">
        <f t="shared" si="28"/>
        <v>81.48</v>
      </c>
      <c r="T103" s="24">
        <f t="shared" si="29"/>
        <v>27</v>
      </c>
      <c r="U103" s="24">
        <f t="shared" si="30"/>
        <v>54.480000000000004</v>
      </c>
      <c r="V103" s="26">
        <f t="shared" si="31"/>
        <v>0.66863033873343158</v>
      </c>
    </row>
    <row r="104" spans="1:22" ht="14.25" x14ac:dyDescent="0.2">
      <c r="A104" s="21">
        <v>46037</v>
      </c>
      <c r="B104" s="22" t="s">
        <v>198</v>
      </c>
      <c r="C104" s="22" t="s">
        <v>87</v>
      </c>
      <c r="D104" s="22" t="s">
        <v>7</v>
      </c>
      <c r="E104" s="22" t="s">
        <v>42</v>
      </c>
      <c r="F104" s="22" t="s">
        <v>72</v>
      </c>
      <c r="G104" s="23" t="str">
        <f>IFERROR(INDEX(Catalogos!$B$2:$B$9,MATCH(H104,Catalogos!$A$2:$A$9,0)),"")</f>
        <v>Kits</v>
      </c>
      <c r="H104" s="22" t="s">
        <v>73</v>
      </c>
      <c r="I104" s="22">
        <v>7</v>
      </c>
      <c r="J104" s="24">
        <f>IFERROR(INDEX(Catalogos!$C$2:$C$9,MATCH(H104,Catalogos!$A$2:$A$9,0)),0)</f>
        <v>79</v>
      </c>
      <c r="K104" s="25">
        <v>7.0000000000000007E-2</v>
      </c>
      <c r="L104" s="24">
        <f>IFERROR(INDEX(Catalogos!$D$2:$D$9,MATCH(H104,Catalogos!$A$2:$A$9,0)),0)</f>
        <v>42</v>
      </c>
      <c r="M104" s="22" t="s">
        <v>78</v>
      </c>
      <c r="N104" s="22" t="s">
        <v>66</v>
      </c>
      <c r="O104" s="23">
        <f t="shared" si="24"/>
        <v>2026</v>
      </c>
      <c r="P104" s="23">
        <f t="shared" si="25"/>
        <v>1</v>
      </c>
      <c r="Q104" s="24">
        <f t="shared" si="26"/>
        <v>553</v>
      </c>
      <c r="R104" s="24">
        <f t="shared" si="27"/>
        <v>38.71</v>
      </c>
      <c r="S104" s="24">
        <f t="shared" si="28"/>
        <v>514.29</v>
      </c>
      <c r="T104" s="24">
        <f t="shared" si="29"/>
        <v>294</v>
      </c>
      <c r="U104" s="24">
        <f t="shared" si="30"/>
        <v>220.28999999999996</v>
      </c>
      <c r="V104" s="26">
        <f t="shared" si="31"/>
        <v>0.42833809718252341</v>
      </c>
    </row>
    <row r="105" spans="1:22" ht="14.25" x14ac:dyDescent="0.2">
      <c r="A105" s="21">
        <v>46037</v>
      </c>
      <c r="B105" s="22" t="s">
        <v>199</v>
      </c>
      <c r="C105" s="22" t="s">
        <v>123</v>
      </c>
      <c r="D105" s="22" t="s">
        <v>16</v>
      </c>
      <c r="E105" s="22" t="s">
        <v>42</v>
      </c>
      <c r="F105" s="22" t="s">
        <v>96</v>
      </c>
      <c r="G105" s="23" t="str">
        <f>IFERROR(INDEX(Catalogos!$B$2:$B$9,MATCH(H105,Catalogos!$A$2:$A$9,0)),"")</f>
        <v>Macetas</v>
      </c>
      <c r="H105" s="22" t="s">
        <v>80</v>
      </c>
      <c r="I105" s="22">
        <v>6</v>
      </c>
      <c r="J105" s="24">
        <f>IFERROR(INDEX(Catalogos!$C$2:$C$9,MATCH(H105,Catalogos!$A$2:$A$9,0)),0)</f>
        <v>24</v>
      </c>
      <c r="K105" s="25">
        <v>0.03</v>
      </c>
      <c r="L105" s="24">
        <f>IFERROR(INDEX(Catalogos!$D$2:$D$9,MATCH(H105,Catalogos!$A$2:$A$9,0)),0)</f>
        <v>11.5</v>
      </c>
      <c r="M105" s="22" t="s">
        <v>65</v>
      </c>
      <c r="N105" s="22" t="s">
        <v>74</v>
      </c>
      <c r="O105" s="23">
        <f t="shared" si="24"/>
        <v>2026</v>
      </c>
      <c r="P105" s="23">
        <f t="shared" si="25"/>
        <v>1</v>
      </c>
      <c r="Q105" s="24">
        <f t="shared" si="26"/>
        <v>144</v>
      </c>
      <c r="R105" s="24">
        <f t="shared" si="27"/>
        <v>4.32</v>
      </c>
      <c r="S105" s="24">
        <f t="shared" si="28"/>
        <v>139.68</v>
      </c>
      <c r="T105" s="24">
        <f t="shared" si="29"/>
        <v>69</v>
      </c>
      <c r="U105" s="24">
        <f t="shared" si="30"/>
        <v>70.680000000000007</v>
      </c>
      <c r="V105" s="26">
        <f t="shared" si="31"/>
        <v>0.50601374570446733</v>
      </c>
    </row>
    <row r="106" spans="1:22" ht="14.25" x14ac:dyDescent="0.2">
      <c r="A106" s="21">
        <v>46026</v>
      </c>
      <c r="B106" s="22" t="s">
        <v>200</v>
      </c>
      <c r="C106" s="22" t="s">
        <v>100</v>
      </c>
      <c r="D106" s="22" t="s">
        <v>7</v>
      </c>
      <c r="E106" s="22" t="s">
        <v>45</v>
      </c>
      <c r="F106" s="22" t="s">
        <v>63</v>
      </c>
      <c r="G106" s="23" t="str">
        <f>IFERROR(INDEX(Catalogos!$B$2:$B$9,MATCH(H106,Catalogos!$A$2:$A$9,0)),"")</f>
        <v>Macetas</v>
      </c>
      <c r="H106" s="22" t="s">
        <v>80</v>
      </c>
      <c r="I106" s="22">
        <v>7</v>
      </c>
      <c r="J106" s="24">
        <f>IFERROR(INDEX(Catalogos!$C$2:$C$9,MATCH(H106,Catalogos!$A$2:$A$9,0)),0)</f>
        <v>24</v>
      </c>
      <c r="K106" s="25">
        <v>0</v>
      </c>
      <c r="L106" s="24">
        <f>IFERROR(INDEX(Catalogos!$D$2:$D$9,MATCH(H106,Catalogos!$A$2:$A$9,0)),0)</f>
        <v>11.5</v>
      </c>
      <c r="M106" s="22" t="s">
        <v>69</v>
      </c>
      <c r="N106" s="22" t="s">
        <v>66</v>
      </c>
      <c r="O106" s="23">
        <f t="shared" si="24"/>
        <v>2026</v>
      </c>
      <c r="P106" s="23">
        <f t="shared" si="25"/>
        <v>1</v>
      </c>
      <c r="Q106" s="24">
        <f t="shared" si="26"/>
        <v>168</v>
      </c>
      <c r="R106" s="24">
        <f t="shared" si="27"/>
        <v>0</v>
      </c>
      <c r="S106" s="24">
        <f t="shared" si="28"/>
        <v>168</v>
      </c>
      <c r="T106" s="24">
        <f t="shared" si="29"/>
        <v>80.5</v>
      </c>
      <c r="U106" s="24">
        <f t="shared" si="30"/>
        <v>87.5</v>
      </c>
      <c r="V106" s="26">
        <f t="shared" si="31"/>
        <v>0.52083333333333337</v>
      </c>
    </row>
    <row r="107" spans="1:22" ht="14.25" x14ac:dyDescent="0.2">
      <c r="A107" s="21">
        <v>46074</v>
      </c>
      <c r="B107" s="22" t="s">
        <v>201</v>
      </c>
      <c r="C107" s="22" t="s">
        <v>95</v>
      </c>
      <c r="D107" s="22" t="s">
        <v>12</v>
      </c>
      <c r="E107" s="22" t="s">
        <v>42</v>
      </c>
      <c r="F107" s="22" t="s">
        <v>72</v>
      </c>
      <c r="G107" s="23" t="str">
        <f>IFERROR(INDEX(Catalogos!$B$2:$B$9,MATCH(H107,Catalogos!$A$2:$A$9,0)),"")</f>
        <v>Macetas</v>
      </c>
      <c r="H107" s="22" t="s">
        <v>120</v>
      </c>
      <c r="I107" s="22">
        <v>8</v>
      </c>
      <c r="J107" s="24">
        <f>IFERROR(INDEX(Catalogos!$C$2:$C$9,MATCH(H107,Catalogos!$A$2:$A$9,0)),0)</f>
        <v>42</v>
      </c>
      <c r="K107" s="25">
        <v>0.03</v>
      </c>
      <c r="L107" s="24">
        <f>IFERROR(INDEX(Catalogos!$D$2:$D$9,MATCH(H107,Catalogos!$A$2:$A$9,0)),0)</f>
        <v>21</v>
      </c>
      <c r="M107" s="22" t="s">
        <v>69</v>
      </c>
      <c r="N107" s="22" t="s">
        <v>107</v>
      </c>
      <c r="O107" s="23">
        <f t="shared" si="24"/>
        <v>2026</v>
      </c>
      <c r="P107" s="23">
        <f t="shared" si="25"/>
        <v>2</v>
      </c>
      <c r="Q107" s="24">
        <f t="shared" si="26"/>
        <v>336</v>
      </c>
      <c r="R107" s="24">
        <f t="shared" si="27"/>
        <v>10.08</v>
      </c>
      <c r="S107" s="24">
        <f t="shared" si="28"/>
        <v>325.92</v>
      </c>
      <c r="T107" s="24">
        <f t="shared" si="29"/>
        <v>168</v>
      </c>
      <c r="U107" s="24">
        <f t="shared" si="30"/>
        <v>157.92000000000002</v>
      </c>
      <c r="V107" s="26">
        <f t="shared" si="31"/>
        <v>0.4845360824742268</v>
      </c>
    </row>
    <row r="108" spans="1:22" ht="14.25" x14ac:dyDescent="0.2">
      <c r="A108" s="21">
        <v>46070</v>
      </c>
      <c r="B108" s="22" t="s">
        <v>202</v>
      </c>
      <c r="C108" s="22" t="s">
        <v>68</v>
      </c>
      <c r="D108" s="22" t="s">
        <v>9</v>
      </c>
      <c r="E108" s="22" t="s">
        <v>43</v>
      </c>
      <c r="F108" s="22" t="s">
        <v>72</v>
      </c>
      <c r="G108" s="23" t="str">
        <f>IFERROR(INDEX(Catalogos!$B$2:$B$9,MATCH(H108,Catalogos!$A$2:$A$9,0)),"")</f>
        <v>Macetas</v>
      </c>
      <c r="H108" s="22" t="s">
        <v>80</v>
      </c>
      <c r="I108" s="22">
        <v>8</v>
      </c>
      <c r="J108" s="24">
        <f>IFERROR(INDEX(Catalogos!$C$2:$C$9,MATCH(H108,Catalogos!$A$2:$A$9,0)),0)</f>
        <v>24</v>
      </c>
      <c r="K108" s="25">
        <v>0</v>
      </c>
      <c r="L108" s="24">
        <f>IFERROR(INDEX(Catalogos!$D$2:$D$9,MATCH(H108,Catalogos!$A$2:$A$9,0)),0)</f>
        <v>11.5</v>
      </c>
      <c r="M108" s="22" t="s">
        <v>69</v>
      </c>
      <c r="N108" s="22" t="s">
        <v>74</v>
      </c>
      <c r="O108" s="23">
        <f t="shared" si="24"/>
        <v>2026</v>
      </c>
      <c r="P108" s="23">
        <f t="shared" si="25"/>
        <v>2</v>
      </c>
      <c r="Q108" s="24">
        <f t="shared" si="26"/>
        <v>192</v>
      </c>
      <c r="R108" s="24">
        <f t="shared" si="27"/>
        <v>0</v>
      </c>
      <c r="S108" s="24">
        <f t="shared" si="28"/>
        <v>192</v>
      </c>
      <c r="T108" s="24">
        <f t="shared" si="29"/>
        <v>92</v>
      </c>
      <c r="U108" s="24">
        <f t="shared" si="30"/>
        <v>100</v>
      </c>
      <c r="V108" s="26">
        <f t="shared" si="31"/>
        <v>0.52083333333333337</v>
      </c>
    </row>
    <row r="109" spans="1:22" ht="14.25" x14ac:dyDescent="0.2">
      <c r="A109" s="21">
        <v>46072</v>
      </c>
      <c r="B109" s="22" t="s">
        <v>203</v>
      </c>
      <c r="C109" s="22" t="s">
        <v>128</v>
      </c>
      <c r="D109" s="22" t="s">
        <v>12</v>
      </c>
      <c r="E109" s="22" t="s">
        <v>42</v>
      </c>
      <c r="F109" s="22" t="s">
        <v>63</v>
      </c>
      <c r="G109" s="23" t="str">
        <f>IFERROR(INDEX(Catalogos!$B$2:$B$9,MATCH(H109,Catalogos!$A$2:$A$9,0)),"")</f>
        <v>Macetas</v>
      </c>
      <c r="H109" s="22" t="s">
        <v>80</v>
      </c>
      <c r="I109" s="22">
        <v>8</v>
      </c>
      <c r="J109" s="24">
        <f>IFERROR(INDEX(Catalogos!$C$2:$C$9,MATCH(H109,Catalogos!$A$2:$A$9,0)),0)</f>
        <v>24</v>
      </c>
      <c r="K109" s="25">
        <v>0.1</v>
      </c>
      <c r="L109" s="24">
        <f>IFERROR(INDEX(Catalogos!$D$2:$D$9,MATCH(H109,Catalogos!$A$2:$A$9,0)),0)</f>
        <v>11.5</v>
      </c>
      <c r="M109" s="22" t="s">
        <v>78</v>
      </c>
      <c r="N109" s="22" t="s">
        <v>66</v>
      </c>
      <c r="O109" s="23">
        <f t="shared" si="24"/>
        <v>2026</v>
      </c>
      <c r="P109" s="23">
        <f t="shared" si="25"/>
        <v>2</v>
      </c>
      <c r="Q109" s="24">
        <f t="shared" si="26"/>
        <v>192</v>
      </c>
      <c r="R109" s="24">
        <f t="shared" si="27"/>
        <v>19.200000000000003</v>
      </c>
      <c r="S109" s="24">
        <f t="shared" si="28"/>
        <v>172.8</v>
      </c>
      <c r="T109" s="24">
        <f t="shared" si="29"/>
        <v>92</v>
      </c>
      <c r="U109" s="24">
        <f t="shared" si="30"/>
        <v>80.800000000000011</v>
      </c>
      <c r="V109" s="26">
        <f t="shared" si="31"/>
        <v>0.46759259259259262</v>
      </c>
    </row>
    <row r="110" spans="1:22" ht="14.25" x14ac:dyDescent="0.2">
      <c r="A110" s="21">
        <v>46073</v>
      </c>
      <c r="B110" s="22" t="s">
        <v>204</v>
      </c>
      <c r="C110" s="22" t="s">
        <v>123</v>
      </c>
      <c r="D110" s="22" t="s">
        <v>12</v>
      </c>
      <c r="E110" s="22" t="s">
        <v>43</v>
      </c>
      <c r="F110" s="22" t="s">
        <v>96</v>
      </c>
      <c r="G110" s="23" t="str">
        <f>IFERROR(INDEX(Catalogos!$B$2:$B$9,MATCH(H110,Catalogos!$A$2:$A$9,0)),"")</f>
        <v>Macetas</v>
      </c>
      <c r="H110" s="22" t="s">
        <v>80</v>
      </c>
      <c r="I110" s="22">
        <v>6</v>
      </c>
      <c r="J110" s="24">
        <f>IFERROR(INDEX(Catalogos!$C$2:$C$9,MATCH(H110,Catalogos!$A$2:$A$9,0)),0)</f>
        <v>24</v>
      </c>
      <c r="K110" s="25">
        <v>0.1</v>
      </c>
      <c r="L110" s="24">
        <f>IFERROR(INDEX(Catalogos!$D$2:$D$9,MATCH(H110,Catalogos!$A$2:$A$9,0)),0)</f>
        <v>11.5</v>
      </c>
      <c r="M110" s="22" t="s">
        <v>78</v>
      </c>
      <c r="N110" s="22" t="s">
        <v>66</v>
      </c>
      <c r="O110" s="23">
        <f t="shared" si="24"/>
        <v>2026</v>
      </c>
      <c r="P110" s="23">
        <f t="shared" si="25"/>
        <v>2</v>
      </c>
      <c r="Q110" s="24">
        <f t="shared" si="26"/>
        <v>144</v>
      </c>
      <c r="R110" s="24">
        <f t="shared" si="27"/>
        <v>14.4</v>
      </c>
      <c r="S110" s="24">
        <f t="shared" si="28"/>
        <v>129.6</v>
      </c>
      <c r="T110" s="24">
        <f t="shared" si="29"/>
        <v>69</v>
      </c>
      <c r="U110" s="24">
        <f t="shared" si="30"/>
        <v>60.599999999999994</v>
      </c>
      <c r="V110" s="26">
        <f t="shared" si="31"/>
        <v>0.46759259259259256</v>
      </c>
    </row>
    <row r="111" spans="1:22" ht="14.25" x14ac:dyDescent="0.2">
      <c r="A111" s="21">
        <v>46063</v>
      </c>
      <c r="B111" s="22" t="s">
        <v>205</v>
      </c>
      <c r="C111" s="22" t="s">
        <v>71</v>
      </c>
      <c r="D111" s="22" t="s">
        <v>12</v>
      </c>
      <c r="E111" s="22" t="s">
        <v>43</v>
      </c>
      <c r="F111" s="22" t="s">
        <v>63</v>
      </c>
      <c r="G111" s="23" t="str">
        <f>IFERROR(INDEX(Catalogos!$B$2:$B$9,MATCH(H111,Catalogos!$A$2:$A$9,0)),"")</f>
        <v>Compostaje</v>
      </c>
      <c r="H111" s="22" t="s">
        <v>77</v>
      </c>
      <c r="I111" s="22">
        <v>4</v>
      </c>
      <c r="J111" s="24">
        <f>IFERROR(INDEX(Catalogos!$C$2:$C$9,MATCH(H111,Catalogos!$A$2:$A$9,0)),0)</f>
        <v>95</v>
      </c>
      <c r="K111" s="25">
        <v>0</v>
      </c>
      <c r="L111" s="24">
        <f>IFERROR(INDEX(Catalogos!$D$2:$D$9,MATCH(H111,Catalogos!$A$2:$A$9,0)),0)</f>
        <v>51</v>
      </c>
      <c r="M111" s="22" t="s">
        <v>69</v>
      </c>
      <c r="N111" s="22" t="s">
        <v>66</v>
      </c>
      <c r="O111" s="23">
        <f t="shared" si="24"/>
        <v>2026</v>
      </c>
      <c r="P111" s="23">
        <f t="shared" si="25"/>
        <v>2</v>
      </c>
      <c r="Q111" s="24">
        <f t="shared" si="26"/>
        <v>380</v>
      </c>
      <c r="R111" s="24">
        <f t="shared" si="27"/>
        <v>0</v>
      </c>
      <c r="S111" s="24">
        <f t="shared" si="28"/>
        <v>380</v>
      </c>
      <c r="T111" s="24">
        <f t="shared" si="29"/>
        <v>204</v>
      </c>
      <c r="U111" s="24">
        <f t="shared" si="30"/>
        <v>176</v>
      </c>
      <c r="V111" s="26">
        <f t="shared" si="31"/>
        <v>0.4631578947368421</v>
      </c>
    </row>
    <row r="112" spans="1:22" ht="14.25" x14ac:dyDescent="0.2">
      <c r="A112" s="21">
        <v>46079</v>
      </c>
      <c r="B112" s="22" t="s">
        <v>206</v>
      </c>
      <c r="C112" s="22" t="s">
        <v>87</v>
      </c>
      <c r="D112" s="22" t="s">
        <v>12</v>
      </c>
      <c r="E112" s="22" t="s">
        <v>42</v>
      </c>
      <c r="F112" s="22" t="s">
        <v>63</v>
      </c>
      <c r="G112" s="23" t="str">
        <f>IFERROR(INDEX(Catalogos!$B$2:$B$9,MATCH(H112,Catalogos!$A$2:$A$9,0)),"")</f>
        <v>Macetas</v>
      </c>
      <c r="H112" s="22" t="s">
        <v>80</v>
      </c>
      <c r="I112" s="22">
        <v>8</v>
      </c>
      <c r="J112" s="24">
        <f>IFERROR(INDEX(Catalogos!$C$2:$C$9,MATCH(H112,Catalogos!$A$2:$A$9,0)),0)</f>
        <v>24</v>
      </c>
      <c r="K112" s="25">
        <v>0.03</v>
      </c>
      <c r="L112" s="24">
        <f>IFERROR(INDEX(Catalogos!$D$2:$D$9,MATCH(H112,Catalogos!$A$2:$A$9,0)),0)</f>
        <v>11.5</v>
      </c>
      <c r="M112" s="22" t="s">
        <v>69</v>
      </c>
      <c r="N112" s="22" t="s">
        <v>74</v>
      </c>
      <c r="O112" s="23">
        <f t="shared" si="24"/>
        <v>2026</v>
      </c>
      <c r="P112" s="23">
        <f t="shared" si="25"/>
        <v>2</v>
      </c>
      <c r="Q112" s="24">
        <f t="shared" si="26"/>
        <v>192</v>
      </c>
      <c r="R112" s="24">
        <f t="shared" si="27"/>
        <v>5.76</v>
      </c>
      <c r="S112" s="24">
        <f t="shared" si="28"/>
        <v>186.24</v>
      </c>
      <c r="T112" s="24">
        <f t="shared" si="29"/>
        <v>92</v>
      </c>
      <c r="U112" s="24">
        <f t="shared" si="30"/>
        <v>94.240000000000009</v>
      </c>
      <c r="V112" s="26">
        <f t="shared" si="31"/>
        <v>0.50601374570446733</v>
      </c>
    </row>
    <row r="113" spans="1:22" ht="14.25" x14ac:dyDescent="0.2">
      <c r="A113" s="21">
        <v>46075</v>
      </c>
      <c r="B113" s="22" t="s">
        <v>207</v>
      </c>
      <c r="C113" s="22" t="s">
        <v>71</v>
      </c>
      <c r="D113" s="22" t="s">
        <v>12</v>
      </c>
      <c r="E113" s="22" t="s">
        <v>42</v>
      </c>
      <c r="F113" s="22" t="s">
        <v>63</v>
      </c>
      <c r="G113" s="23" t="str">
        <f>IFERROR(INDEX(Catalogos!$B$2:$B$9,MATCH(H113,Catalogos!$A$2:$A$9,0)),"")</f>
        <v>Macetas</v>
      </c>
      <c r="H113" s="22" t="s">
        <v>120</v>
      </c>
      <c r="I113" s="22">
        <v>1</v>
      </c>
      <c r="J113" s="24">
        <f>IFERROR(INDEX(Catalogos!$C$2:$C$9,MATCH(H113,Catalogos!$A$2:$A$9,0)),0)</f>
        <v>42</v>
      </c>
      <c r="K113" s="25">
        <v>7.0000000000000007E-2</v>
      </c>
      <c r="L113" s="24">
        <f>IFERROR(INDEX(Catalogos!$D$2:$D$9,MATCH(H113,Catalogos!$A$2:$A$9,0)),0)</f>
        <v>21</v>
      </c>
      <c r="M113" s="22" t="s">
        <v>69</v>
      </c>
      <c r="N113" s="22" t="s">
        <v>66</v>
      </c>
      <c r="O113" s="23">
        <f t="shared" si="24"/>
        <v>2026</v>
      </c>
      <c r="P113" s="23">
        <f t="shared" si="25"/>
        <v>2</v>
      </c>
      <c r="Q113" s="24">
        <f t="shared" si="26"/>
        <v>42</v>
      </c>
      <c r="R113" s="24">
        <f t="shared" si="27"/>
        <v>2.9400000000000004</v>
      </c>
      <c r="S113" s="24">
        <f t="shared" si="28"/>
        <v>39.06</v>
      </c>
      <c r="T113" s="24">
        <f t="shared" si="29"/>
        <v>21</v>
      </c>
      <c r="U113" s="24">
        <f t="shared" si="30"/>
        <v>18.060000000000002</v>
      </c>
      <c r="V113" s="26">
        <f t="shared" si="31"/>
        <v>0.4623655913978495</v>
      </c>
    </row>
    <row r="114" spans="1:22" ht="14.25" x14ac:dyDescent="0.2">
      <c r="A114" s="21">
        <v>46067</v>
      </c>
      <c r="B114" s="22" t="s">
        <v>208</v>
      </c>
      <c r="C114" s="22" t="s">
        <v>68</v>
      </c>
      <c r="D114" s="22" t="s">
        <v>16</v>
      </c>
      <c r="E114" s="22" t="s">
        <v>42</v>
      </c>
      <c r="F114" s="22" t="s">
        <v>72</v>
      </c>
      <c r="G114" s="23" t="str">
        <f>IFERROR(INDEX(Catalogos!$B$2:$B$9,MATCH(H114,Catalogos!$A$2:$A$9,0)),"")</f>
        <v>Semillas</v>
      </c>
      <c r="H114" s="22" t="s">
        <v>64</v>
      </c>
      <c r="I114" s="22">
        <v>8</v>
      </c>
      <c r="J114" s="24">
        <f>IFERROR(INDEX(Catalogos!$C$2:$C$9,MATCH(H114,Catalogos!$A$2:$A$9,0)),0)</f>
        <v>14</v>
      </c>
      <c r="K114" s="25">
        <v>0.1</v>
      </c>
      <c r="L114" s="24">
        <f>IFERROR(INDEX(Catalogos!$D$2:$D$9,MATCH(H114,Catalogos!$A$2:$A$9,0)),0)</f>
        <v>4.5</v>
      </c>
      <c r="M114" s="22" t="s">
        <v>65</v>
      </c>
      <c r="N114" s="22" t="s">
        <v>66</v>
      </c>
      <c r="O114" s="23">
        <f t="shared" si="24"/>
        <v>2026</v>
      </c>
      <c r="P114" s="23">
        <f t="shared" si="25"/>
        <v>2</v>
      </c>
      <c r="Q114" s="24">
        <f t="shared" si="26"/>
        <v>112</v>
      </c>
      <c r="R114" s="24">
        <f t="shared" si="27"/>
        <v>11.200000000000001</v>
      </c>
      <c r="S114" s="24">
        <f t="shared" si="28"/>
        <v>100.8</v>
      </c>
      <c r="T114" s="24">
        <f t="shared" si="29"/>
        <v>36</v>
      </c>
      <c r="U114" s="24">
        <f t="shared" si="30"/>
        <v>64.8</v>
      </c>
      <c r="V114" s="26">
        <f t="shared" si="31"/>
        <v>0.64285714285714279</v>
      </c>
    </row>
    <row r="115" spans="1:22" ht="14.25" x14ac:dyDescent="0.2">
      <c r="A115" s="21">
        <v>46055</v>
      </c>
      <c r="B115" s="22" t="s">
        <v>209</v>
      </c>
      <c r="C115" s="22" t="s">
        <v>126</v>
      </c>
      <c r="D115" s="22" t="s">
        <v>7</v>
      </c>
      <c r="E115" s="22" t="s">
        <v>45</v>
      </c>
      <c r="F115" s="22" t="s">
        <v>96</v>
      </c>
      <c r="G115" s="23" t="str">
        <f>IFERROR(INDEX(Catalogos!$B$2:$B$9,MATCH(H115,Catalogos!$A$2:$A$9,0)),"")</f>
        <v>Compostaje</v>
      </c>
      <c r="H115" s="22" t="s">
        <v>77</v>
      </c>
      <c r="I115" s="22">
        <v>6</v>
      </c>
      <c r="J115" s="24">
        <f>IFERROR(INDEX(Catalogos!$C$2:$C$9,MATCH(H115,Catalogos!$A$2:$A$9,0)),0)</f>
        <v>95</v>
      </c>
      <c r="K115" s="25">
        <v>0</v>
      </c>
      <c r="L115" s="24">
        <f>IFERROR(INDEX(Catalogos!$D$2:$D$9,MATCH(H115,Catalogos!$A$2:$A$9,0)),0)</f>
        <v>51</v>
      </c>
      <c r="M115" s="22" t="s">
        <v>69</v>
      </c>
      <c r="N115" s="22" t="s">
        <v>107</v>
      </c>
      <c r="O115" s="23">
        <f t="shared" si="24"/>
        <v>2026</v>
      </c>
      <c r="P115" s="23">
        <f t="shared" si="25"/>
        <v>2</v>
      </c>
      <c r="Q115" s="24">
        <f t="shared" si="26"/>
        <v>570</v>
      </c>
      <c r="R115" s="24">
        <f t="shared" si="27"/>
        <v>0</v>
      </c>
      <c r="S115" s="24">
        <f t="shared" si="28"/>
        <v>570</v>
      </c>
      <c r="T115" s="24">
        <f t="shared" si="29"/>
        <v>306</v>
      </c>
      <c r="U115" s="24">
        <f t="shared" si="30"/>
        <v>264</v>
      </c>
      <c r="V115" s="26">
        <f t="shared" si="31"/>
        <v>0.4631578947368421</v>
      </c>
    </row>
    <row r="116" spans="1:22" ht="14.25" x14ac:dyDescent="0.2">
      <c r="A116" s="21">
        <v>46089</v>
      </c>
      <c r="B116" s="22" t="s">
        <v>210</v>
      </c>
      <c r="C116" s="22" t="s">
        <v>126</v>
      </c>
      <c r="D116" s="22" t="s">
        <v>16</v>
      </c>
      <c r="E116" s="22" t="s">
        <v>44</v>
      </c>
      <c r="F116" s="22" t="s">
        <v>63</v>
      </c>
      <c r="G116" s="23" t="str">
        <f>IFERROR(INDEX(Catalogos!$B$2:$B$9,MATCH(H116,Catalogos!$A$2:$A$9,0)),"")</f>
        <v>Semillas</v>
      </c>
      <c r="H116" s="22" t="s">
        <v>64</v>
      </c>
      <c r="I116" s="22">
        <v>7</v>
      </c>
      <c r="J116" s="24">
        <f>IFERROR(INDEX(Catalogos!$C$2:$C$9,MATCH(H116,Catalogos!$A$2:$A$9,0)),0)</f>
        <v>14</v>
      </c>
      <c r="K116" s="25">
        <v>7.0000000000000007E-2</v>
      </c>
      <c r="L116" s="24">
        <f>IFERROR(INDEX(Catalogos!$D$2:$D$9,MATCH(H116,Catalogos!$A$2:$A$9,0)),0)</f>
        <v>4.5</v>
      </c>
      <c r="M116" s="22" t="s">
        <v>69</v>
      </c>
      <c r="N116" s="22" t="s">
        <v>74</v>
      </c>
      <c r="O116" s="23">
        <f t="shared" si="24"/>
        <v>2026</v>
      </c>
      <c r="P116" s="23">
        <f t="shared" si="25"/>
        <v>3</v>
      </c>
      <c r="Q116" s="24">
        <f t="shared" si="26"/>
        <v>98</v>
      </c>
      <c r="R116" s="24">
        <f t="shared" si="27"/>
        <v>6.86</v>
      </c>
      <c r="S116" s="24">
        <f t="shared" si="28"/>
        <v>91.14</v>
      </c>
      <c r="T116" s="24">
        <f t="shared" si="29"/>
        <v>31.5</v>
      </c>
      <c r="U116" s="24">
        <f t="shared" si="30"/>
        <v>59.64</v>
      </c>
      <c r="V116" s="26">
        <f t="shared" si="31"/>
        <v>0.65437788018433185</v>
      </c>
    </row>
    <row r="117" spans="1:22" ht="14.25" x14ac:dyDescent="0.2">
      <c r="A117" s="21">
        <v>46099</v>
      </c>
      <c r="B117" s="22" t="s">
        <v>211</v>
      </c>
      <c r="C117" s="22" t="s">
        <v>128</v>
      </c>
      <c r="D117" s="22" t="s">
        <v>9</v>
      </c>
      <c r="E117" s="22" t="s">
        <v>42</v>
      </c>
      <c r="F117" s="22" t="s">
        <v>63</v>
      </c>
      <c r="G117" s="23" t="str">
        <f>IFERROR(INDEX(Catalogos!$B$2:$B$9,MATCH(H117,Catalogos!$A$2:$A$9,0)),"")</f>
        <v>Sensores</v>
      </c>
      <c r="H117" s="22" t="s">
        <v>101</v>
      </c>
      <c r="I117" s="22">
        <v>6</v>
      </c>
      <c r="J117" s="24">
        <f>IFERROR(INDEX(Catalogos!$C$2:$C$9,MATCH(H117,Catalogos!$A$2:$A$9,0)),0)</f>
        <v>36</v>
      </c>
      <c r="K117" s="25">
        <v>0</v>
      </c>
      <c r="L117" s="24">
        <f>IFERROR(INDEX(Catalogos!$D$2:$D$9,MATCH(H117,Catalogos!$A$2:$A$9,0)),0)</f>
        <v>17</v>
      </c>
      <c r="M117" s="22" t="s">
        <v>93</v>
      </c>
      <c r="N117" s="22" t="s">
        <v>74</v>
      </c>
      <c r="O117" s="23">
        <f t="shared" si="24"/>
        <v>2026</v>
      </c>
      <c r="P117" s="23">
        <f t="shared" si="25"/>
        <v>3</v>
      </c>
      <c r="Q117" s="24">
        <f t="shared" si="26"/>
        <v>216</v>
      </c>
      <c r="R117" s="24">
        <f t="shared" si="27"/>
        <v>0</v>
      </c>
      <c r="S117" s="24">
        <f t="shared" si="28"/>
        <v>216</v>
      </c>
      <c r="T117" s="24">
        <f t="shared" si="29"/>
        <v>102</v>
      </c>
      <c r="U117" s="24">
        <f t="shared" si="30"/>
        <v>114</v>
      </c>
      <c r="V117" s="26">
        <f t="shared" si="31"/>
        <v>0.52777777777777779</v>
      </c>
    </row>
    <row r="118" spans="1:22" ht="14.25" x14ac:dyDescent="0.2">
      <c r="A118" s="21">
        <v>46083</v>
      </c>
      <c r="B118" s="22" t="s">
        <v>212</v>
      </c>
      <c r="C118" s="22" t="s">
        <v>110</v>
      </c>
      <c r="D118" s="22" t="s">
        <v>9</v>
      </c>
      <c r="E118" s="22" t="s">
        <v>42</v>
      </c>
      <c r="F118" s="22" t="s">
        <v>63</v>
      </c>
      <c r="G118" s="23" t="str">
        <f>IFERROR(INDEX(Catalogos!$B$2:$B$9,MATCH(H118,Catalogos!$A$2:$A$9,0)),"")</f>
        <v>Macetas</v>
      </c>
      <c r="H118" s="22" t="s">
        <v>80</v>
      </c>
      <c r="I118" s="22">
        <v>7</v>
      </c>
      <c r="J118" s="24">
        <f>IFERROR(INDEX(Catalogos!$C$2:$C$9,MATCH(H118,Catalogos!$A$2:$A$9,0)),0)</f>
        <v>24</v>
      </c>
      <c r="K118" s="25">
        <v>0</v>
      </c>
      <c r="L118" s="24">
        <f>IFERROR(INDEX(Catalogos!$D$2:$D$9,MATCH(H118,Catalogos!$A$2:$A$9,0)),0)</f>
        <v>11.5</v>
      </c>
      <c r="M118" s="22" t="s">
        <v>93</v>
      </c>
      <c r="N118" s="22" t="s">
        <v>74</v>
      </c>
      <c r="O118" s="23">
        <f t="shared" si="24"/>
        <v>2026</v>
      </c>
      <c r="P118" s="23">
        <f t="shared" si="25"/>
        <v>3</v>
      </c>
      <c r="Q118" s="24">
        <f t="shared" si="26"/>
        <v>168</v>
      </c>
      <c r="R118" s="24">
        <f t="shared" si="27"/>
        <v>0</v>
      </c>
      <c r="S118" s="24">
        <f t="shared" si="28"/>
        <v>168</v>
      </c>
      <c r="T118" s="24">
        <f t="shared" si="29"/>
        <v>80.5</v>
      </c>
      <c r="U118" s="24">
        <f t="shared" si="30"/>
        <v>87.5</v>
      </c>
      <c r="V118" s="26">
        <f t="shared" si="31"/>
        <v>0.52083333333333337</v>
      </c>
    </row>
    <row r="119" spans="1:22" ht="14.25" x14ac:dyDescent="0.2">
      <c r="A119" s="21">
        <v>46091</v>
      </c>
      <c r="B119" s="22" t="s">
        <v>213</v>
      </c>
      <c r="C119" s="22" t="s">
        <v>95</v>
      </c>
      <c r="D119" s="22" t="s">
        <v>7</v>
      </c>
      <c r="E119" s="22" t="s">
        <v>43</v>
      </c>
      <c r="F119" s="22" t="s">
        <v>63</v>
      </c>
      <c r="G119" s="23" t="str">
        <f>IFERROR(INDEX(Catalogos!$B$2:$B$9,MATCH(H119,Catalogos!$A$2:$A$9,0)),"")</f>
        <v>Kits</v>
      </c>
      <c r="H119" s="22" t="s">
        <v>73</v>
      </c>
      <c r="I119" s="22">
        <v>2</v>
      </c>
      <c r="J119" s="24">
        <f>IFERROR(INDEX(Catalogos!$C$2:$C$9,MATCH(H119,Catalogos!$A$2:$A$9,0)),0)</f>
        <v>79</v>
      </c>
      <c r="K119" s="25">
        <v>0.1</v>
      </c>
      <c r="L119" s="24">
        <f>IFERROR(INDEX(Catalogos!$D$2:$D$9,MATCH(H119,Catalogos!$A$2:$A$9,0)),0)</f>
        <v>42</v>
      </c>
      <c r="M119" s="22" t="s">
        <v>78</v>
      </c>
      <c r="N119" s="22" t="s">
        <v>66</v>
      </c>
      <c r="O119" s="23">
        <f t="shared" si="24"/>
        <v>2026</v>
      </c>
      <c r="P119" s="23">
        <f t="shared" si="25"/>
        <v>3</v>
      </c>
      <c r="Q119" s="24">
        <f t="shared" si="26"/>
        <v>158</v>
      </c>
      <c r="R119" s="24">
        <f t="shared" si="27"/>
        <v>15.8</v>
      </c>
      <c r="S119" s="24">
        <f t="shared" si="28"/>
        <v>142.19999999999999</v>
      </c>
      <c r="T119" s="24">
        <f t="shared" si="29"/>
        <v>84</v>
      </c>
      <c r="U119" s="24">
        <f t="shared" si="30"/>
        <v>58.199999999999989</v>
      </c>
      <c r="V119" s="26">
        <f t="shared" si="31"/>
        <v>0.40928270042194087</v>
      </c>
    </row>
    <row r="120" spans="1:22" ht="14.25" x14ac:dyDescent="0.2">
      <c r="A120" s="21">
        <v>46094</v>
      </c>
      <c r="B120" s="22" t="s">
        <v>214</v>
      </c>
      <c r="C120" s="22" t="s">
        <v>62</v>
      </c>
      <c r="D120" s="22" t="s">
        <v>16</v>
      </c>
      <c r="E120" s="22" t="s">
        <v>42</v>
      </c>
      <c r="F120" s="22" t="s">
        <v>82</v>
      </c>
      <c r="G120" s="23" t="str">
        <f>IFERROR(INDEX(Catalogos!$B$2:$B$9,MATCH(H120,Catalogos!$A$2:$A$9,0)),"")</f>
        <v>Semillas</v>
      </c>
      <c r="H120" s="22" t="s">
        <v>64</v>
      </c>
      <c r="I120" s="22">
        <v>7</v>
      </c>
      <c r="J120" s="24">
        <f>IFERROR(INDEX(Catalogos!$C$2:$C$9,MATCH(H120,Catalogos!$A$2:$A$9,0)),0)</f>
        <v>14</v>
      </c>
      <c r="K120" s="25">
        <v>0.1</v>
      </c>
      <c r="L120" s="24">
        <f>IFERROR(INDEX(Catalogos!$D$2:$D$9,MATCH(H120,Catalogos!$A$2:$A$9,0)),0)</f>
        <v>4.5</v>
      </c>
      <c r="M120" s="22" t="s">
        <v>69</v>
      </c>
      <c r="N120" s="22" t="s">
        <v>66</v>
      </c>
      <c r="O120" s="23">
        <f t="shared" si="24"/>
        <v>2026</v>
      </c>
      <c r="P120" s="23">
        <f t="shared" si="25"/>
        <v>3</v>
      </c>
      <c r="Q120" s="24">
        <f t="shared" si="26"/>
        <v>98</v>
      </c>
      <c r="R120" s="24">
        <f t="shared" si="27"/>
        <v>9.8000000000000007</v>
      </c>
      <c r="S120" s="24">
        <f t="shared" si="28"/>
        <v>88.2</v>
      </c>
      <c r="T120" s="24">
        <f t="shared" si="29"/>
        <v>31.5</v>
      </c>
      <c r="U120" s="24">
        <f t="shared" si="30"/>
        <v>56.7</v>
      </c>
      <c r="V120" s="26">
        <f t="shared" si="31"/>
        <v>0.6428571428571429</v>
      </c>
    </row>
    <row r="121" spans="1:22" ht="14.25" x14ac:dyDescent="0.2">
      <c r="A121" s="21">
        <v>46089</v>
      </c>
      <c r="B121" s="22" t="s">
        <v>215</v>
      </c>
      <c r="C121" s="22" t="s">
        <v>89</v>
      </c>
      <c r="D121" s="22" t="s">
        <v>9</v>
      </c>
      <c r="E121" s="22" t="s">
        <v>42</v>
      </c>
      <c r="F121" s="22" t="s">
        <v>82</v>
      </c>
      <c r="G121" s="23" t="str">
        <f>IFERROR(INDEX(Catalogos!$B$2:$B$9,MATCH(H121,Catalogos!$A$2:$A$9,0)),"")</f>
        <v>Mobiliario</v>
      </c>
      <c r="H121" s="22" t="s">
        <v>85</v>
      </c>
      <c r="I121" s="22">
        <v>4</v>
      </c>
      <c r="J121" s="24">
        <f>IFERROR(INDEX(Catalogos!$C$2:$C$9,MATCH(H121,Catalogos!$A$2:$A$9,0)),0)</f>
        <v>128</v>
      </c>
      <c r="K121" s="25">
        <v>0</v>
      </c>
      <c r="L121" s="24">
        <f>IFERROR(INDEX(Catalogos!$D$2:$D$9,MATCH(H121,Catalogos!$A$2:$A$9,0)),0)</f>
        <v>76</v>
      </c>
      <c r="M121" s="22" t="s">
        <v>69</v>
      </c>
      <c r="N121" s="22" t="s">
        <v>74</v>
      </c>
      <c r="O121" s="23">
        <f t="shared" si="24"/>
        <v>2026</v>
      </c>
      <c r="P121" s="23">
        <f t="shared" si="25"/>
        <v>3</v>
      </c>
      <c r="Q121" s="24">
        <f t="shared" si="26"/>
        <v>512</v>
      </c>
      <c r="R121" s="24">
        <f t="shared" si="27"/>
        <v>0</v>
      </c>
      <c r="S121" s="24">
        <f t="shared" si="28"/>
        <v>512</v>
      </c>
      <c r="T121" s="24">
        <f t="shared" si="29"/>
        <v>304</v>
      </c>
      <c r="U121" s="24">
        <f t="shared" si="30"/>
        <v>208</v>
      </c>
      <c r="V121" s="26">
        <f t="shared" si="31"/>
        <v>0.40625</v>
      </c>
    </row>
    <row r="122" spans="1:22" ht="14.25" x14ac:dyDescent="0.2">
      <c r="A122" s="21">
        <v>46094</v>
      </c>
      <c r="B122" s="22" t="s">
        <v>216</v>
      </c>
      <c r="C122" s="22" t="s">
        <v>95</v>
      </c>
      <c r="D122" s="22" t="s">
        <v>9</v>
      </c>
      <c r="E122" s="22" t="s">
        <v>43</v>
      </c>
      <c r="F122" s="22" t="s">
        <v>63</v>
      </c>
      <c r="G122" s="23" t="str">
        <f>IFERROR(INDEX(Catalogos!$B$2:$B$9,MATCH(H122,Catalogos!$A$2:$A$9,0)),"")</f>
        <v>Compostaje</v>
      </c>
      <c r="H122" s="22" t="s">
        <v>77</v>
      </c>
      <c r="I122" s="22">
        <v>2</v>
      </c>
      <c r="J122" s="24">
        <f>IFERROR(INDEX(Catalogos!$C$2:$C$9,MATCH(H122,Catalogos!$A$2:$A$9,0)),0)</f>
        <v>95</v>
      </c>
      <c r="K122" s="25">
        <v>7.0000000000000007E-2</v>
      </c>
      <c r="L122" s="24">
        <f>IFERROR(INDEX(Catalogos!$D$2:$D$9,MATCH(H122,Catalogos!$A$2:$A$9,0)),0)</f>
        <v>51</v>
      </c>
      <c r="M122" s="22" t="s">
        <v>78</v>
      </c>
      <c r="N122" s="22" t="s">
        <v>74</v>
      </c>
      <c r="O122" s="23">
        <f t="shared" si="24"/>
        <v>2026</v>
      </c>
      <c r="P122" s="23">
        <f t="shared" si="25"/>
        <v>3</v>
      </c>
      <c r="Q122" s="24">
        <f t="shared" si="26"/>
        <v>190</v>
      </c>
      <c r="R122" s="24">
        <f t="shared" si="27"/>
        <v>13.3</v>
      </c>
      <c r="S122" s="24">
        <f t="shared" si="28"/>
        <v>176.7</v>
      </c>
      <c r="T122" s="24">
        <f t="shared" si="29"/>
        <v>102</v>
      </c>
      <c r="U122" s="24">
        <f t="shared" si="30"/>
        <v>74.699999999999989</v>
      </c>
      <c r="V122" s="26">
        <f t="shared" si="31"/>
        <v>0.42275042444821725</v>
      </c>
    </row>
    <row r="123" spans="1:22" ht="14.25" x14ac:dyDescent="0.2">
      <c r="A123" s="21">
        <v>46098</v>
      </c>
      <c r="B123" s="22" t="s">
        <v>217</v>
      </c>
      <c r="C123" s="22" t="s">
        <v>126</v>
      </c>
      <c r="D123" s="22" t="s">
        <v>12</v>
      </c>
      <c r="E123" s="22" t="s">
        <v>42</v>
      </c>
      <c r="F123" s="22" t="s">
        <v>82</v>
      </c>
      <c r="G123" s="23" t="str">
        <f>IFERROR(INDEX(Catalogos!$B$2:$B$9,MATCH(H123,Catalogos!$A$2:$A$9,0)),"")</f>
        <v>Mobiliario</v>
      </c>
      <c r="H123" s="22" t="s">
        <v>85</v>
      </c>
      <c r="I123" s="22">
        <v>3</v>
      </c>
      <c r="J123" s="24">
        <f>IFERROR(INDEX(Catalogos!$C$2:$C$9,MATCH(H123,Catalogos!$A$2:$A$9,0)),0)</f>
        <v>128</v>
      </c>
      <c r="K123" s="25">
        <v>7.0000000000000007E-2</v>
      </c>
      <c r="L123" s="24">
        <f>IFERROR(INDEX(Catalogos!$D$2:$D$9,MATCH(H123,Catalogos!$A$2:$A$9,0)),0)</f>
        <v>76</v>
      </c>
      <c r="M123" s="22" t="s">
        <v>93</v>
      </c>
      <c r="N123" s="22" t="s">
        <v>66</v>
      </c>
      <c r="O123" s="23">
        <f t="shared" si="24"/>
        <v>2026</v>
      </c>
      <c r="P123" s="23">
        <f t="shared" si="25"/>
        <v>3</v>
      </c>
      <c r="Q123" s="24">
        <f t="shared" si="26"/>
        <v>384</v>
      </c>
      <c r="R123" s="24">
        <f t="shared" si="27"/>
        <v>26.880000000000003</v>
      </c>
      <c r="S123" s="24">
        <f t="shared" si="28"/>
        <v>357.12</v>
      </c>
      <c r="T123" s="24">
        <f t="shared" si="29"/>
        <v>228</v>
      </c>
      <c r="U123" s="24">
        <f t="shared" si="30"/>
        <v>129.12</v>
      </c>
      <c r="V123" s="26">
        <f t="shared" si="31"/>
        <v>0.36155913978494625</v>
      </c>
    </row>
    <row r="124" spans="1:22" ht="14.25" x14ac:dyDescent="0.2">
      <c r="A124" s="21">
        <v>46107</v>
      </c>
      <c r="B124" s="22" t="s">
        <v>218</v>
      </c>
      <c r="C124" s="22" t="s">
        <v>100</v>
      </c>
      <c r="D124" s="22" t="s">
        <v>7</v>
      </c>
      <c r="E124" s="22" t="s">
        <v>43</v>
      </c>
      <c r="F124" s="22" t="s">
        <v>82</v>
      </c>
      <c r="G124" s="23" t="str">
        <f>IFERROR(INDEX(Catalogos!$B$2:$B$9,MATCH(H124,Catalogos!$A$2:$A$9,0)),"")</f>
        <v>Kits</v>
      </c>
      <c r="H124" s="22" t="s">
        <v>73</v>
      </c>
      <c r="I124" s="22">
        <v>1</v>
      </c>
      <c r="J124" s="24">
        <f>IFERROR(INDEX(Catalogos!$C$2:$C$9,MATCH(H124,Catalogos!$A$2:$A$9,0)),0)</f>
        <v>79</v>
      </c>
      <c r="K124" s="25">
        <v>0</v>
      </c>
      <c r="L124" s="24">
        <f>IFERROR(INDEX(Catalogos!$D$2:$D$9,MATCH(H124,Catalogos!$A$2:$A$9,0)),0)</f>
        <v>42</v>
      </c>
      <c r="M124" s="22" t="s">
        <v>65</v>
      </c>
      <c r="N124" s="22" t="s">
        <v>66</v>
      </c>
      <c r="O124" s="23">
        <f t="shared" si="24"/>
        <v>2026</v>
      </c>
      <c r="P124" s="23">
        <f t="shared" si="25"/>
        <v>3</v>
      </c>
      <c r="Q124" s="24">
        <f t="shared" si="26"/>
        <v>79</v>
      </c>
      <c r="R124" s="24">
        <f t="shared" si="27"/>
        <v>0</v>
      </c>
      <c r="S124" s="24">
        <f t="shared" si="28"/>
        <v>79</v>
      </c>
      <c r="T124" s="24">
        <f t="shared" si="29"/>
        <v>42</v>
      </c>
      <c r="U124" s="24">
        <f t="shared" si="30"/>
        <v>37</v>
      </c>
      <c r="V124" s="26">
        <f t="shared" si="31"/>
        <v>0.46835443037974683</v>
      </c>
    </row>
    <row r="125" spans="1:22" ht="14.25" x14ac:dyDescent="0.2">
      <c r="A125" s="21">
        <v>46122</v>
      </c>
      <c r="B125" s="22" t="s">
        <v>219</v>
      </c>
      <c r="C125" s="22" t="s">
        <v>123</v>
      </c>
      <c r="D125" s="22" t="s">
        <v>7</v>
      </c>
      <c r="E125" s="22" t="s">
        <v>42</v>
      </c>
      <c r="F125" s="22" t="s">
        <v>96</v>
      </c>
      <c r="G125" s="23" t="str">
        <f>IFERROR(INDEX(Catalogos!$B$2:$B$9,MATCH(H125,Catalogos!$A$2:$A$9,0)),"")</f>
        <v>Kits</v>
      </c>
      <c r="H125" s="22" t="s">
        <v>73</v>
      </c>
      <c r="I125" s="22">
        <v>7</v>
      </c>
      <c r="J125" s="24">
        <f>IFERROR(INDEX(Catalogos!$C$2:$C$9,MATCH(H125,Catalogos!$A$2:$A$9,0)),0)</f>
        <v>79</v>
      </c>
      <c r="K125" s="25">
        <v>0</v>
      </c>
      <c r="L125" s="24">
        <f>IFERROR(INDEX(Catalogos!$D$2:$D$9,MATCH(H125,Catalogos!$A$2:$A$9,0)),0)</f>
        <v>42</v>
      </c>
      <c r="M125" s="22" t="s">
        <v>93</v>
      </c>
      <c r="N125" s="22" t="s">
        <v>66</v>
      </c>
      <c r="O125" s="23">
        <f t="shared" si="24"/>
        <v>2026</v>
      </c>
      <c r="P125" s="23">
        <f t="shared" si="25"/>
        <v>4</v>
      </c>
      <c r="Q125" s="24">
        <f t="shared" si="26"/>
        <v>553</v>
      </c>
      <c r="R125" s="24">
        <f t="shared" si="27"/>
        <v>0</v>
      </c>
      <c r="S125" s="24">
        <f t="shared" si="28"/>
        <v>553</v>
      </c>
      <c r="T125" s="24">
        <f t="shared" si="29"/>
        <v>294</v>
      </c>
      <c r="U125" s="24">
        <f t="shared" si="30"/>
        <v>259</v>
      </c>
      <c r="V125" s="26">
        <f t="shared" si="31"/>
        <v>0.46835443037974683</v>
      </c>
    </row>
    <row r="126" spans="1:22" ht="14.25" x14ac:dyDescent="0.2">
      <c r="A126" s="21">
        <v>46128</v>
      </c>
      <c r="B126" s="22" t="s">
        <v>220</v>
      </c>
      <c r="C126" s="22" t="s">
        <v>87</v>
      </c>
      <c r="D126" s="22" t="s">
        <v>9</v>
      </c>
      <c r="E126" s="22" t="s">
        <v>42</v>
      </c>
      <c r="F126" s="22" t="s">
        <v>63</v>
      </c>
      <c r="G126" s="23" t="str">
        <f>IFERROR(INDEX(Catalogos!$B$2:$B$9,MATCH(H126,Catalogos!$A$2:$A$9,0)),"")</f>
        <v>Macetas</v>
      </c>
      <c r="H126" s="22" t="s">
        <v>80</v>
      </c>
      <c r="I126" s="22">
        <v>6</v>
      </c>
      <c r="J126" s="24">
        <f>IFERROR(INDEX(Catalogos!$C$2:$C$9,MATCH(H126,Catalogos!$A$2:$A$9,0)),0)</f>
        <v>24</v>
      </c>
      <c r="K126" s="25">
        <v>7.0000000000000007E-2</v>
      </c>
      <c r="L126" s="24">
        <f>IFERROR(INDEX(Catalogos!$D$2:$D$9,MATCH(H126,Catalogos!$A$2:$A$9,0)),0)</f>
        <v>11.5</v>
      </c>
      <c r="M126" s="22" t="s">
        <v>69</v>
      </c>
      <c r="N126" s="22" t="s">
        <v>74</v>
      </c>
      <c r="O126" s="23">
        <f t="shared" si="24"/>
        <v>2026</v>
      </c>
      <c r="P126" s="23">
        <f t="shared" si="25"/>
        <v>4</v>
      </c>
      <c r="Q126" s="24">
        <f t="shared" si="26"/>
        <v>144</v>
      </c>
      <c r="R126" s="24">
        <f t="shared" si="27"/>
        <v>10.080000000000002</v>
      </c>
      <c r="S126" s="24">
        <f t="shared" si="28"/>
        <v>133.91999999999999</v>
      </c>
      <c r="T126" s="24">
        <f t="shared" si="29"/>
        <v>69</v>
      </c>
      <c r="U126" s="24">
        <f t="shared" si="30"/>
        <v>64.919999999999987</v>
      </c>
      <c r="V126" s="26">
        <f t="shared" si="31"/>
        <v>0.48476702508960567</v>
      </c>
    </row>
    <row r="127" spans="1:22" ht="14.25" x14ac:dyDescent="0.2">
      <c r="A127" s="21">
        <v>46138</v>
      </c>
      <c r="B127" s="22" t="s">
        <v>221</v>
      </c>
      <c r="C127" s="22" t="s">
        <v>95</v>
      </c>
      <c r="D127" s="22" t="s">
        <v>12</v>
      </c>
      <c r="E127" s="22" t="s">
        <v>43</v>
      </c>
      <c r="F127" s="22" t="s">
        <v>72</v>
      </c>
      <c r="G127" s="23" t="str">
        <f>IFERROR(INDEX(Catalogos!$B$2:$B$9,MATCH(H127,Catalogos!$A$2:$A$9,0)),"")</f>
        <v>Iluminación</v>
      </c>
      <c r="H127" s="22" t="s">
        <v>117</v>
      </c>
      <c r="I127" s="22">
        <v>6</v>
      </c>
      <c r="J127" s="24">
        <f>IFERROR(INDEX(Catalogos!$C$2:$C$9,MATCH(H127,Catalogos!$A$2:$A$9,0)),0)</f>
        <v>58</v>
      </c>
      <c r="K127" s="25">
        <v>7.0000000000000007E-2</v>
      </c>
      <c r="L127" s="24">
        <f>IFERROR(INDEX(Catalogos!$D$2:$D$9,MATCH(H127,Catalogos!$A$2:$A$9,0)),0)</f>
        <v>31</v>
      </c>
      <c r="M127" s="22" t="s">
        <v>78</v>
      </c>
      <c r="N127" s="22" t="s">
        <v>74</v>
      </c>
      <c r="O127" s="23">
        <f t="shared" si="24"/>
        <v>2026</v>
      </c>
      <c r="P127" s="23">
        <f t="shared" si="25"/>
        <v>4</v>
      </c>
      <c r="Q127" s="24">
        <f t="shared" si="26"/>
        <v>348</v>
      </c>
      <c r="R127" s="24">
        <f t="shared" si="27"/>
        <v>24.360000000000003</v>
      </c>
      <c r="S127" s="24">
        <f t="shared" si="28"/>
        <v>323.64</v>
      </c>
      <c r="T127" s="24">
        <f t="shared" si="29"/>
        <v>186</v>
      </c>
      <c r="U127" s="24">
        <f t="shared" si="30"/>
        <v>137.63999999999999</v>
      </c>
      <c r="V127" s="26">
        <f t="shared" si="31"/>
        <v>0.42528735632183906</v>
      </c>
    </row>
    <row r="128" spans="1:22" ht="14.25" x14ac:dyDescent="0.2">
      <c r="A128" s="21">
        <v>46123</v>
      </c>
      <c r="B128" s="22" t="s">
        <v>222</v>
      </c>
      <c r="C128" s="22" t="s">
        <v>87</v>
      </c>
      <c r="D128" s="22" t="s">
        <v>7</v>
      </c>
      <c r="E128" s="22" t="s">
        <v>45</v>
      </c>
      <c r="F128" s="22" t="s">
        <v>82</v>
      </c>
      <c r="G128" s="23" t="str">
        <f>IFERROR(INDEX(Catalogos!$B$2:$B$9,MATCH(H128,Catalogos!$A$2:$A$9,0)),"")</f>
        <v>Semillas</v>
      </c>
      <c r="H128" s="22" t="s">
        <v>64</v>
      </c>
      <c r="I128" s="22">
        <v>7</v>
      </c>
      <c r="J128" s="24">
        <f>IFERROR(INDEX(Catalogos!$C$2:$C$9,MATCH(H128,Catalogos!$A$2:$A$9,0)),0)</f>
        <v>14</v>
      </c>
      <c r="K128" s="25">
        <v>0.1</v>
      </c>
      <c r="L128" s="24">
        <f>IFERROR(INDEX(Catalogos!$D$2:$D$9,MATCH(H128,Catalogos!$A$2:$A$9,0)),0)</f>
        <v>4.5</v>
      </c>
      <c r="M128" s="22" t="s">
        <v>65</v>
      </c>
      <c r="N128" s="22" t="s">
        <v>66</v>
      </c>
      <c r="O128" s="23">
        <f t="shared" si="24"/>
        <v>2026</v>
      </c>
      <c r="P128" s="23">
        <f t="shared" si="25"/>
        <v>4</v>
      </c>
      <c r="Q128" s="24">
        <f t="shared" si="26"/>
        <v>98</v>
      </c>
      <c r="R128" s="24">
        <f t="shared" si="27"/>
        <v>9.8000000000000007</v>
      </c>
      <c r="S128" s="24">
        <f t="shared" si="28"/>
        <v>88.2</v>
      </c>
      <c r="T128" s="24">
        <f t="shared" si="29"/>
        <v>31.5</v>
      </c>
      <c r="U128" s="24">
        <f t="shared" si="30"/>
        <v>56.7</v>
      </c>
      <c r="V128" s="26">
        <f t="shared" si="31"/>
        <v>0.6428571428571429</v>
      </c>
    </row>
    <row r="129" spans="1:22" ht="14.25" x14ac:dyDescent="0.2">
      <c r="A129" s="21">
        <v>46130</v>
      </c>
      <c r="B129" s="22" t="s">
        <v>223</v>
      </c>
      <c r="C129" s="22" t="s">
        <v>126</v>
      </c>
      <c r="D129" s="22" t="s">
        <v>9</v>
      </c>
      <c r="E129" s="22" t="s">
        <v>43</v>
      </c>
      <c r="F129" s="22" t="s">
        <v>72</v>
      </c>
      <c r="G129" s="23" t="str">
        <f>IFERROR(INDEX(Catalogos!$B$2:$B$9,MATCH(H129,Catalogos!$A$2:$A$9,0)),"")</f>
        <v>Sensores</v>
      </c>
      <c r="H129" s="22" t="s">
        <v>101</v>
      </c>
      <c r="I129" s="22">
        <v>6</v>
      </c>
      <c r="J129" s="24">
        <f>IFERROR(INDEX(Catalogos!$C$2:$C$9,MATCH(H129,Catalogos!$A$2:$A$9,0)),0)</f>
        <v>36</v>
      </c>
      <c r="K129" s="25">
        <v>0.05</v>
      </c>
      <c r="L129" s="24">
        <f>IFERROR(INDEX(Catalogos!$D$2:$D$9,MATCH(H129,Catalogos!$A$2:$A$9,0)),0)</f>
        <v>17</v>
      </c>
      <c r="M129" s="22" t="s">
        <v>69</v>
      </c>
      <c r="N129" s="22" t="s">
        <v>66</v>
      </c>
      <c r="O129" s="23">
        <f t="shared" si="24"/>
        <v>2026</v>
      </c>
      <c r="P129" s="23">
        <f t="shared" si="25"/>
        <v>4</v>
      </c>
      <c r="Q129" s="24">
        <f t="shared" si="26"/>
        <v>216</v>
      </c>
      <c r="R129" s="24">
        <f t="shared" si="27"/>
        <v>10.8</v>
      </c>
      <c r="S129" s="24">
        <f t="shared" si="28"/>
        <v>205.2</v>
      </c>
      <c r="T129" s="24">
        <f t="shared" si="29"/>
        <v>102</v>
      </c>
      <c r="U129" s="24">
        <f t="shared" si="30"/>
        <v>103.19999999999999</v>
      </c>
      <c r="V129" s="26">
        <f t="shared" si="31"/>
        <v>0.50292397660818711</v>
      </c>
    </row>
    <row r="130" spans="1:22" ht="14.25" x14ac:dyDescent="0.2">
      <c r="A130" s="21">
        <v>46136</v>
      </c>
      <c r="B130" s="22" t="s">
        <v>224</v>
      </c>
      <c r="C130" s="22" t="s">
        <v>123</v>
      </c>
      <c r="D130" s="22" t="s">
        <v>7</v>
      </c>
      <c r="E130" s="22" t="s">
        <v>44</v>
      </c>
      <c r="F130" s="22" t="s">
        <v>63</v>
      </c>
      <c r="G130" s="23" t="str">
        <f>IFERROR(INDEX(Catalogos!$B$2:$B$9,MATCH(H130,Catalogos!$A$2:$A$9,0)),"")</f>
        <v>Iluminación</v>
      </c>
      <c r="H130" s="22" t="s">
        <v>117</v>
      </c>
      <c r="I130" s="22">
        <v>4</v>
      </c>
      <c r="J130" s="24">
        <f>IFERROR(INDEX(Catalogos!$C$2:$C$9,MATCH(H130,Catalogos!$A$2:$A$9,0)),0)</f>
        <v>58</v>
      </c>
      <c r="K130" s="25">
        <v>0.05</v>
      </c>
      <c r="L130" s="24">
        <f>IFERROR(INDEX(Catalogos!$D$2:$D$9,MATCH(H130,Catalogos!$A$2:$A$9,0)),0)</f>
        <v>31</v>
      </c>
      <c r="M130" s="22" t="s">
        <v>78</v>
      </c>
      <c r="N130" s="22" t="s">
        <v>107</v>
      </c>
      <c r="O130" s="23">
        <f t="shared" si="24"/>
        <v>2026</v>
      </c>
      <c r="P130" s="23">
        <f t="shared" si="25"/>
        <v>4</v>
      </c>
      <c r="Q130" s="24">
        <f t="shared" si="26"/>
        <v>232</v>
      </c>
      <c r="R130" s="24">
        <f t="shared" ref="R130:R161" si="32">Q130*K130</f>
        <v>11.600000000000001</v>
      </c>
      <c r="S130" s="24">
        <f t="shared" ref="S130:S161" si="33">Q130-R130</f>
        <v>220.4</v>
      </c>
      <c r="T130" s="24">
        <f t="shared" si="29"/>
        <v>124</v>
      </c>
      <c r="U130" s="24">
        <f t="shared" ref="U130:U161" si="34">S130-T130</f>
        <v>96.4</v>
      </c>
      <c r="V130" s="26">
        <f t="shared" ref="V130:V161" si="35">IFERROR(U130/S130,0)</f>
        <v>0.43738656987295826</v>
      </c>
    </row>
    <row r="131" spans="1:22" ht="14.25" x14ac:dyDescent="0.2">
      <c r="A131" s="21">
        <v>46119</v>
      </c>
      <c r="B131" s="22" t="s">
        <v>225</v>
      </c>
      <c r="C131" s="22" t="s">
        <v>105</v>
      </c>
      <c r="D131" s="22" t="s">
        <v>16</v>
      </c>
      <c r="E131" s="22" t="s">
        <v>43</v>
      </c>
      <c r="F131" s="22" t="s">
        <v>72</v>
      </c>
      <c r="G131" s="23" t="str">
        <f>IFERROR(INDEX(Catalogos!$B$2:$B$9,MATCH(H131,Catalogos!$A$2:$A$9,0)),"")</f>
        <v>Macetas</v>
      </c>
      <c r="H131" s="22" t="s">
        <v>80</v>
      </c>
      <c r="I131" s="22">
        <v>9</v>
      </c>
      <c r="J131" s="24">
        <f>IFERROR(INDEX(Catalogos!$C$2:$C$9,MATCH(H131,Catalogos!$A$2:$A$9,0)),0)</f>
        <v>24</v>
      </c>
      <c r="K131" s="25">
        <v>0</v>
      </c>
      <c r="L131" s="24">
        <f>IFERROR(INDEX(Catalogos!$D$2:$D$9,MATCH(H131,Catalogos!$A$2:$A$9,0)),0)</f>
        <v>11.5</v>
      </c>
      <c r="M131" s="22" t="s">
        <v>69</v>
      </c>
      <c r="N131" s="22" t="s">
        <v>66</v>
      </c>
      <c r="O131" s="23">
        <f t="shared" si="24"/>
        <v>2026</v>
      </c>
      <c r="P131" s="23">
        <f t="shared" si="25"/>
        <v>4</v>
      </c>
      <c r="Q131" s="24">
        <f t="shared" si="26"/>
        <v>216</v>
      </c>
      <c r="R131" s="24">
        <f t="shared" si="32"/>
        <v>0</v>
      </c>
      <c r="S131" s="24">
        <f t="shared" si="33"/>
        <v>216</v>
      </c>
      <c r="T131" s="24">
        <f t="shared" si="29"/>
        <v>103.5</v>
      </c>
      <c r="U131" s="24">
        <f t="shared" si="34"/>
        <v>112.5</v>
      </c>
      <c r="V131" s="26">
        <f t="shared" si="35"/>
        <v>0.52083333333333337</v>
      </c>
    </row>
    <row r="132" spans="1:22" ht="14.25" x14ac:dyDescent="0.2">
      <c r="A132" s="21">
        <v>46132</v>
      </c>
      <c r="B132" s="22" t="s">
        <v>226</v>
      </c>
      <c r="C132" s="22" t="s">
        <v>100</v>
      </c>
      <c r="D132" s="22" t="s">
        <v>9</v>
      </c>
      <c r="E132" s="22" t="s">
        <v>45</v>
      </c>
      <c r="F132" s="22" t="s">
        <v>63</v>
      </c>
      <c r="G132" s="23" t="str">
        <f>IFERROR(INDEX(Catalogos!$B$2:$B$9,MATCH(H132,Catalogos!$A$2:$A$9,0)),"")</f>
        <v>Compostaje</v>
      </c>
      <c r="H132" s="22" t="s">
        <v>77</v>
      </c>
      <c r="I132" s="22">
        <v>8</v>
      </c>
      <c r="J132" s="24">
        <f>IFERROR(INDEX(Catalogos!$C$2:$C$9,MATCH(H132,Catalogos!$A$2:$A$9,0)),0)</f>
        <v>95</v>
      </c>
      <c r="K132" s="25">
        <v>0</v>
      </c>
      <c r="L132" s="24">
        <f>IFERROR(INDEX(Catalogos!$D$2:$D$9,MATCH(H132,Catalogos!$A$2:$A$9,0)),0)</f>
        <v>51</v>
      </c>
      <c r="M132" s="22" t="s">
        <v>65</v>
      </c>
      <c r="N132" s="22" t="s">
        <v>66</v>
      </c>
      <c r="O132" s="23">
        <f t="shared" si="24"/>
        <v>2026</v>
      </c>
      <c r="P132" s="23">
        <f t="shared" si="25"/>
        <v>4</v>
      </c>
      <c r="Q132" s="24">
        <f t="shared" si="26"/>
        <v>760</v>
      </c>
      <c r="R132" s="24">
        <f t="shared" si="32"/>
        <v>0</v>
      </c>
      <c r="S132" s="24">
        <f t="shared" si="33"/>
        <v>760</v>
      </c>
      <c r="T132" s="24">
        <f t="shared" si="29"/>
        <v>408</v>
      </c>
      <c r="U132" s="24">
        <f t="shared" si="34"/>
        <v>352</v>
      </c>
      <c r="V132" s="26">
        <f t="shared" si="35"/>
        <v>0.4631578947368421</v>
      </c>
    </row>
    <row r="133" spans="1:22" ht="14.25" x14ac:dyDescent="0.2">
      <c r="A133" s="21">
        <v>46115</v>
      </c>
      <c r="B133" s="22" t="s">
        <v>227</v>
      </c>
      <c r="C133" s="22" t="s">
        <v>95</v>
      </c>
      <c r="D133" s="22" t="s">
        <v>9</v>
      </c>
      <c r="E133" s="22" t="s">
        <v>45</v>
      </c>
      <c r="F133" s="22" t="s">
        <v>82</v>
      </c>
      <c r="G133" s="23" t="str">
        <f>IFERROR(INDEX(Catalogos!$B$2:$B$9,MATCH(H133,Catalogos!$A$2:$A$9,0)),"")</f>
        <v>Semillas</v>
      </c>
      <c r="H133" s="22" t="s">
        <v>64</v>
      </c>
      <c r="I133" s="22">
        <v>2</v>
      </c>
      <c r="J133" s="24">
        <f>IFERROR(INDEX(Catalogos!$C$2:$C$9,MATCH(H133,Catalogos!$A$2:$A$9,0)),0)</f>
        <v>14</v>
      </c>
      <c r="K133" s="25">
        <v>7.0000000000000007E-2</v>
      </c>
      <c r="L133" s="24">
        <f>IFERROR(INDEX(Catalogos!$D$2:$D$9,MATCH(H133,Catalogos!$A$2:$A$9,0)),0)</f>
        <v>4.5</v>
      </c>
      <c r="M133" s="22" t="s">
        <v>69</v>
      </c>
      <c r="N133" s="22" t="s">
        <v>107</v>
      </c>
      <c r="O133" s="23">
        <f t="shared" si="24"/>
        <v>2026</v>
      </c>
      <c r="P133" s="23">
        <f t="shared" si="25"/>
        <v>4</v>
      </c>
      <c r="Q133" s="24">
        <f t="shared" si="26"/>
        <v>28</v>
      </c>
      <c r="R133" s="24">
        <f t="shared" si="32"/>
        <v>1.9600000000000002</v>
      </c>
      <c r="S133" s="24">
        <f t="shared" si="33"/>
        <v>26.04</v>
      </c>
      <c r="T133" s="24">
        <f t="shared" si="29"/>
        <v>9</v>
      </c>
      <c r="U133" s="24">
        <f t="shared" si="34"/>
        <v>17.04</v>
      </c>
      <c r="V133" s="26">
        <f t="shared" si="35"/>
        <v>0.65437788018433174</v>
      </c>
    </row>
  </sheetData>
  <conditionalFormatting sqref="K2:K300">
    <cfRule type="cellIs" dxfId="2" priority="3" operator="greaterThan">
      <formula>0.08</formula>
    </cfRule>
  </conditionalFormatting>
  <conditionalFormatting sqref="U2:U300">
    <cfRule type="cellIs" dxfId="1" priority="4" operator="lessThan">
      <formula>0</formula>
    </cfRule>
  </conditionalFormatting>
  <conditionalFormatting sqref="V2:V300">
    <cfRule type="cellIs" dxfId="0" priority="2" operator="lessThan">
      <formula>0.3</formula>
    </cfRule>
  </conditionalFormatting>
  <dataValidations count="1">
    <dataValidation type="decimal" sqref="K2:K300" xr:uid="{00000000-0002-0000-0100-000006000000}">
      <formula1>0</formula1>
      <formula2>0.4</formula2>
    </dataValidation>
  </dataValidations>
  <pageMargins left="0.7" right="0.7" top="0.75" bottom="0.75" header="0.511811023622047" footer="0.511811023622047"/>
  <pageSetup paperSize="9" orientation="portrait" horizontalDpi="300" verticalDpi="300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xr:uid="{00000000-0002-0000-0100-000000000000}">
          <x14:formula1>
            <xm:f>Catalogos!$A$2:$A$9</xm:f>
          </x14:formula1>
          <x14:formula2>
            <xm:f>0</xm:f>
          </x14:formula2>
          <xm:sqref>H2:H300</xm:sqref>
        </x14:dataValidation>
        <x14:dataValidation type="list" xr:uid="{00000000-0002-0000-0100-000001000000}">
          <x14:formula1>
            <xm:f>Catalogos!$J$2:$J$5</xm:f>
          </x14:formula1>
          <x14:formula2>
            <xm:f>0</xm:f>
          </x14:formula2>
          <xm:sqref>D2:D300</xm:sqref>
        </x14:dataValidation>
        <x14:dataValidation type="list" xr:uid="{00000000-0002-0000-0100-000002000000}">
          <x14:formula1>
            <xm:f>Catalogos!$K$2:$K$5</xm:f>
          </x14:formula1>
          <x14:formula2>
            <xm:f>0</xm:f>
          </x14:formula2>
          <xm:sqref>E2:E300</xm:sqref>
        </x14:dataValidation>
        <x14:dataValidation type="list" xr:uid="{00000000-0002-0000-0100-000003000000}">
          <x14:formula1>
            <xm:f>Catalogos!$L$2:$L$5</xm:f>
          </x14:formula1>
          <x14:formula2>
            <xm:f>0</xm:f>
          </x14:formula2>
          <xm:sqref>F2:F300</xm:sqref>
        </x14:dataValidation>
        <x14:dataValidation type="list" xr:uid="{00000000-0002-0000-0100-000004000000}">
          <x14:formula1>
            <xm:f>Catalogos!$M$2:$M$5</xm:f>
          </x14:formula1>
          <x14:formula2>
            <xm:f>0</xm:f>
          </x14:formula2>
          <xm:sqref>M2:M300</xm:sqref>
        </x14:dataValidation>
        <x14:dataValidation type="list" xr:uid="{00000000-0002-0000-0100-000005000000}">
          <x14:formula1>
            <xm:f>Catalogos!$N$2:$N$4</xm:f>
          </x14:formula1>
          <x14:formula2>
            <xm:f>0</xm:f>
          </x14:formula2>
          <xm:sqref>N2:N300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0"/>
  <sheetViews>
    <sheetView zoomScaleNormal="100" workbookViewId="0"/>
  </sheetViews>
  <sheetFormatPr baseColWidth="10" defaultColWidth="8.7109375" defaultRowHeight="15" customHeight="1" x14ac:dyDescent="0.2"/>
  <cols>
    <col min="1" max="20" width="18" customWidth="1"/>
  </cols>
  <sheetData>
    <row r="1" spans="1:20" ht="15" customHeight="1" x14ac:dyDescent="0.2">
      <c r="A1" s="27" t="s">
        <v>51</v>
      </c>
      <c r="B1" s="27" t="s">
        <v>22</v>
      </c>
      <c r="C1" s="27" t="s">
        <v>228</v>
      </c>
      <c r="D1" s="27" t="s">
        <v>55</v>
      </c>
      <c r="F1" s="27" t="s">
        <v>10</v>
      </c>
      <c r="G1" s="27" t="s">
        <v>2</v>
      </c>
      <c r="H1" s="27" t="s">
        <v>229</v>
      </c>
      <c r="J1" s="27" t="s">
        <v>230</v>
      </c>
      <c r="K1" s="27" t="s">
        <v>231</v>
      </c>
      <c r="L1" s="27" t="s">
        <v>232</v>
      </c>
      <c r="M1" s="27" t="s">
        <v>233</v>
      </c>
      <c r="N1" s="27" t="s">
        <v>234</v>
      </c>
      <c r="O1" s="27" t="s">
        <v>235</v>
      </c>
      <c r="Q1" s="27" t="s">
        <v>236</v>
      </c>
      <c r="R1" s="27" t="s">
        <v>237</v>
      </c>
      <c r="S1" s="27" t="s">
        <v>238</v>
      </c>
      <c r="T1" s="27" t="s">
        <v>239</v>
      </c>
    </row>
    <row r="2" spans="1:20" x14ac:dyDescent="0.25">
      <c r="A2" t="s">
        <v>73</v>
      </c>
      <c r="B2" t="s">
        <v>27</v>
      </c>
      <c r="C2" s="28">
        <v>79</v>
      </c>
      <c r="D2" s="28">
        <v>42</v>
      </c>
      <c r="F2">
        <v>2025</v>
      </c>
      <c r="G2">
        <v>1</v>
      </c>
      <c r="H2" s="28">
        <v>1800</v>
      </c>
      <c r="J2" t="s">
        <v>7</v>
      </c>
      <c r="K2" t="s">
        <v>42</v>
      </c>
      <c r="L2" t="s">
        <v>96</v>
      </c>
      <c r="M2" t="s">
        <v>78</v>
      </c>
      <c r="N2" t="s">
        <v>66</v>
      </c>
      <c r="O2">
        <v>2025</v>
      </c>
      <c r="Q2" t="s">
        <v>13</v>
      </c>
      <c r="R2" t="s">
        <v>13</v>
      </c>
      <c r="S2" t="s">
        <v>13</v>
      </c>
      <c r="T2" t="s">
        <v>13</v>
      </c>
    </row>
    <row r="3" spans="1:20" x14ac:dyDescent="0.25">
      <c r="A3" t="s">
        <v>80</v>
      </c>
      <c r="B3" t="s">
        <v>29</v>
      </c>
      <c r="C3" s="28">
        <v>24</v>
      </c>
      <c r="D3" s="28">
        <v>11.5</v>
      </c>
      <c r="F3">
        <v>2025</v>
      </c>
      <c r="G3">
        <v>2</v>
      </c>
      <c r="H3" s="28">
        <v>1900</v>
      </c>
      <c r="J3" t="s">
        <v>9</v>
      </c>
      <c r="K3" t="s">
        <v>43</v>
      </c>
      <c r="L3" t="s">
        <v>63</v>
      </c>
      <c r="M3" t="s">
        <v>69</v>
      </c>
      <c r="N3" t="s">
        <v>107</v>
      </c>
      <c r="O3">
        <v>2026</v>
      </c>
      <c r="Q3" t="s">
        <v>7</v>
      </c>
      <c r="R3" t="s">
        <v>42</v>
      </c>
      <c r="S3" t="s">
        <v>96</v>
      </c>
      <c r="T3" t="s">
        <v>66</v>
      </c>
    </row>
    <row r="4" spans="1:20" x14ac:dyDescent="0.25">
      <c r="A4" t="s">
        <v>120</v>
      </c>
      <c r="B4" t="s">
        <v>29</v>
      </c>
      <c r="C4" s="28">
        <v>42</v>
      </c>
      <c r="D4" s="28">
        <v>21</v>
      </c>
      <c r="F4">
        <v>2025</v>
      </c>
      <c r="G4">
        <v>3</v>
      </c>
      <c r="H4" s="28">
        <v>1950</v>
      </c>
      <c r="J4" t="s">
        <v>12</v>
      </c>
      <c r="K4" t="s">
        <v>44</v>
      </c>
      <c r="L4" t="s">
        <v>72</v>
      </c>
      <c r="M4" t="s">
        <v>93</v>
      </c>
      <c r="N4" t="s">
        <v>74</v>
      </c>
      <c r="Q4" t="s">
        <v>9</v>
      </c>
      <c r="R4" t="s">
        <v>43</v>
      </c>
      <c r="S4" t="s">
        <v>63</v>
      </c>
      <c r="T4" t="s">
        <v>107</v>
      </c>
    </row>
    <row r="5" spans="1:20" x14ac:dyDescent="0.25">
      <c r="A5" t="s">
        <v>64</v>
      </c>
      <c r="B5" t="s">
        <v>31</v>
      </c>
      <c r="C5" s="28">
        <v>14</v>
      </c>
      <c r="D5" s="28">
        <v>4.5</v>
      </c>
      <c r="F5">
        <v>2025</v>
      </c>
      <c r="G5">
        <v>4</v>
      </c>
      <c r="H5" s="28">
        <v>2050</v>
      </c>
      <c r="J5" t="s">
        <v>16</v>
      </c>
      <c r="K5" t="s">
        <v>45</v>
      </c>
      <c r="L5" t="s">
        <v>82</v>
      </c>
      <c r="M5" t="s">
        <v>65</v>
      </c>
      <c r="Q5" t="s">
        <v>12</v>
      </c>
      <c r="R5" t="s">
        <v>44</v>
      </c>
      <c r="S5" t="s">
        <v>72</v>
      </c>
      <c r="T5" t="s">
        <v>74</v>
      </c>
    </row>
    <row r="6" spans="1:20" x14ac:dyDescent="0.25">
      <c r="A6" t="s">
        <v>117</v>
      </c>
      <c r="B6" t="s">
        <v>37</v>
      </c>
      <c r="C6" s="28">
        <v>58</v>
      </c>
      <c r="D6" s="28">
        <v>31</v>
      </c>
      <c r="F6">
        <v>2025</v>
      </c>
      <c r="G6">
        <v>5</v>
      </c>
      <c r="H6" s="28">
        <v>2150</v>
      </c>
      <c r="Q6" t="s">
        <v>16</v>
      </c>
      <c r="R6" t="s">
        <v>45</v>
      </c>
      <c r="S6" t="s">
        <v>82</v>
      </c>
    </row>
    <row r="7" spans="1:20" x14ac:dyDescent="0.25">
      <c r="A7" t="s">
        <v>101</v>
      </c>
      <c r="B7" t="s">
        <v>39</v>
      </c>
      <c r="C7" s="28">
        <v>36</v>
      </c>
      <c r="D7" s="28">
        <v>17</v>
      </c>
      <c r="F7">
        <v>2025</v>
      </c>
      <c r="G7">
        <v>6</v>
      </c>
      <c r="H7" s="28">
        <v>2200</v>
      </c>
    </row>
    <row r="8" spans="1:20" x14ac:dyDescent="0.25">
      <c r="A8" t="s">
        <v>77</v>
      </c>
      <c r="B8" t="s">
        <v>40</v>
      </c>
      <c r="C8" s="28">
        <v>95</v>
      </c>
      <c r="D8" s="28">
        <v>51</v>
      </c>
      <c r="F8">
        <v>2025</v>
      </c>
      <c r="G8">
        <v>7</v>
      </c>
      <c r="H8" s="28">
        <v>2250</v>
      </c>
    </row>
    <row r="9" spans="1:20" x14ac:dyDescent="0.25">
      <c r="A9" t="s">
        <v>85</v>
      </c>
      <c r="B9" t="s">
        <v>41</v>
      </c>
      <c r="C9" s="28">
        <v>128</v>
      </c>
      <c r="D9" s="28">
        <v>76</v>
      </c>
      <c r="F9">
        <v>2025</v>
      </c>
      <c r="G9">
        <v>8</v>
      </c>
      <c r="H9" s="28">
        <v>2300</v>
      </c>
    </row>
    <row r="10" spans="1:20" x14ac:dyDescent="0.25">
      <c r="C10" s="28"/>
      <c r="D10" s="28"/>
      <c r="F10">
        <v>2025</v>
      </c>
      <c r="G10">
        <v>9</v>
      </c>
      <c r="H10" s="28">
        <v>2350</v>
      </c>
    </row>
    <row r="11" spans="1:20" x14ac:dyDescent="0.25">
      <c r="C11" s="28"/>
      <c r="D11" s="28"/>
      <c r="F11">
        <v>2025</v>
      </c>
      <c r="G11">
        <v>10</v>
      </c>
      <c r="H11" s="28">
        <v>2450</v>
      </c>
    </row>
    <row r="12" spans="1:20" x14ac:dyDescent="0.25">
      <c r="C12" s="28"/>
      <c r="D12" s="28"/>
      <c r="F12">
        <v>2025</v>
      </c>
      <c r="G12">
        <v>11</v>
      </c>
      <c r="H12" s="28">
        <v>2550</v>
      </c>
    </row>
    <row r="13" spans="1:20" x14ac:dyDescent="0.25">
      <c r="C13" s="28"/>
      <c r="D13" s="28"/>
      <c r="F13">
        <v>2025</v>
      </c>
      <c r="G13">
        <v>12</v>
      </c>
      <c r="H13" s="28">
        <v>2650</v>
      </c>
    </row>
    <row r="14" spans="1:20" x14ac:dyDescent="0.25">
      <c r="C14" s="28"/>
      <c r="D14" s="28"/>
      <c r="F14">
        <v>2026</v>
      </c>
      <c r="G14">
        <v>1</v>
      </c>
      <c r="H14" s="28">
        <v>2100</v>
      </c>
    </row>
    <row r="15" spans="1:20" x14ac:dyDescent="0.25">
      <c r="C15" s="28"/>
      <c r="D15" s="28"/>
      <c r="F15">
        <v>2026</v>
      </c>
      <c r="G15">
        <v>2</v>
      </c>
      <c r="H15" s="28">
        <v>2200</v>
      </c>
    </row>
    <row r="16" spans="1:20" x14ac:dyDescent="0.25">
      <c r="C16" s="28"/>
      <c r="D16" s="28"/>
      <c r="F16">
        <v>2026</v>
      </c>
      <c r="G16">
        <v>3</v>
      </c>
      <c r="H16" s="28">
        <v>2300</v>
      </c>
    </row>
    <row r="17" spans="3:8" x14ac:dyDescent="0.25">
      <c r="C17" s="28"/>
      <c r="D17" s="28"/>
      <c r="F17">
        <v>2026</v>
      </c>
      <c r="G17">
        <v>4</v>
      </c>
      <c r="H17" s="28">
        <v>2400</v>
      </c>
    </row>
    <row r="18" spans="3:8" x14ac:dyDescent="0.25">
      <c r="C18" s="28"/>
      <c r="D18" s="28"/>
      <c r="F18">
        <v>2026</v>
      </c>
      <c r="G18">
        <v>5</v>
      </c>
      <c r="H18" s="28">
        <v>2450</v>
      </c>
    </row>
    <row r="19" spans="3:8" x14ac:dyDescent="0.25">
      <c r="C19" s="28"/>
      <c r="D19" s="28"/>
      <c r="F19">
        <v>2026</v>
      </c>
      <c r="G19">
        <v>6</v>
      </c>
      <c r="H19" s="28">
        <v>2500</v>
      </c>
    </row>
    <row r="20" spans="3:8" x14ac:dyDescent="0.25">
      <c r="C20" s="28"/>
      <c r="D20" s="28"/>
      <c r="F20">
        <v>2026</v>
      </c>
      <c r="G20">
        <v>7</v>
      </c>
      <c r="H20" s="28">
        <v>2550</v>
      </c>
    </row>
    <row r="21" spans="3:8" x14ac:dyDescent="0.25">
      <c r="C21" s="28"/>
      <c r="D21" s="28"/>
      <c r="F21">
        <v>2026</v>
      </c>
      <c r="G21">
        <v>8</v>
      </c>
      <c r="H21" s="28">
        <v>2600</v>
      </c>
    </row>
    <row r="22" spans="3:8" x14ac:dyDescent="0.25">
      <c r="C22" s="28"/>
      <c r="D22" s="28"/>
      <c r="F22">
        <v>2026</v>
      </c>
      <c r="G22">
        <v>9</v>
      </c>
      <c r="H22" s="28">
        <v>2650</v>
      </c>
    </row>
    <row r="23" spans="3:8" x14ac:dyDescent="0.25">
      <c r="C23" s="28"/>
      <c r="D23" s="28"/>
      <c r="F23">
        <v>2026</v>
      </c>
      <c r="G23">
        <v>10</v>
      </c>
      <c r="H23" s="28">
        <v>2700</v>
      </c>
    </row>
    <row r="24" spans="3:8" x14ac:dyDescent="0.25">
      <c r="C24" s="28"/>
      <c r="D24" s="28"/>
      <c r="F24">
        <v>2026</v>
      </c>
      <c r="G24">
        <v>11</v>
      </c>
      <c r="H24" s="28">
        <v>2750</v>
      </c>
    </row>
    <row r="25" spans="3:8" x14ac:dyDescent="0.25">
      <c r="C25" s="28"/>
      <c r="D25" s="28"/>
      <c r="F25">
        <v>2026</v>
      </c>
      <c r="G25">
        <v>12</v>
      </c>
      <c r="H25" s="28">
        <v>2800</v>
      </c>
    </row>
    <row r="26" spans="3:8" x14ac:dyDescent="0.25">
      <c r="C26" s="28"/>
      <c r="D26" s="28"/>
      <c r="H26" s="28"/>
    </row>
    <row r="27" spans="3:8" x14ac:dyDescent="0.25">
      <c r="C27" s="28"/>
      <c r="D27" s="28"/>
      <c r="H27" s="28"/>
    </row>
    <row r="28" spans="3:8" x14ac:dyDescent="0.25">
      <c r="C28" s="28"/>
      <c r="D28" s="28"/>
      <c r="H28" s="28"/>
    </row>
    <row r="29" spans="3:8" x14ac:dyDescent="0.25">
      <c r="C29" s="28"/>
      <c r="D29" s="28"/>
      <c r="H29" s="28"/>
    </row>
    <row r="30" spans="3:8" x14ac:dyDescent="0.25">
      <c r="C30" s="28"/>
      <c r="D30" s="28"/>
      <c r="H30" s="28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Panel</vt:lpstr>
      <vt:lpstr>Operaciones</vt:lpstr>
      <vt:lpstr>Catalogos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2026-04-08T06:59:23Z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2026-04-08T06:40:20Z</dcterms:created>
  <dc:creator>openpyxl</dc:creator>
  <dc:description/>
  <dc:language>en-US</dc:language>
  <cp:lastModifiedBy/>
  <dcterms:modified xsi:type="dcterms:W3CDTF">2026-04-08T06:49:50Z</dcterms:modified>
  <cp:revision>0</cp:revision>
  <dc:subject/>
  <dc:title/>
</cp:coreProperties>
</file>