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turrnos rotativos 4 x 6\"/>
    </mc:Choice>
  </mc:AlternateContent>
  <xr:revisionPtr revIDLastSave="0" documentId="8_{6A291A81-D579-4F2C-AA3E-F4012C811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ante 6x4" sheetId="1" r:id="rId1"/>
    <sheet name="Configuració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  <c r="AM23" i="1" s="1"/>
  <c r="A23" i="1"/>
  <c r="AL23" i="1" s="1"/>
  <c r="E22" i="1"/>
  <c r="D22" i="1"/>
  <c r="C22" i="1"/>
  <c r="B22" i="1"/>
  <c r="AM22" i="1" s="1"/>
  <c r="A22" i="1"/>
  <c r="AL22" i="1" s="1"/>
  <c r="AM21" i="1"/>
  <c r="E21" i="1"/>
  <c r="D21" i="1"/>
  <c r="C21" i="1"/>
  <c r="B21" i="1"/>
  <c r="A21" i="1"/>
  <c r="AL21" i="1" s="1"/>
  <c r="E20" i="1"/>
  <c r="D20" i="1"/>
  <c r="C20" i="1"/>
  <c r="B20" i="1"/>
  <c r="AM20" i="1" s="1"/>
  <c r="A20" i="1"/>
  <c r="AL20" i="1" s="1"/>
  <c r="AL19" i="1"/>
  <c r="E19" i="1"/>
  <c r="D19" i="1"/>
  <c r="C19" i="1"/>
  <c r="B19" i="1"/>
  <c r="AM19" i="1" s="1"/>
  <c r="A19" i="1"/>
  <c r="AL18" i="1"/>
  <c r="E18" i="1"/>
  <c r="D18" i="1"/>
  <c r="C18" i="1"/>
  <c r="B18" i="1"/>
  <c r="AM18" i="1" s="1"/>
  <c r="A18" i="1"/>
  <c r="E17" i="1"/>
  <c r="D17" i="1"/>
  <c r="C17" i="1"/>
  <c r="B17" i="1"/>
  <c r="AM17" i="1" s="1"/>
  <c r="A17" i="1"/>
  <c r="AL17" i="1" s="1"/>
  <c r="AM16" i="1"/>
  <c r="AL16" i="1"/>
  <c r="E16" i="1"/>
  <c r="D16" i="1"/>
  <c r="C16" i="1"/>
  <c r="B16" i="1"/>
  <c r="A16" i="1"/>
  <c r="AM15" i="1"/>
  <c r="AL15" i="1"/>
  <c r="E15" i="1"/>
  <c r="D15" i="1"/>
  <c r="C15" i="1"/>
  <c r="B15" i="1"/>
  <c r="A15" i="1"/>
  <c r="AL14" i="1"/>
  <c r="E14" i="1"/>
  <c r="D14" i="1"/>
  <c r="C14" i="1"/>
  <c r="B14" i="1"/>
  <c r="AM14" i="1" s="1"/>
  <c r="A14" i="1"/>
  <c r="AM13" i="1"/>
  <c r="AL13" i="1"/>
  <c r="E13" i="1"/>
  <c r="D13" i="1"/>
  <c r="C13" i="1"/>
  <c r="B13" i="1"/>
  <c r="A13" i="1"/>
  <c r="AM12" i="1"/>
  <c r="AL12" i="1"/>
  <c r="E12" i="1"/>
  <c r="D12" i="1"/>
  <c r="C12" i="1"/>
  <c r="B12" i="1"/>
  <c r="A12" i="1"/>
  <c r="B8" i="1"/>
  <c r="S9" i="1" s="1"/>
  <c r="AM3" i="1"/>
  <c r="S18" i="1" l="1"/>
  <c r="S23" i="1"/>
  <c r="S20" i="1"/>
  <c r="S15" i="1"/>
  <c r="S17" i="1"/>
  <c r="S14" i="1"/>
  <c r="S10" i="1"/>
  <c r="S12" i="1"/>
  <c r="S29" i="1" s="1"/>
  <c r="S16" i="1"/>
  <c r="S13" i="1"/>
  <c r="S22" i="1"/>
  <c r="S19" i="1"/>
  <c r="S11" i="1"/>
  <c r="S21" i="1"/>
  <c r="T9" i="1"/>
  <c r="U9" i="1"/>
  <c r="AH9" i="1"/>
  <c r="W9" i="1"/>
  <c r="Y9" i="1"/>
  <c r="F9" i="1"/>
  <c r="G9" i="1"/>
  <c r="AA9" i="1"/>
  <c r="Z9" i="1"/>
  <c r="H9" i="1"/>
  <c r="AB9" i="1"/>
  <c r="Q9" i="1"/>
  <c r="K9" i="1"/>
  <c r="AC9" i="1"/>
  <c r="AD9" i="1"/>
  <c r="AE9" i="1"/>
  <c r="L9" i="1"/>
  <c r="AF9" i="1"/>
  <c r="N9" i="1"/>
  <c r="V9" i="1"/>
  <c r="X9" i="1"/>
  <c r="I9" i="1"/>
  <c r="J9" i="1"/>
  <c r="M9" i="1"/>
  <c r="AG9" i="1"/>
  <c r="AI9" i="1"/>
  <c r="O9" i="1"/>
  <c r="P9" i="1"/>
  <c r="AJ9" i="1"/>
  <c r="R9" i="1"/>
  <c r="AF19" i="1" l="1"/>
  <c r="AF16" i="1"/>
  <c r="AF11" i="1"/>
  <c r="AF21" i="1"/>
  <c r="AF18" i="1"/>
  <c r="AF15" i="1"/>
  <c r="AF12" i="1"/>
  <c r="AF28" i="1" s="1"/>
  <c r="AF14" i="1"/>
  <c r="AF20" i="1"/>
  <c r="AF23" i="1"/>
  <c r="AF17" i="1"/>
  <c r="AF29" i="1" s="1"/>
  <c r="AF10" i="1"/>
  <c r="AF13" i="1"/>
  <c r="AF22" i="1"/>
  <c r="S31" i="1"/>
  <c r="N13" i="1"/>
  <c r="N11" i="1"/>
  <c r="N21" i="1"/>
  <c r="N15" i="1"/>
  <c r="N12" i="1"/>
  <c r="N31" i="1" s="1"/>
  <c r="N18" i="1"/>
  <c r="N23" i="1"/>
  <c r="N20" i="1"/>
  <c r="N17" i="1"/>
  <c r="N14" i="1"/>
  <c r="N29" i="1" s="1"/>
  <c r="N10" i="1"/>
  <c r="N22" i="1"/>
  <c r="N19" i="1"/>
  <c r="N16" i="1"/>
  <c r="L19" i="1"/>
  <c r="L16" i="1"/>
  <c r="L11" i="1"/>
  <c r="L21" i="1"/>
  <c r="L18" i="1"/>
  <c r="L15" i="1"/>
  <c r="L12" i="1"/>
  <c r="L31" i="1" s="1"/>
  <c r="L20" i="1"/>
  <c r="L17" i="1"/>
  <c r="L13" i="1"/>
  <c r="L27" i="1" s="1"/>
  <c r="L23" i="1"/>
  <c r="L14" i="1"/>
  <c r="L10" i="1"/>
  <c r="L22" i="1"/>
  <c r="F17" i="1"/>
  <c r="F19" i="1"/>
  <c r="AU19" i="1" s="1"/>
  <c r="F16" i="1"/>
  <c r="AU16" i="1" s="1"/>
  <c r="F12" i="1"/>
  <c r="F28" i="1" s="1"/>
  <c r="F13" i="1"/>
  <c r="F14" i="1"/>
  <c r="F11" i="1"/>
  <c r="F15" i="1"/>
  <c r="F10" i="1"/>
  <c r="F21" i="1"/>
  <c r="AU21" i="1" s="1"/>
  <c r="F18" i="1"/>
  <c r="F22" i="1"/>
  <c r="F23" i="1"/>
  <c r="AU23" i="1" s="1"/>
  <c r="F20" i="1"/>
  <c r="AU20" i="1" s="1"/>
  <c r="AG16" i="1"/>
  <c r="AG11" i="1"/>
  <c r="AG18" i="1"/>
  <c r="AG13" i="1"/>
  <c r="AG21" i="1"/>
  <c r="AG15" i="1"/>
  <c r="AG12" i="1"/>
  <c r="AG31" i="1" s="1"/>
  <c r="AG10" i="1"/>
  <c r="AG23" i="1"/>
  <c r="AG17" i="1"/>
  <c r="AG14" i="1"/>
  <c r="AG20" i="1"/>
  <c r="AG22" i="1"/>
  <c r="AG30" i="1" s="1"/>
  <c r="AG19" i="1"/>
  <c r="Y20" i="1"/>
  <c r="Y17" i="1"/>
  <c r="Y10" i="1"/>
  <c r="Y22" i="1"/>
  <c r="Y14" i="1"/>
  <c r="Y19" i="1"/>
  <c r="Y16" i="1"/>
  <c r="Y13" i="1"/>
  <c r="Y21" i="1"/>
  <c r="Y11" i="1"/>
  <c r="Y18" i="1"/>
  <c r="Y15" i="1"/>
  <c r="Y12" i="1"/>
  <c r="Y30" i="1" s="1"/>
  <c r="Y23" i="1"/>
  <c r="M16" i="1"/>
  <c r="M21" i="1"/>
  <c r="M11" i="1"/>
  <c r="M18" i="1"/>
  <c r="M15" i="1"/>
  <c r="M12" i="1"/>
  <c r="M31" i="1" s="1"/>
  <c r="M23" i="1"/>
  <c r="M14" i="1"/>
  <c r="M10" i="1"/>
  <c r="M20" i="1"/>
  <c r="M17" i="1"/>
  <c r="M13" i="1"/>
  <c r="M30" i="1" s="1"/>
  <c r="M22" i="1"/>
  <c r="M19" i="1"/>
  <c r="W23" i="1"/>
  <c r="W17" i="1"/>
  <c r="W14" i="1"/>
  <c r="W19" i="1"/>
  <c r="W16" i="1"/>
  <c r="W21" i="1"/>
  <c r="W15" i="1"/>
  <c r="W22" i="1"/>
  <c r="W20" i="1"/>
  <c r="W10" i="1"/>
  <c r="W13" i="1"/>
  <c r="W28" i="1" s="1"/>
  <c r="W11" i="1"/>
  <c r="W31" i="1"/>
  <c r="W18" i="1"/>
  <c r="W12" i="1"/>
  <c r="W27" i="1" s="1"/>
  <c r="J22" i="1"/>
  <c r="J16" i="1"/>
  <c r="J13" i="1"/>
  <c r="J11" i="1"/>
  <c r="J15" i="1"/>
  <c r="J14" i="1"/>
  <c r="J21" i="1"/>
  <c r="J18" i="1"/>
  <c r="J12" i="1"/>
  <c r="J28" i="1" s="1"/>
  <c r="J20" i="1"/>
  <c r="J27" i="1" s="1"/>
  <c r="J23" i="1"/>
  <c r="J17" i="1"/>
  <c r="J19" i="1"/>
  <c r="J10" i="1"/>
  <c r="AH13" i="1"/>
  <c r="AH11" i="1"/>
  <c r="AH18" i="1"/>
  <c r="AH21" i="1"/>
  <c r="AH15" i="1"/>
  <c r="AH12" i="1"/>
  <c r="AH29" i="1" s="1"/>
  <c r="AH23" i="1"/>
  <c r="AH20" i="1"/>
  <c r="AH14" i="1"/>
  <c r="AH31" i="1" s="1"/>
  <c r="AH10" i="1"/>
  <c r="AH17" i="1"/>
  <c r="AH22" i="1"/>
  <c r="AH19" i="1"/>
  <c r="AH16" i="1"/>
  <c r="X23" i="1"/>
  <c r="X20" i="1"/>
  <c r="X14" i="1"/>
  <c r="X10" i="1"/>
  <c r="X16" i="1"/>
  <c r="X12" i="1"/>
  <c r="X29" i="1" s="1"/>
  <c r="X22" i="1"/>
  <c r="X13" i="1"/>
  <c r="X28" i="1" s="1"/>
  <c r="X19" i="1"/>
  <c r="X11" i="1"/>
  <c r="X21" i="1"/>
  <c r="X18" i="1"/>
  <c r="X15" i="1"/>
  <c r="X17" i="1"/>
  <c r="T15" i="1"/>
  <c r="T23" i="1"/>
  <c r="T20" i="1"/>
  <c r="T17" i="1"/>
  <c r="T14" i="1"/>
  <c r="T27" i="1" s="1"/>
  <c r="T10" i="1"/>
  <c r="T11" i="1"/>
  <c r="T22" i="1"/>
  <c r="T30" i="1" s="1"/>
  <c r="T12" i="1"/>
  <c r="T31" i="1" s="1"/>
  <c r="T19" i="1"/>
  <c r="T16" i="1"/>
  <c r="T13" i="1"/>
  <c r="T21" i="1"/>
  <c r="T18" i="1"/>
  <c r="V20" i="1"/>
  <c r="V14" i="1"/>
  <c r="V17" i="1"/>
  <c r="V10" i="1"/>
  <c r="V19" i="1"/>
  <c r="V22" i="1"/>
  <c r="V18" i="1"/>
  <c r="V16" i="1"/>
  <c r="V28" i="1" s="1"/>
  <c r="V13" i="1"/>
  <c r="V29" i="1" s="1"/>
  <c r="V11" i="1"/>
  <c r="V21" i="1"/>
  <c r="V23" i="1"/>
  <c r="V15" i="1"/>
  <c r="V12" i="1"/>
  <c r="V31" i="1" s="1"/>
  <c r="AE22" i="1"/>
  <c r="AE19" i="1"/>
  <c r="AE13" i="1"/>
  <c r="AE11" i="1"/>
  <c r="AE10" i="1"/>
  <c r="AE21" i="1"/>
  <c r="AE12" i="1"/>
  <c r="AE27" i="1" s="1"/>
  <c r="AE18" i="1"/>
  <c r="AE15" i="1"/>
  <c r="AE16" i="1"/>
  <c r="AE20" i="1"/>
  <c r="AE17" i="1"/>
  <c r="AE23" i="1"/>
  <c r="AE14" i="1"/>
  <c r="S28" i="1"/>
  <c r="AI11" i="1"/>
  <c r="AI21" i="1"/>
  <c r="AI15" i="1"/>
  <c r="AI18" i="1"/>
  <c r="AI12" i="1"/>
  <c r="AI29" i="1" s="1"/>
  <c r="AI20" i="1"/>
  <c r="AI19" i="1"/>
  <c r="AI23" i="1"/>
  <c r="AI17" i="1"/>
  <c r="AI14" i="1"/>
  <c r="AI10" i="1"/>
  <c r="AI22" i="1"/>
  <c r="AI16" i="1"/>
  <c r="AI13" i="1"/>
  <c r="AD22" i="1"/>
  <c r="AD16" i="1"/>
  <c r="AD13" i="1"/>
  <c r="AD29" i="1" s="1"/>
  <c r="AD19" i="1"/>
  <c r="AD11" i="1"/>
  <c r="AD18" i="1"/>
  <c r="AD15" i="1"/>
  <c r="AD14" i="1"/>
  <c r="AD21" i="1"/>
  <c r="AD12" i="1"/>
  <c r="AD20" i="1"/>
  <c r="AD23" i="1"/>
  <c r="AD17" i="1"/>
  <c r="AD10" i="1"/>
  <c r="AC19" i="1"/>
  <c r="AC16" i="1"/>
  <c r="AC28" i="1" s="1"/>
  <c r="AC21" i="1"/>
  <c r="AC18" i="1"/>
  <c r="AC17" i="1"/>
  <c r="AC11" i="1"/>
  <c r="AC15" i="1"/>
  <c r="AC22" i="1"/>
  <c r="AC12" i="1"/>
  <c r="AC29" i="1" s="1"/>
  <c r="AC23" i="1"/>
  <c r="AC20" i="1"/>
  <c r="AC13" i="1"/>
  <c r="AC30" i="1" s="1"/>
  <c r="AC14" i="1"/>
  <c r="AC10" i="1"/>
  <c r="K22" i="1"/>
  <c r="K19" i="1"/>
  <c r="K16" i="1"/>
  <c r="K13" i="1"/>
  <c r="K30" i="1" s="1"/>
  <c r="K11" i="1"/>
  <c r="K15" i="1"/>
  <c r="K12" i="1"/>
  <c r="K31" i="1" s="1"/>
  <c r="K21" i="1"/>
  <c r="K10" i="1"/>
  <c r="K18" i="1"/>
  <c r="K20" i="1"/>
  <c r="K17" i="1"/>
  <c r="K23" i="1"/>
  <c r="K14" i="1"/>
  <c r="S30" i="1"/>
  <c r="R21" i="1"/>
  <c r="R18" i="1"/>
  <c r="R31" i="1" s="1"/>
  <c r="R29" i="1"/>
  <c r="R12" i="1"/>
  <c r="R27" i="1" s="1"/>
  <c r="R23" i="1"/>
  <c r="R14" i="1"/>
  <c r="R10" i="1"/>
  <c r="R15" i="1"/>
  <c r="R20" i="1"/>
  <c r="R17" i="1"/>
  <c r="R16" i="1"/>
  <c r="R19" i="1"/>
  <c r="R22" i="1"/>
  <c r="R13" i="1"/>
  <c r="R30" i="1" s="1"/>
  <c r="R11" i="1"/>
  <c r="H10" i="1"/>
  <c r="H30" i="1"/>
  <c r="H28" i="1"/>
  <c r="H22" i="1"/>
  <c r="H19" i="1"/>
  <c r="H13" i="1"/>
  <c r="H27" i="1" s="1"/>
  <c r="H11" i="1"/>
  <c r="H21" i="1"/>
  <c r="H20" i="1"/>
  <c r="H16" i="1"/>
  <c r="H18" i="1"/>
  <c r="H15" i="1"/>
  <c r="H12" i="1"/>
  <c r="H31" i="1" s="1"/>
  <c r="H23" i="1"/>
  <c r="H17" i="1"/>
  <c r="H14" i="1"/>
  <c r="H29" i="1" s="1"/>
  <c r="AJ21" i="1"/>
  <c r="AJ18" i="1"/>
  <c r="AJ15" i="1"/>
  <c r="AJ20" i="1"/>
  <c r="AJ11" i="1"/>
  <c r="AJ17" i="1"/>
  <c r="AJ16" i="1"/>
  <c r="AJ23" i="1"/>
  <c r="AJ14" i="1"/>
  <c r="AJ10" i="1"/>
  <c r="AJ22" i="1"/>
  <c r="AJ19" i="1"/>
  <c r="AJ13" i="1"/>
  <c r="AJ12" i="1"/>
  <c r="AJ27" i="1" s="1"/>
  <c r="Z17" i="1"/>
  <c r="Z29" i="1" s="1"/>
  <c r="Z19" i="1"/>
  <c r="Z12" i="1"/>
  <c r="Z16" i="1"/>
  <c r="Z13" i="1"/>
  <c r="Z14" i="1"/>
  <c r="Z10" i="1"/>
  <c r="Z22" i="1"/>
  <c r="Z11" i="1"/>
  <c r="Z18" i="1"/>
  <c r="Z15" i="1"/>
  <c r="Z30" i="1" s="1"/>
  <c r="Z21" i="1"/>
  <c r="Z23" i="1"/>
  <c r="Z20" i="1"/>
  <c r="Q11" i="1"/>
  <c r="Q21" i="1"/>
  <c r="Q15" i="1"/>
  <c r="Q12" i="1"/>
  <c r="Q29" i="1" s="1"/>
  <c r="Q18" i="1"/>
  <c r="Q23" i="1"/>
  <c r="Q14" i="1"/>
  <c r="Q13" i="1"/>
  <c r="Q27" i="1" s="1"/>
  <c r="Q20" i="1"/>
  <c r="Q17" i="1"/>
  <c r="Q10" i="1"/>
  <c r="Q19" i="1"/>
  <c r="Q22" i="1"/>
  <c r="Q16" i="1"/>
  <c r="Q30" i="1" s="1"/>
  <c r="AB10" i="1"/>
  <c r="AB22" i="1"/>
  <c r="AB19" i="1"/>
  <c r="AB13" i="1"/>
  <c r="AB11" i="1"/>
  <c r="AB21" i="1"/>
  <c r="AB18" i="1"/>
  <c r="AB12" i="1"/>
  <c r="AB28" i="1" s="1"/>
  <c r="AB20" i="1"/>
  <c r="AB15" i="1"/>
  <c r="AB31" i="1" s="1"/>
  <c r="AB23" i="1"/>
  <c r="AB16" i="1"/>
  <c r="AB27" i="1" s="1"/>
  <c r="AB17" i="1"/>
  <c r="AB14" i="1"/>
  <c r="P18" i="1"/>
  <c r="P15" i="1"/>
  <c r="P17" i="1"/>
  <c r="P21" i="1"/>
  <c r="P12" i="1"/>
  <c r="P31" i="1" s="1"/>
  <c r="P16" i="1"/>
  <c r="P23" i="1"/>
  <c r="P20" i="1"/>
  <c r="P14" i="1"/>
  <c r="P10" i="1"/>
  <c r="P22" i="1"/>
  <c r="P30" i="1" s="1"/>
  <c r="P19" i="1"/>
  <c r="P11" i="1"/>
  <c r="P13" i="1"/>
  <c r="AA14" i="1"/>
  <c r="AA22" i="1"/>
  <c r="AA19" i="1"/>
  <c r="AA16" i="1"/>
  <c r="AA13" i="1"/>
  <c r="AA11" i="1"/>
  <c r="AA21" i="1"/>
  <c r="AA12" i="1"/>
  <c r="AA30" i="1" s="1"/>
  <c r="AA10" i="1"/>
  <c r="AA18" i="1"/>
  <c r="AA15" i="1"/>
  <c r="AA29" i="1"/>
  <c r="AA23" i="1"/>
  <c r="AA20" i="1"/>
  <c r="AA17" i="1"/>
  <c r="O21" i="1"/>
  <c r="O18" i="1"/>
  <c r="O12" i="1"/>
  <c r="O31" i="1" s="1"/>
  <c r="O15" i="1"/>
  <c r="O20" i="1"/>
  <c r="O19" i="1"/>
  <c r="O23" i="1"/>
  <c r="O17" i="1"/>
  <c r="O10" i="1"/>
  <c r="O14" i="1"/>
  <c r="O28" i="1" s="1"/>
  <c r="O30" i="1"/>
  <c r="O22" i="1"/>
  <c r="O11" i="1"/>
  <c r="O16" i="1"/>
  <c r="O13" i="1"/>
  <c r="G14" i="1"/>
  <c r="AU14" i="1" s="1"/>
  <c r="G22" i="1"/>
  <c r="G19" i="1"/>
  <c r="G16" i="1"/>
  <c r="G10" i="1"/>
  <c r="G13" i="1"/>
  <c r="G11" i="1"/>
  <c r="G21" i="1"/>
  <c r="G18" i="1"/>
  <c r="AU18" i="1" s="1"/>
  <c r="G15" i="1"/>
  <c r="AU15" i="1" s="1"/>
  <c r="G12" i="1"/>
  <c r="G30" i="1" s="1"/>
  <c r="G23" i="1"/>
  <c r="G20" i="1"/>
  <c r="G17" i="1"/>
  <c r="I19" i="1"/>
  <c r="I16" i="1"/>
  <c r="I18" i="1"/>
  <c r="I17" i="1"/>
  <c r="I11" i="1"/>
  <c r="I21" i="1"/>
  <c r="I22" i="1"/>
  <c r="I13" i="1"/>
  <c r="I15" i="1"/>
  <c r="I31" i="1" s="1"/>
  <c r="I12" i="1"/>
  <c r="I30" i="1" s="1"/>
  <c r="I23" i="1"/>
  <c r="I20" i="1"/>
  <c r="I14" i="1"/>
  <c r="I10" i="1"/>
  <c r="U12" i="1"/>
  <c r="U31" i="1" s="1"/>
  <c r="U23" i="1"/>
  <c r="U17" i="1"/>
  <c r="U20" i="1"/>
  <c r="U14" i="1"/>
  <c r="U21" i="1"/>
  <c r="U10" i="1"/>
  <c r="U22" i="1"/>
  <c r="U19" i="1"/>
  <c r="U30" i="1" s="1"/>
  <c r="U16" i="1"/>
  <c r="U13" i="1"/>
  <c r="U29" i="1" s="1"/>
  <c r="U11" i="1"/>
  <c r="U18" i="1"/>
  <c r="U15" i="1"/>
  <c r="S27" i="1"/>
  <c r="H33" i="1" l="1"/>
  <c r="H32" i="1"/>
  <c r="AE32" i="1"/>
  <c r="AE33" i="1"/>
  <c r="AB33" i="1"/>
  <c r="AB32" i="1"/>
  <c r="AJ32" i="1"/>
  <c r="Y29" i="1"/>
  <c r="Z28" i="1"/>
  <c r="AJ29" i="1"/>
  <c r="AC31" i="1"/>
  <c r="AD31" i="1"/>
  <c r="AE29" i="1"/>
  <c r="X31" i="1"/>
  <c r="AH28" i="1"/>
  <c r="N28" i="1"/>
  <c r="AG28" i="1"/>
  <c r="G31" i="1"/>
  <c r="V30" i="1"/>
  <c r="Z31" i="1"/>
  <c r="AB30" i="1"/>
  <c r="I27" i="1"/>
  <c r="G29" i="1"/>
  <c r="Q31" i="1"/>
  <c r="AH30" i="1"/>
  <c r="W29" i="1"/>
  <c r="W32" i="1" s="1"/>
  <c r="AS14" i="1"/>
  <c r="AR14" i="1"/>
  <c r="AP14" i="1"/>
  <c r="AO14" i="1"/>
  <c r="AN14" i="1"/>
  <c r="AT14" i="1"/>
  <c r="AQ14" i="1"/>
  <c r="N30" i="1"/>
  <c r="AF30" i="1"/>
  <c r="I29" i="1"/>
  <c r="AH27" i="1"/>
  <c r="G27" i="1"/>
  <c r="AA27" i="1"/>
  <c r="AJ31" i="1"/>
  <c r="AI27" i="1"/>
  <c r="M28" i="1"/>
  <c r="Y27" i="1"/>
  <c r="U28" i="1"/>
  <c r="AB29" i="1"/>
  <c r="AJ30" i="1"/>
  <c r="AI31" i="1"/>
  <c r="F29" i="1"/>
  <c r="L29" i="1"/>
  <c r="N27" i="1"/>
  <c r="AT22" i="1"/>
  <c r="AS22" i="1"/>
  <c r="AR22" i="1"/>
  <c r="AQ22" i="1"/>
  <c r="AP22" i="1"/>
  <c r="AO22" i="1"/>
  <c r="AN22" i="1"/>
  <c r="AJ28" i="1"/>
  <c r="AJ33" i="1" s="1"/>
  <c r="AF27" i="1"/>
  <c r="AA31" i="1"/>
  <c r="R28" i="1"/>
  <c r="R32" i="1" s="1"/>
  <c r="AD30" i="1"/>
  <c r="AD28" i="1"/>
  <c r="J31" i="1"/>
  <c r="AU12" i="1"/>
  <c r="O27" i="1"/>
  <c r="X30" i="1"/>
  <c r="M27" i="1"/>
  <c r="AG27" i="1"/>
  <c r="AN18" i="1"/>
  <c r="AS18" i="1"/>
  <c r="AT18" i="1"/>
  <c r="AQ18" i="1"/>
  <c r="AR18" i="1"/>
  <c r="AP18" i="1"/>
  <c r="AO18" i="1"/>
  <c r="AU22" i="1"/>
  <c r="Q28" i="1"/>
  <c r="Q32" i="1" s="1"/>
  <c r="AP12" i="1"/>
  <c r="AN12" i="1"/>
  <c r="AO12" i="1"/>
  <c r="AS12" i="1"/>
  <c r="AT12" i="1"/>
  <c r="AR12" i="1"/>
  <c r="AQ12" i="1"/>
  <c r="AM6" i="1" s="1"/>
  <c r="F27" i="1"/>
  <c r="F30" i="1"/>
  <c r="AE28" i="1"/>
  <c r="S32" i="1"/>
  <c r="S33" i="1"/>
  <c r="U27" i="1"/>
  <c r="G28" i="1"/>
  <c r="O29" i="1"/>
  <c r="K27" i="1"/>
  <c r="AI28" i="1"/>
  <c r="V27" i="1"/>
  <c r="M29" i="1"/>
  <c r="AT17" i="1"/>
  <c r="AR17" i="1"/>
  <c r="AQ17" i="1"/>
  <c r="AP17" i="1"/>
  <c r="AO17" i="1"/>
  <c r="AS17" i="1"/>
  <c r="AN17" i="1"/>
  <c r="AV17" i="1" s="1"/>
  <c r="Y31" i="1"/>
  <c r="J29" i="1"/>
  <c r="J32" i="1" s="1"/>
  <c r="K28" i="1"/>
  <c r="AT21" i="1"/>
  <c r="AS21" i="1"/>
  <c r="AR21" i="1"/>
  <c r="AQ21" i="1"/>
  <c r="AP21" i="1"/>
  <c r="AO21" i="1"/>
  <c r="AN21" i="1"/>
  <c r="K29" i="1"/>
  <c r="AC27" i="1"/>
  <c r="AD27" i="1"/>
  <c r="AI30" i="1"/>
  <c r="T29" i="1"/>
  <c r="T32" i="1" s="1"/>
  <c r="W30" i="1"/>
  <c r="AG29" i="1"/>
  <c r="F31" i="1"/>
  <c r="AU17" i="1"/>
  <c r="AF31" i="1"/>
  <c r="X27" i="1"/>
  <c r="Y28" i="1"/>
  <c r="L28" i="1"/>
  <c r="L33" i="1" s="1"/>
  <c r="AT13" i="1"/>
  <c r="AS13" i="1"/>
  <c r="AN13" i="1"/>
  <c r="AR13" i="1"/>
  <c r="AP13" i="1"/>
  <c r="AO13" i="1"/>
  <c r="AQ13" i="1"/>
  <c r="T28" i="1"/>
  <c r="T33" i="1" s="1"/>
  <c r="AU13" i="1"/>
  <c r="Z27" i="1"/>
  <c r="AS23" i="1"/>
  <c r="AR23" i="1"/>
  <c r="AQ23" i="1"/>
  <c r="AP23" i="1"/>
  <c r="AO23" i="1"/>
  <c r="AN23" i="1"/>
  <c r="AT23" i="1"/>
  <c r="AE31" i="1"/>
  <c r="AR19" i="1"/>
  <c r="AT19" i="1"/>
  <c r="AS19" i="1"/>
  <c r="AQ19" i="1"/>
  <c r="AP19" i="1"/>
  <c r="AN19" i="1"/>
  <c r="AO19" i="1"/>
  <c r="I28" i="1"/>
  <c r="P27" i="1"/>
  <c r="AA28" i="1"/>
  <c r="P29" i="1"/>
  <c r="AO15" i="1"/>
  <c r="AN15" i="1"/>
  <c r="AT15" i="1"/>
  <c r="AR15" i="1"/>
  <c r="AS15" i="1"/>
  <c r="AQ15" i="1"/>
  <c r="AP15" i="1"/>
  <c r="AT20" i="1"/>
  <c r="AS20" i="1"/>
  <c r="AQ20" i="1"/>
  <c r="AP20" i="1"/>
  <c r="AN20" i="1"/>
  <c r="AR20" i="1"/>
  <c r="AO20" i="1"/>
  <c r="P28" i="1"/>
  <c r="AS16" i="1"/>
  <c r="AT16" i="1"/>
  <c r="AR16" i="1"/>
  <c r="AQ16" i="1"/>
  <c r="AO16" i="1"/>
  <c r="AP16" i="1"/>
  <c r="AN16" i="1"/>
  <c r="AE30" i="1"/>
  <c r="J30" i="1"/>
  <c r="L30" i="1"/>
  <c r="F32" i="1" l="1"/>
  <c r="F33" i="1"/>
  <c r="O33" i="1"/>
  <c r="O32" i="1"/>
  <c r="AA32" i="1"/>
  <c r="AA33" i="1"/>
  <c r="AV15" i="1"/>
  <c r="G32" i="1"/>
  <c r="G33" i="1"/>
  <c r="Z33" i="1"/>
  <c r="Z32" i="1"/>
  <c r="AC33" i="1"/>
  <c r="AC32" i="1"/>
  <c r="V32" i="1"/>
  <c r="V33" i="1"/>
  <c r="J33" i="1"/>
  <c r="AV23" i="1"/>
  <c r="Q33" i="1"/>
  <c r="AV12" i="1"/>
  <c r="AM5" i="1"/>
  <c r="AM4" i="1"/>
  <c r="AD33" i="1"/>
  <c r="AD32" i="1"/>
  <c r="AV22" i="1"/>
  <c r="AH33" i="1"/>
  <c r="AH32" i="1"/>
  <c r="P32" i="1"/>
  <c r="P33" i="1"/>
  <c r="AV21" i="1"/>
  <c r="K33" i="1"/>
  <c r="K32" i="1"/>
  <c r="Y32" i="1"/>
  <c r="Y33" i="1"/>
  <c r="W33" i="1"/>
  <c r="X32" i="1"/>
  <c r="X33" i="1"/>
  <c r="AF32" i="1"/>
  <c r="AF33" i="1"/>
  <c r="L32" i="1"/>
  <c r="AV14" i="1"/>
  <c r="I32" i="1"/>
  <c r="I33" i="1"/>
  <c r="AV16" i="1"/>
  <c r="U32" i="1"/>
  <c r="U33" i="1"/>
  <c r="AV18" i="1"/>
  <c r="N33" i="1"/>
  <c r="N32" i="1"/>
  <c r="AG32" i="1"/>
  <c r="AG33" i="1"/>
  <c r="R33" i="1"/>
  <c r="AI32" i="1"/>
  <c r="AI33" i="1"/>
  <c r="AV19" i="1"/>
  <c r="AV13" i="1"/>
  <c r="AV20" i="1"/>
  <c r="M33" i="1"/>
  <c r="M32" i="1"/>
  <c r="AM8" i="1" l="1"/>
  <c r="AM7" i="1"/>
</calcChain>
</file>

<file path=xl/sharedStrings.xml><?xml version="1.0" encoding="utf-8"?>
<sst xmlns="http://schemas.openxmlformats.org/spreadsheetml/2006/main" count="179" uniqueCount="108">
  <si>
    <t>Cuadrante de turnos 6x4</t>
  </si>
  <si>
    <t>Resumen mensual</t>
  </si>
  <si>
    <t>Modelo editable con rotación automática 6 días trabajados + 4 de descanso. Los datos son ficticios y sirven como ejemplo.</t>
  </si>
  <si>
    <t>Personas</t>
  </si>
  <si>
    <t>Parámetros del mes</t>
  </si>
  <si>
    <t>Leyenda</t>
  </si>
  <si>
    <t>Horas totales</t>
  </si>
  <si>
    <t>Año</t>
  </si>
  <si>
    <t>Código</t>
  </si>
  <si>
    <t>Significado</t>
  </si>
  <si>
    <t>Media horas/persona</t>
  </si>
  <si>
    <t>Mes (1-12)</t>
  </si>
  <si>
    <t>M</t>
  </si>
  <si>
    <t>Mañana 06:00-14:00</t>
  </si>
  <si>
    <t>Noches totales</t>
  </si>
  <si>
    <t>Fecha base ciclo</t>
  </si>
  <si>
    <t>T</t>
  </si>
  <si>
    <t>Tarde 14:00-22:00</t>
  </si>
  <si>
    <t>Días con cobertura OK</t>
  </si>
  <si>
    <t>Días del mes</t>
  </si>
  <si>
    <t>N</t>
  </si>
  <si>
    <t>Noche 22:00-06:00</t>
  </si>
  <si>
    <t>Días con falta</t>
  </si>
  <si>
    <t>Mínimo personas/turno</t>
  </si>
  <si>
    <t>D</t>
  </si>
  <si>
    <t>Descanso</t>
  </si>
  <si>
    <t>Patrón activo</t>
  </si>
  <si>
    <t>M-M-T-T-N-N-D-D-D-D</t>
  </si>
  <si>
    <t>V/B/F</t>
  </si>
  <si>
    <t>Vacaciones, baja o formación</t>
  </si>
  <si>
    <t>ID</t>
  </si>
  <si>
    <t>Nombre</t>
  </si>
  <si>
    <t>Equipo</t>
  </si>
  <si>
    <t>Puesto</t>
  </si>
  <si>
    <t>Jornada</t>
  </si>
  <si>
    <t>Días</t>
  </si>
  <si>
    <t>Horas</t>
  </si>
  <si>
    <t>Aus.</t>
  </si>
  <si>
    <t>FDS trab.</t>
  </si>
  <si>
    <t>Desvío</t>
  </si>
  <si>
    <t>Cobertura diaria y alertas</t>
  </si>
  <si>
    <t>Mañana</t>
  </si>
  <si>
    <t>Tarde</t>
  </si>
  <si>
    <t>Noche</t>
  </si>
  <si>
    <t>Ausencias</t>
  </si>
  <si>
    <t>Horas planificadas</t>
  </si>
  <si>
    <t>Estado cobertura</t>
  </si>
  <si>
    <t>Configuración del cuadrante 6x4</t>
  </si>
  <si>
    <t>Edita los turnos, el patrón 6x4 y la lista de personas. El cuadrante principal se actualiza con fórmulas. Datos de ejemplo ficticios.</t>
  </si>
  <si>
    <t>Turno</t>
  </si>
  <si>
    <t>Inicio</t>
  </si>
  <si>
    <t>Fin</t>
  </si>
  <si>
    <t>Trabaja</t>
  </si>
  <si>
    <t>Día ciclo</t>
  </si>
  <si>
    <t>Descripción</t>
  </si>
  <si>
    <t>06:00</t>
  </si>
  <si>
    <t>14:00</t>
  </si>
  <si>
    <t>Sí</t>
  </si>
  <si>
    <t>22:00</t>
  </si>
  <si>
    <t>-</t>
  </si>
  <si>
    <t>No</t>
  </si>
  <si>
    <t>V</t>
  </si>
  <si>
    <t>Vacaciones</t>
  </si>
  <si>
    <t>B</t>
  </si>
  <si>
    <t>Baja / permiso</t>
  </si>
  <si>
    <t>F</t>
  </si>
  <si>
    <t>Formación</t>
  </si>
  <si>
    <t>09:00</t>
  </si>
  <si>
    <t>15:00</t>
  </si>
  <si>
    <t>Jornada ref.</t>
  </si>
  <si>
    <t>Desfase 6x4</t>
  </si>
  <si>
    <t>Cómo se interpreta</t>
  </si>
  <si>
    <t>P-001</t>
  </si>
  <si>
    <t>Alejandra Ruiz</t>
  </si>
  <si>
    <t>Equipo A</t>
  </si>
  <si>
    <t>Supervisión</t>
  </si>
  <si>
    <t>El patrón recorre 10 días: 6 trabajados y 4 de descanso.</t>
  </si>
  <si>
    <t>P-002</t>
  </si>
  <si>
    <t>Bruno Vidal</t>
  </si>
  <si>
    <t>Operaciones</t>
  </si>
  <si>
    <t>El desfase permite crear equipos que no empiezan el ciclo el mismo día.</t>
  </si>
  <si>
    <t>P-003</t>
  </si>
  <si>
    <t>Carla Montero</t>
  </si>
  <si>
    <t>Ejemplo: desfase 0 empieza en día 1; desfase 2 empieza dos posiciones más adelante.</t>
  </si>
  <si>
    <t>P-004</t>
  </si>
  <si>
    <t>Diego Salas</t>
  </si>
  <si>
    <t>Equipo B</t>
  </si>
  <si>
    <t>Puedes cambiar M/T/N/D en el patrón y el cuadrante se recalcula.</t>
  </si>
  <si>
    <t>P-005</t>
  </si>
  <si>
    <t>Elena Campos</t>
  </si>
  <si>
    <t>Soporte técnico</t>
  </si>
  <si>
    <t>P-006</t>
  </si>
  <si>
    <t>Fabio Costa</t>
  </si>
  <si>
    <t>P-007</t>
  </si>
  <si>
    <t>Gabriela Navas</t>
  </si>
  <si>
    <t>Equipo C</t>
  </si>
  <si>
    <t>P-008</t>
  </si>
  <si>
    <t>Hugo Reyes</t>
  </si>
  <si>
    <t>P-009</t>
  </si>
  <si>
    <t>Irene Lozano</t>
  </si>
  <si>
    <t>Equipo D</t>
  </si>
  <si>
    <t>P-010</t>
  </si>
  <si>
    <t>Jorge Medina</t>
  </si>
  <si>
    <t>P-011</t>
  </si>
  <si>
    <t>Lucía Santos</t>
  </si>
  <si>
    <t>Equipo E</t>
  </si>
  <si>
    <t>P-012</t>
  </si>
  <si>
    <t>Marcos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</si>
</sst>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"/>
    <numFmt numFmtId="166" formatCode="\+0.0;\-0.0;0.0"/>
  </numFmts>
  <fonts count="11">
    <font>
      <sz val="11"/>
      <name val="Carlito"/>
    </font>
    <font>
      <sz val="10"/>
      <color rgb="FF6B7280"/>
      <name val="Aptos"/>
    </font>
    <font>
      <b/>
      <sz val="10"/>
      <color rgb="FF1F4E79"/>
      <name val="Aptos"/>
    </font>
    <font>
      <sz val="10"/>
      <name val="Aptos"/>
    </font>
    <font>
      <b/>
      <sz val="10"/>
      <name val="Aptos"/>
    </font>
    <font>
      <b/>
      <sz val="10"/>
      <color rgb="FF1F2937"/>
      <name val="Aptos"/>
    </font>
    <font>
      <sz val="10"/>
      <color rgb="FF1F2937"/>
      <name val="Aptos"/>
    </font>
    <font>
      <sz val="11"/>
      <name val="Carlito"/>
    </font>
    <font>
      <b/>
      <sz val="7"/>
      <color rgb="FF1F4E79"/>
      <name val="Aptos"/>
      <family val="2"/>
    </font>
    <font>
      <b/>
      <sz val="25"/>
      <color rgb="FF1F4E79"/>
      <name val="Aptos"/>
      <family val="2"/>
    </font>
    <font>
      <sz val="8"/>
      <color rgb="FF1F2937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3F8FB"/>
      </patternFill>
    </fill>
    <fill>
      <patternFill patternType="solid">
        <fgColor rgb="FFFFFFFF"/>
      </patternFill>
    </fill>
    <fill>
      <patternFill patternType="solid">
        <fgColor rgb="FFDDEDF6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EDE9FE"/>
      </patternFill>
    </fill>
    <fill>
      <patternFill patternType="solid">
        <fgColor rgb="FFF4F4F5"/>
      </patternFill>
    </fill>
    <fill>
      <patternFill patternType="solid">
        <fgColor rgb="FFFCE7F3"/>
      </patternFill>
    </fill>
    <fill>
      <patternFill patternType="solid">
        <fgColor rgb="FFFEE2E2"/>
      </patternFill>
    </fill>
    <fill>
      <patternFill patternType="solid">
        <fgColor rgb="FFDCFCE7"/>
      </patternFill>
    </fill>
    <fill>
      <patternFill patternType="solid">
        <fgColor rgb="FFF6F7F9"/>
      </patternFill>
    </fill>
  </fills>
  <borders count="25">
    <border>
      <left/>
      <right/>
      <top/>
      <bottom/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/>
      <top style="thin">
        <color rgb="FFE5E7EB"/>
      </top>
      <bottom/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/>
      <right/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/>
      <diagonal/>
    </border>
    <border>
      <left/>
      <right style="thin">
        <color rgb="FFC7D7E5"/>
      </right>
      <top/>
      <bottom/>
      <diagonal/>
    </border>
    <border>
      <left style="thin">
        <color rgb="FFC7D7E5"/>
      </left>
      <right style="thin">
        <color rgb="FFC7D7E5"/>
      </right>
      <top/>
      <bottom/>
      <diagonal/>
    </border>
    <border>
      <left style="thin">
        <color rgb="FFC7D7E5"/>
      </left>
      <right/>
      <top/>
      <bottom/>
      <diagonal/>
    </border>
    <border>
      <left/>
      <right style="thin">
        <color rgb="FFD8E4EF"/>
      </right>
      <top/>
      <bottom style="thin">
        <color rgb="FFD8E4EF"/>
      </bottom>
      <diagonal/>
    </border>
    <border>
      <left style="thin">
        <color rgb="FFD8E4EF"/>
      </left>
      <right style="thin">
        <color rgb="FFD8E4EF"/>
      </right>
      <top/>
      <bottom style="thin">
        <color rgb="FFD8E4EF"/>
      </bottom>
      <diagonal/>
    </border>
    <border>
      <left style="thin">
        <color rgb="FFD8E4EF"/>
      </left>
      <right/>
      <top/>
      <bottom style="thin">
        <color rgb="FFD8E4EF"/>
      </bottom>
      <diagonal/>
    </border>
    <border>
      <left/>
      <right style="thin">
        <color rgb="FFD8E4EF"/>
      </right>
      <top style="thin">
        <color rgb="FFD8E4EF"/>
      </top>
      <bottom/>
      <diagonal/>
    </border>
    <border>
      <left style="thin">
        <color rgb="FFD8E4EF"/>
      </left>
      <right style="thin">
        <color rgb="FFD8E4EF"/>
      </right>
      <top style="thin">
        <color rgb="FFD8E4EF"/>
      </top>
      <bottom/>
      <diagonal/>
    </border>
    <border>
      <left style="thin">
        <color rgb="FFD8E4EF"/>
      </left>
      <right/>
      <top style="thin">
        <color rgb="FFD8E4EF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2">
    <xf numFmtId="0" fontId="0" fillId="0" borderId="0"/>
    <xf numFmtId="0" fontId="7" fillId="0" borderId="0"/>
  </cellStyleXfs>
  <cellXfs count="136">
    <xf numFmtId="0" fontId="0" fillId="0" borderId="0" xfId="0"/>
    <xf numFmtId="0" fontId="3" fillId="0" borderId="0" xfId="1" applyFont="1"/>
    <xf numFmtId="0" fontId="3" fillId="5" borderId="2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left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left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1" fontId="3" fillId="3" borderId="5" xfId="1" applyNumberFormat="1" applyFont="1" applyFill="1" applyBorder="1" applyAlignment="1">
      <alignment horizontal="center" vertical="center"/>
    </xf>
    <xf numFmtId="1" fontId="3" fillId="3" borderId="6" xfId="1" applyNumberFormat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12" borderId="13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center" vertical="center"/>
    </xf>
    <xf numFmtId="0" fontId="4" fillId="12" borderId="24" xfId="1" applyFont="1" applyFill="1" applyBorder="1" applyAlignment="1">
      <alignment horizontal="left" vertical="center"/>
    </xf>
    <xf numFmtId="164" fontId="5" fillId="3" borderId="24" xfId="1" applyNumberFormat="1" applyFont="1" applyFill="1" applyBorder="1" applyAlignment="1">
      <alignment horizontal="center" vertical="center"/>
    </xf>
    <xf numFmtId="0" fontId="5" fillId="12" borderId="0" xfId="1" applyFont="1" applyFill="1" applyAlignment="1">
      <alignment horizontal="left" vertical="center"/>
    </xf>
    <xf numFmtId="1" fontId="6" fillId="3" borderId="8" xfId="1" applyNumberFormat="1" applyFont="1" applyFill="1" applyBorder="1" applyAlignment="1">
      <alignment horizontal="center" vertical="center"/>
    </xf>
    <xf numFmtId="0" fontId="4" fillId="12" borderId="14" xfId="1" applyFont="1" applyFill="1" applyBorder="1" applyAlignment="1">
      <alignment horizontal="center" vertical="center"/>
    </xf>
    <xf numFmtId="0" fontId="4" fillId="12" borderId="11" xfId="1" applyFont="1" applyFill="1" applyBorder="1" applyAlignment="1">
      <alignment horizontal="center" vertical="center"/>
    </xf>
    <xf numFmtId="1" fontId="6" fillId="3" borderId="14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14" fontId="6" fillId="3" borderId="14" xfId="1" applyNumberFormat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6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 vertical="center"/>
    </xf>
    <xf numFmtId="0" fontId="3" fillId="11" borderId="9" xfId="1" applyFont="1" applyFill="1" applyBorder="1" applyAlignment="1">
      <alignment horizontal="center" vertical="center"/>
    </xf>
    <xf numFmtId="0" fontId="4" fillId="12" borderId="10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166" fontId="6" fillId="3" borderId="3" xfId="1" applyNumberFormat="1" applyFont="1" applyFill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166" fontId="6" fillId="3" borderId="9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164" fontId="6" fillId="6" borderId="5" xfId="1" applyNumberFormat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/>
    </xf>
    <xf numFmtId="0" fontId="6" fillId="7" borderId="5" xfId="1" applyFont="1" applyFill="1" applyBorder="1" applyAlignment="1">
      <alignment horizontal="center" vertical="center"/>
    </xf>
    <xf numFmtId="164" fontId="6" fillId="7" borderId="5" xfId="1" applyNumberFormat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164" fontId="6" fillId="8" borderId="5" xfId="1" applyNumberFormat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164" fontId="6" fillId="9" borderId="5" xfId="1" applyNumberFormat="1" applyFont="1" applyFill="1" applyBorder="1" applyAlignment="1">
      <alignment horizontal="center" vertical="center"/>
    </xf>
    <xf numFmtId="0" fontId="3" fillId="7" borderId="5" xfId="1" applyFont="1" applyFill="1" applyBorder="1" applyAlignment="1">
      <alignment horizontal="center"/>
    </xf>
    <xf numFmtId="0" fontId="6" fillId="10" borderId="5" xfId="1" applyFont="1" applyFill="1" applyBorder="1" applyAlignment="1">
      <alignment horizontal="center" vertical="center"/>
    </xf>
    <xf numFmtId="164" fontId="6" fillId="10" borderId="5" xfId="1" applyNumberFormat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164" fontId="6" fillId="11" borderId="5" xfId="1" applyNumberFormat="1" applyFont="1" applyFill="1" applyBorder="1" applyAlignment="1">
      <alignment horizontal="center" vertical="center"/>
    </xf>
    <xf numFmtId="0" fontId="3" fillId="8" borderId="5" xfId="1" applyFont="1" applyFill="1" applyBorder="1" applyAlignment="1">
      <alignment horizontal="center"/>
    </xf>
    <xf numFmtId="1" fontId="6" fillId="3" borderId="2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0" fontId="5" fillId="12" borderId="12" xfId="1" applyFont="1" applyFill="1" applyBorder="1" applyAlignment="1">
      <alignment horizontal="center" vertical="center"/>
    </xf>
    <xf numFmtId="0" fontId="5" fillId="12" borderId="14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1" fillId="3" borderId="0" xfId="1" applyFont="1" applyFill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5" fillId="12" borderId="1" xfId="1" applyFont="1" applyFill="1" applyBorder="1" applyAlignment="1">
      <alignment horizontal="left" vertical="center"/>
    </xf>
    <xf numFmtId="0" fontId="5" fillId="12" borderId="2" xfId="1" applyFont="1" applyFill="1" applyBorder="1" applyAlignment="1">
      <alignment horizontal="left" vertical="center"/>
    </xf>
    <xf numFmtId="0" fontId="5" fillId="12" borderId="3" xfId="1" applyFont="1" applyFill="1" applyBorder="1" applyAlignment="1">
      <alignment horizontal="left" vertical="center"/>
    </xf>
    <xf numFmtId="0" fontId="5" fillId="12" borderId="4" xfId="1" applyFont="1" applyFill="1" applyBorder="1" applyAlignment="1">
      <alignment horizontal="left" vertical="center"/>
    </xf>
    <xf numFmtId="0" fontId="5" fillId="12" borderId="5" xfId="1" applyFont="1" applyFill="1" applyBorder="1" applyAlignment="1">
      <alignment horizontal="left" vertical="center"/>
    </xf>
    <xf numFmtId="0" fontId="5" fillId="12" borderId="6" xfId="1" applyFont="1" applyFill="1" applyBorder="1" applyAlignment="1">
      <alignment horizontal="left" vertical="center"/>
    </xf>
    <xf numFmtId="0" fontId="5" fillId="12" borderId="7" xfId="1" applyFont="1" applyFill="1" applyBorder="1" applyAlignment="1">
      <alignment horizontal="left" vertical="center"/>
    </xf>
    <xf numFmtId="0" fontId="5" fillId="12" borderId="8" xfId="1" applyFont="1" applyFill="1" applyBorder="1" applyAlignment="1">
      <alignment horizontal="left" vertical="center"/>
    </xf>
    <xf numFmtId="0" fontId="5" fillId="12" borderId="9" xfId="1" applyFont="1" applyFill="1" applyBorder="1" applyAlignment="1">
      <alignment horizontal="left" vertical="center"/>
    </xf>
    <xf numFmtId="0" fontId="1" fillId="3" borderId="0" xfId="1" applyFont="1" applyFill="1" applyAlignment="1">
      <alignment horizontal="left" vertical="center" wrapText="1"/>
    </xf>
    <xf numFmtId="0" fontId="2" fillId="2" borderId="9" xfId="1" applyFont="1" applyFill="1" applyBorder="1" applyAlignment="1">
      <alignment wrapText="1"/>
    </xf>
    <xf numFmtId="0" fontId="6" fillId="2" borderId="10" xfId="1" applyFont="1" applyFill="1" applyBorder="1" applyAlignment="1">
      <alignment wrapText="1"/>
    </xf>
    <xf numFmtId="0" fontId="6" fillId="2" borderId="7" xfId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6" fillId="2" borderId="12" xfId="1" applyFont="1" applyFill="1" applyBorder="1" applyAlignment="1">
      <alignment wrapText="1"/>
    </xf>
    <xf numFmtId="0" fontId="6" fillId="2" borderId="3" xfId="1" applyFont="1" applyFill="1" applyBorder="1" applyAlignment="1">
      <alignment wrapText="1"/>
    </xf>
    <xf numFmtId="0" fontId="6" fillId="2" borderId="13" xfId="1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165" fontId="8" fillId="2" borderId="18" xfId="1" applyNumberFormat="1" applyFont="1" applyFill="1" applyBorder="1" applyAlignment="1">
      <alignment horizontal="center" vertical="center" textRotation="30"/>
    </xf>
    <xf numFmtId="165" fontId="8" fillId="2" borderId="19" xfId="1" applyNumberFormat="1" applyFont="1" applyFill="1" applyBorder="1" applyAlignment="1">
      <alignment horizontal="center" vertical="center" textRotation="30"/>
    </xf>
    <xf numFmtId="165" fontId="8" fillId="2" borderId="20" xfId="1" applyNumberFormat="1" applyFont="1" applyFill="1" applyBorder="1" applyAlignment="1">
      <alignment horizontal="center" vertical="center" textRotation="30"/>
    </xf>
    <xf numFmtId="0" fontId="9" fillId="2" borderId="0" xfId="1" applyFont="1" applyFill="1" applyAlignment="1">
      <alignment horizontal="left" vertical="center"/>
    </xf>
    <xf numFmtId="0" fontId="10" fillId="11" borderId="5" xfId="1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13">
    <dxf>
      <font>
        <b/>
        <color rgb="FF075985"/>
      </font>
      <fill>
        <patternFill patternType="solid">
          <bgColor rgb="FFE0F2FE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D174D"/>
      </font>
      <fill>
        <patternFill patternType="solid">
          <bgColor rgb="FFFCE7F3"/>
        </patternFill>
      </fill>
    </dxf>
    <dxf>
      <font>
        <b/>
        <color rgb="FF4B5563"/>
      </font>
      <fill>
        <patternFill patternType="solid">
          <bgColor rgb="FFF4F4F5"/>
        </patternFill>
      </fill>
    </dxf>
    <dxf>
      <font>
        <b/>
        <color rgb="FF4C1D95"/>
      </font>
      <fill>
        <patternFill patternType="solid">
          <bgColor rgb="FFEDE9FE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E3A8A"/>
      </font>
      <fill>
        <patternFill patternType="solid">
          <bgColor rgb="FFDBEAFE"/>
        </patternFill>
      </fill>
    </dxf>
    <dxf>
      <font>
        <b/>
      </font>
      <fill>
        <patternFill patternType="solid">
          <bgColor rgb="FFEE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Horas planificadas por persona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Días</c:v>
          </c:tx>
          <c:invertIfNegative val="1"/>
          <c:cat>
            <c:strRef>
              <c:f>'Cuadrante 6x4'!$AM$12:$AM$23</c:f>
              <c:strCache>
                <c:ptCount val="12"/>
                <c:pt idx="0">
                  <c:v>Alejandra Ruiz</c:v>
                </c:pt>
                <c:pt idx="1">
                  <c:v>Bruno Vidal</c:v>
                </c:pt>
                <c:pt idx="2">
                  <c:v>Carla Montero</c:v>
                </c:pt>
                <c:pt idx="3">
                  <c:v>Diego Salas</c:v>
                </c:pt>
                <c:pt idx="4">
                  <c:v>Elena Campos</c:v>
                </c:pt>
                <c:pt idx="5">
                  <c:v>Fabio Costa</c:v>
                </c:pt>
                <c:pt idx="6">
                  <c:v>Gabriela Navas</c:v>
                </c:pt>
                <c:pt idx="7">
                  <c:v>Hugo Reyes</c:v>
                </c:pt>
                <c:pt idx="8">
                  <c:v>Irene Lozano</c:v>
                </c:pt>
                <c:pt idx="9">
                  <c:v>Jorge Medina</c:v>
                </c:pt>
                <c:pt idx="10">
                  <c:v>Lucía Santos</c:v>
                </c:pt>
                <c:pt idx="11">
                  <c:v>Marcos León</c:v>
                </c:pt>
              </c:strCache>
            </c:strRef>
          </c:cat>
          <c:val>
            <c:numRef>
              <c:f>'Cuadrante 6x4'!$AN$12:$AN$23</c:f>
              <c:numCache>
                <c:formatCode>0.0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6-4525-9DBE-07556630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  <a:endParaRPr lang="de-DE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de-DE"/>
                  <a:t>Horas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25</xdr:row>
      <xdr:rowOff>0</xdr:rowOff>
    </xdr:from>
    <xdr:to>
      <xdr:col>48</xdr:col>
      <xdr:colOff>0</xdr:colOff>
      <xdr:row>43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showGridLines="0" tabSelected="1" zoomScale="90" zoomScaleNormal="90" workbookViewId="0">
      <selection activeCell="G23" sqref="G23"/>
    </sheetView>
  </sheetViews>
  <sheetFormatPr baseColWidth="10" defaultColWidth="8.796875" defaultRowHeight="13.8"/>
  <cols>
    <col min="1" max="1" width="14" customWidth="1"/>
    <col min="2" max="2" width="18" customWidth="1"/>
    <col min="3" max="3" width="11" customWidth="1"/>
    <col min="4" max="4" width="16" customWidth="1"/>
    <col min="5" max="5" width="17.59765625" customWidth="1"/>
    <col min="6" max="36" width="4.3984375" customWidth="1"/>
    <col min="37" max="37" width="2" customWidth="1"/>
    <col min="38" max="38" width="9" customWidth="1"/>
    <col min="39" max="39" width="18" customWidth="1"/>
    <col min="40" max="48" width="9" customWidth="1"/>
  </cols>
  <sheetData>
    <row r="1" spans="1:48" ht="3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48"/>
      <c r="AL1" s="109" t="s">
        <v>1</v>
      </c>
      <c r="AM1" s="109"/>
      <c r="AN1" s="109"/>
      <c r="AO1" s="109"/>
      <c r="AP1" s="109"/>
      <c r="AQ1" s="109"/>
      <c r="AR1" s="109"/>
      <c r="AS1" s="109"/>
      <c r="AT1" s="48"/>
      <c r="AU1" s="48"/>
      <c r="AV1" s="48"/>
    </row>
    <row r="2" spans="1:48" ht="22.05" customHeight="1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pans="1:48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9" t="s">
        <v>3</v>
      </c>
      <c r="AM3" s="50">
        <f>COUNTA($B$12:$B$23)</f>
        <v>12</v>
      </c>
      <c r="AN3" s="48"/>
      <c r="AO3" s="48"/>
      <c r="AP3" s="48"/>
      <c r="AQ3" s="48"/>
      <c r="AR3" s="48"/>
      <c r="AS3" s="48"/>
      <c r="AT3" s="48"/>
      <c r="AU3" s="48"/>
      <c r="AV3" s="48"/>
    </row>
    <row r="4" spans="1:48">
      <c r="A4" s="111" t="s">
        <v>4</v>
      </c>
      <c r="B4" s="111"/>
      <c r="C4" s="111"/>
      <c r="D4" s="111" t="s">
        <v>5</v>
      </c>
      <c r="E4" s="111"/>
      <c r="F4" s="111"/>
      <c r="G4" s="111"/>
      <c r="H4" s="111"/>
      <c r="I4" s="111"/>
      <c r="J4" s="111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51" t="s">
        <v>6</v>
      </c>
      <c r="AM4" s="52">
        <f>SUM($AN$12:$AN$23)</f>
        <v>224</v>
      </c>
      <c r="AN4" s="48"/>
      <c r="AO4" s="48"/>
      <c r="AP4" s="48"/>
      <c r="AQ4" s="48"/>
      <c r="AR4" s="48"/>
      <c r="AS4" s="48"/>
      <c r="AT4" s="48"/>
      <c r="AU4" s="48"/>
      <c r="AV4" s="48"/>
    </row>
    <row r="5" spans="1:48">
      <c r="A5" s="53" t="s">
        <v>7</v>
      </c>
      <c r="B5" s="54">
        <v>2026</v>
      </c>
      <c r="C5" s="48"/>
      <c r="D5" s="102" t="s">
        <v>8</v>
      </c>
      <c r="E5" s="103" t="s">
        <v>9</v>
      </c>
      <c r="F5" s="55"/>
      <c r="G5" s="55"/>
      <c r="H5" s="55"/>
      <c r="I5" s="55"/>
      <c r="J5" s="56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51" t="s">
        <v>10</v>
      </c>
      <c r="AM5" s="52">
        <f>AVERAGE($AN$12:$AN$23)</f>
        <v>18.666666666666668</v>
      </c>
      <c r="AN5" s="48"/>
      <c r="AO5" s="48"/>
      <c r="AP5" s="48"/>
      <c r="AQ5" s="48"/>
      <c r="AR5" s="48"/>
      <c r="AS5" s="48"/>
      <c r="AT5" s="48"/>
      <c r="AU5" s="48"/>
      <c r="AV5" s="48"/>
    </row>
    <row r="6" spans="1:48">
      <c r="A6" s="53" t="s">
        <v>11</v>
      </c>
      <c r="B6" s="57">
        <v>5</v>
      </c>
      <c r="C6" s="48"/>
      <c r="D6" s="104" t="s">
        <v>12</v>
      </c>
      <c r="E6" s="83" t="s">
        <v>13</v>
      </c>
      <c r="F6" s="58"/>
      <c r="G6" s="58"/>
      <c r="H6" s="59"/>
      <c r="I6" s="59"/>
      <c r="J6" s="60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51" t="s">
        <v>14</v>
      </c>
      <c r="AM6" s="52">
        <f>SUM($AQ$12:$AQ$23)</f>
        <v>75</v>
      </c>
      <c r="AN6" s="48"/>
      <c r="AO6" s="48"/>
      <c r="AP6" s="48"/>
      <c r="AQ6" s="48"/>
      <c r="AR6" s="48"/>
      <c r="AS6" s="48"/>
      <c r="AT6" s="48"/>
      <c r="AU6" s="48"/>
      <c r="AV6" s="48"/>
    </row>
    <row r="7" spans="1:48">
      <c r="A7" s="53" t="s">
        <v>15</v>
      </c>
      <c r="B7" s="61">
        <v>46143</v>
      </c>
      <c r="C7" s="48"/>
      <c r="D7" s="105" t="s">
        <v>16</v>
      </c>
      <c r="E7" s="85" t="s">
        <v>17</v>
      </c>
      <c r="F7" s="62"/>
      <c r="G7" s="62"/>
      <c r="H7" s="63"/>
      <c r="I7" s="63"/>
      <c r="J7" s="64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51" t="s">
        <v>18</v>
      </c>
      <c r="AM7" s="65">
        <f>COUNTIF($F$33:$AJ$33,"OK")</f>
        <v>31</v>
      </c>
      <c r="AN7" s="48"/>
      <c r="AO7" s="48"/>
      <c r="AP7" s="48"/>
      <c r="AQ7" s="48"/>
      <c r="AR7" s="48"/>
      <c r="AS7" s="48"/>
      <c r="AT7" s="48"/>
      <c r="AU7" s="48"/>
      <c r="AV7" s="48"/>
    </row>
    <row r="8" spans="1:48">
      <c r="A8" s="53" t="s">
        <v>19</v>
      </c>
      <c r="B8" s="57">
        <f>DAY(EOMONTH(DATE($B$5,$B$6,1),0))</f>
        <v>31</v>
      </c>
      <c r="C8" s="48"/>
      <c r="D8" s="106" t="s">
        <v>20</v>
      </c>
      <c r="E8" s="88" t="s">
        <v>21</v>
      </c>
      <c r="F8" s="66"/>
      <c r="G8" s="66"/>
      <c r="H8" s="67"/>
      <c r="I8" s="67"/>
      <c r="J8" s="6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69" t="s">
        <v>22</v>
      </c>
      <c r="AM8" s="70">
        <f>COUNTIF($F$33:$AJ$33,"Falta")</f>
        <v>0</v>
      </c>
      <c r="AN8" s="48"/>
      <c r="AO8" s="48"/>
      <c r="AP8" s="48"/>
      <c r="AQ8" s="48"/>
      <c r="AR8" s="48"/>
      <c r="AS8" s="48"/>
      <c r="AT8" s="48"/>
      <c r="AU8" s="48"/>
      <c r="AV8" s="48"/>
    </row>
    <row r="9" spans="1:48" ht="19.95" customHeight="1">
      <c r="A9" s="53" t="s">
        <v>23</v>
      </c>
      <c r="B9" s="57">
        <v>2</v>
      </c>
      <c r="C9" s="48"/>
      <c r="D9" s="107" t="s">
        <v>24</v>
      </c>
      <c r="E9" s="90" t="s">
        <v>25</v>
      </c>
      <c r="F9" s="131">
        <f>IF(1&lt;=$B$8,DATE($B$5,$B$6,1),"")</f>
        <v>46143</v>
      </c>
      <c r="G9" s="132">
        <f>IF(2&lt;=$B$8,DATE($B$5,$B$6,2),"")</f>
        <v>46144</v>
      </c>
      <c r="H9" s="132">
        <f>IF(3&lt;=$B$8,DATE($B$5,$B$6,3),"")</f>
        <v>46145</v>
      </c>
      <c r="I9" s="132">
        <f>IF(4&lt;=$B$8,DATE($B$5,$B$6,4),"")</f>
        <v>46146</v>
      </c>
      <c r="J9" s="132">
        <f>IF(5&lt;=$B$8,DATE($B$5,$B$6,5),"")</f>
        <v>46147</v>
      </c>
      <c r="K9" s="132">
        <f>IF(6&lt;=$B$8,DATE($B$5,$B$6,6),"")</f>
        <v>46148</v>
      </c>
      <c r="L9" s="132">
        <f>IF(7&lt;=$B$8,DATE($B$5,$B$6,7),"")</f>
        <v>46149</v>
      </c>
      <c r="M9" s="132">
        <f>IF(8&lt;=$B$8,DATE($B$5,$B$6,8),"")</f>
        <v>46150</v>
      </c>
      <c r="N9" s="132">
        <f>IF(9&lt;=$B$8,DATE($B$5,$B$6,9),"")</f>
        <v>46151</v>
      </c>
      <c r="O9" s="132">
        <f>IF(10&lt;=$B$8,DATE($B$5,$B$6,10),"")</f>
        <v>46152</v>
      </c>
      <c r="P9" s="132">
        <f>IF(11&lt;=$B$8,DATE($B$5,$B$6,11),"")</f>
        <v>46153</v>
      </c>
      <c r="Q9" s="132">
        <f>IF(12&lt;=$B$8,DATE($B$5,$B$6,12),"")</f>
        <v>46154</v>
      </c>
      <c r="R9" s="132">
        <f>IF(13&lt;=$B$8,DATE($B$5,$B$6,13),"")</f>
        <v>46155</v>
      </c>
      <c r="S9" s="132">
        <f>IF(14&lt;=$B$8,DATE($B$5,$B$6,14),"")</f>
        <v>46156</v>
      </c>
      <c r="T9" s="132">
        <f>IF(15&lt;=$B$8,DATE($B$5,$B$6,15),"")</f>
        <v>46157</v>
      </c>
      <c r="U9" s="132">
        <f>IF(16&lt;=$B$8,DATE($B$5,$B$6,16),"")</f>
        <v>46158</v>
      </c>
      <c r="V9" s="132">
        <f>IF(17&lt;=$B$8,DATE($B$5,$B$6,17),"")</f>
        <v>46159</v>
      </c>
      <c r="W9" s="132">
        <f>IF(18&lt;=$B$8,DATE($B$5,$B$6,18),"")</f>
        <v>46160</v>
      </c>
      <c r="X9" s="132">
        <f>IF(19&lt;=$B$8,DATE($B$5,$B$6,19),"")</f>
        <v>46161</v>
      </c>
      <c r="Y9" s="132">
        <f>IF(20&lt;=$B$8,DATE($B$5,$B$6,20),"")</f>
        <v>46162</v>
      </c>
      <c r="Z9" s="132">
        <f>IF(21&lt;=$B$8,DATE($B$5,$B$6,21),"")</f>
        <v>46163</v>
      </c>
      <c r="AA9" s="132">
        <f>IF(22&lt;=$B$8,DATE($B$5,$B$6,22),"")</f>
        <v>46164</v>
      </c>
      <c r="AB9" s="132">
        <f>IF(23&lt;=$B$8,DATE($B$5,$B$6,23),"")</f>
        <v>46165</v>
      </c>
      <c r="AC9" s="132">
        <f>IF(24&lt;=$B$8,DATE($B$5,$B$6,24),"")</f>
        <v>46166</v>
      </c>
      <c r="AD9" s="132">
        <f>IF(25&lt;=$B$8,DATE($B$5,$B$6,25),"")</f>
        <v>46167</v>
      </c>
      <c r="AE9" s="132">
        <f>IF(26&lt;=$B$8,DATE($B$5,$B$6,26),"")</f>
        <v>46168</v>
      </c>
      <c r="AF9" s="132">
        <f>IF(27&lt;=$B$8,DATE($B$5,$B$6,27),"")</f>
        <v>46169</v>
      </c>
      <c r="AG9" s="132">
        <f>IF(28&lt;=$B$8,DATE($B$5,$B$6,28),"")</f>
        <v>46170</v>
      </c>
      <c r="AH9" s="132">
        <f>IF(29&lt;=$B$8,DATE($B$5,$B$6,29),"")</f>
        <v>46171</v>
      </c>
      <c r="AI9" s="132">
        <f>IF(30&lt;=$B$8,DATE($B$5,$B$6,30),"")</f>
        <v>46172</v>
      </c>
      <c r="AJ9" s="133">
        <f>IF(31&lt;=$B$8,DATE($B$5,$B$6,31),"")</f>
        <v>46173</v>
      </c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48" ht="19.95" customHeight="1">
      <c r="A10" s="53" t="s">
        <v>26</v>
      </c>
      <c r="B10" s="14" t="s">
        <v>27</v>
      </c>
      <c r="C10" s="48"/>
      <c r="D10" s="108" t="s">
        <v>28</v>
      </c>
      <c r="E10" s="135" t="s">
        <v>29</v>
      </c>
      <c r="F10" s="5" t="str">
        <f t="shared" ref="F10:AJ10" si="0">IF(F$9="","",CHOOSE(WEEKDAY(F$9,2),"lun","mar","mié","jue","vie","sáb","dom"))</f>
        <v>vie</v>
      </c>
      <c r="G10" s="6" t="str">
        <f t="shared" si="0"/>
        <v>sáb</v>
      </c>
      <c r="H10" s="6" t="str">
        <f t="shared" si="0"/>
        <v>dom</v>
      </c>
      <c r="I10" s="6" t="str">
        <f t="shared" si="0"/>
        <v>lun</v>
      </c>
      <c r="J10" s="6" t="str">
        <f t="shared" si="0"/>
        <v>mar</v>
      </c>
      <c r="K10" s="6" t="str">
        <f t="shared" si="0"/>
        <v>mié</v>
      </c>
      <c r="L10" s="6" t="str">
        <f t="shared" si="0"/>
        <v>jue</v>
      </c>
      <c r="M10" s="6" t="str">
        <f t="shared" si="0"/>
        <v>vie</v>
      </c>
      <c r="N10" s="6" t="str">
        <f t="shared" si="0"/>
        <v>sáb</v>
      </c>
      <c r="O10" s="6" t="str">
        <f t="shared" si="0"/>
        <v>dom</v>
      </c>
      <c r="P10" s="6" t="str">
        <f t="shared" si="0"/>
        <v>lun</v>
      </c>
      <c r="Q10" s="6" t="str">
        <f t="shared" si="0"/>
        <v>mar</v>
      </c>
      <c r="R10" s="6" t="str">
        <f t="shared" si="0"/>
        <v>mié</v>
      </c>
      <c r="S10" s="6" t="str">
        <f t="shared" si="0"/>
        <v>jue</v>
      </c>
      <c r="T10" s="6" t="str">
        <f t="shared" si="0"/>
        <v>vie</v>
      </c>
      <c r="U10" s="6" t="str">
        <f t="shared" si="0"/>
        <v>sáb</v>
      </c>
      <c r="V10" s="6" t="str">
        <f t="shared" si="0"/>
        <v>dom</v>
      </c>
      <c r="W10" s="6" t="str">
        <f t="shared" si="0"/>
        <v>lun</v>
      </c>
      <c r="X10" s="6" t="str">
        <f t="shared" si="0"/>
        <v>mar</v>
      </c>
      <c r="Y10" s="6" t="str">
        <f t="shared" si="0"/>
        <v>mié</v>
      </c>
      <c r="Z10" s="6" t="str">
        <f t="shared" si="0"/>
        <v>jue</v>
      </c>
      <c r="AA10" s="6" t="str">
        <f t="shared" si="0"/>
        <v>vie</v>
      </c>
      <c r="AB10" s="6" t="str">
        <f t="shared" si="0"/>
        <v>sáb</v>
      </c>
      <c r="AC10" s="6" t="str">
        <f t="shared" si="0"/>
        <v>dom</v>
      </c>
      <c r="AD10" s="6" t="str">
        <f t="shared" si="0"/>
        <v>lun</v>
      </c>
      <c r="AE10" s="6" t="str">
        <f t="shared" si="0"/>
        <v>mar</v>
      </c>
      <c r="AF10" s="6" t="str">
        <f t="shared" si="0"/>
        <v>mié</v>
      </c>
      <c r="AG10" s="6" t="str">
        <f t="shared" si="0"/>
        <v>jue</v>
      </c>
      <c r="AH10" s="6" t="str">
        <f t="shared" si="0"/>
        <v>vie</v>
      </c>
      <c r="AI10" s="6" t="str">
        <f t="shared" si="0"/>
        <v>sáb</v>
      </c>
      <c r="AJ10" s="7" t="str">
        <f t="shared" si="0"/>
        <v>dom</v>
      </c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48" ht="19.95" customHeight="1">
      <c r="A11" s="8" t="s">
        <v>30</v>
      </c>
      <c r="B11" s="9" t="s">
        <v>31</v>
      </c>
      <c r="C11" s="9" t="s">
        <v>32</v>
      </c>
      <c r="D11" s="9" t="s">
        <v>33</v>
      </c>
      <c r="E11" s="9" t="s">
        <v>34</v>
      </c>
      <c r="F11" s="9">
        <f t="shared" ref="F11:AJ11" si="1">IF(F$9="","",DAY(F$9))</f>
        <v>1</v>
      </c>
      <c r="G11" s="9">
        <f t="shared" si="1"/>
        <v>2</v>
      </c>
      <c r="H11" s="9">
        <f t="shared" si="1"/>
        <v>3</v>
      </c>
      <c r="I11" s="9">
        <f t="shared" si="1"/>
        <v>4</v>
      </c>
      <c r="J11" s="9">
        <f t="shared" si="1"/>
        <v>5</v>
      </c>
      <c r="K11" s="9">
        <f t="shared" si="1"/>
        <v>6</v>
      </c>
      <c r="L11" s="9">
        <f t="shared" si="1"/>
        <v>7</v>
      </c>
      <c r="M11" s="9">
        <f t="shared" si="1"/>
        <v>8</v>
      </c>
      <c r="N11" s="9">
        <f t="shared" si="1"/>
        <v>9</v>
      </c>
      <c r="O11" s="9">
        <f t="shared" si="1"/>
        <v>10</v>
      </c>
      <c r="P11" s="9">
        <f t="shared" si="1"/>
        <v>11</v>
      </c>
      <c r="Q11" s="9">
        <f t="shared" si="1"/>
        <v>12</v>
      </c>
      <c r="R11" s="9">
        <f t="shared" si="1"/>
        <v>13</v>
      </c>
      <c r="S11" s="9">
        <f t="shared" si="1"/>
        <v>14</v>
      </c>
      <c r="T11" s="9">
        <f t="shared" si="1"/>
        <v>15</v>
      </c>
      <c r="U11" s="9">
        <f t="shared" si="1"/>
        <v>16</v>
      </c>
      <c r="V11" s="9">
        <f t="shared" si="1"/>
        <v>17</v>
      </c>
      <c r="W11" s="9">
        <f t="shared" si="1"/>
        <v>18</v>
      </c>
      <c r="X11" s="9">
        <f t="shared" si="1"/>
        <v>19</v>
      </c>
      <c r="Y11" s="9">
        <f t="shared" si="1"/>
        <v>20</v>
      </c>
      <c r="Z11" s="9">
        <f t="shared" si="1"/>
        <v>21</v>
      </c>
      <c r="AA11" s="9">
        <f t="shared" si="1"/>
        <v>22</v>
      </c>
      <c r="AB11" s="9">
        <f t="shared" si="1"/>
        <v>23</v>
      </c>
      <c r="AC11" s="9">
        <f t="shared" si="1"/>
        <v>24</v>
      </c>
      <c r="AD11" s="9">
        <f t="shared" si="1"/>
        <v>25</v>
      </c>
      <c r="AE11" s="9">
        <f t="shared" si="1"/>
        <v>26</v>
      </c>
      <c r="AF11" s="9">
        <f t="shared" si="1"/>
        <v>27</v>
      </c>
      <c r="AG11" s="9">
        <f t="shared" si="1"/>
        <v>28</v>
      </c>
      <c r="AH11" s="9">
        <f t="shared" si="1"/>
        <v>29</v>
      </c>
      <c r="AI11" s="9">
        <f t="shared" si="1"/>
        <v>30</v>
      </c>
      <c r="AJ11" s="10">
        <f t="shared" si="1"/>
        <v>31</v>
      </c>
      <c r="AK11" s="48"/>
      <c r="AL11" s="11" t="s">
        <v>30</v>
      </c>
      <c r="AM11" s="11" t="s">
        <v>31</v>
      </c>
      <c r="AN11" s="11" t="s">
        <v>35</v>
      </c>
      <c r="AO11" s="11" t="s">
        <v>36</v>
      </c>
      <c r="AP11" s="11" t="s">
        <v>12</v>
      </c>
      <c r="AQ11" s="11" t="s">
        <v>16</v>
      </c>
      <c r="AR11" s="11" t="s">
        <v>20</v>
      </c>
      <c r="AS11" s="11" t="s">
        <v>24</v>
      </c>
      <c r="AT11" s="11" t="s">
        <v>37</v>
      </c>
      <c r="AU11" s="11" t="s">
        <v>38</v>
      </c>
      <c r="AV11" s="11" t="s">
        <v>39</v>
      </c>
    </row>
    <row r="12" spans="1:48" ht="19.05" customHeight="1">
      <c r="A12" s="12" t="str">
        <f>Configuración!A18</f>
        <v>P-001</v>
      </c>
      <c r="B12" s="13" t="str">
        <f>Configuración!B18</f>
        <v>Alejandra Ruiz</v>
      </c>
      <c r="C12" s="14" t="str">
        <f>Configuración!C18</f>
        <v>Equipo A</v>
      </c>
      <c r="D12" s="13" t="str">
        <f>Configuración!D18</f>
        <v>Supervisión</v>
      </c>
      <c r="E12" s="15">
        <f>Configuración!E18</f>
        <v>8</v>
      </c>
      <c r="F12" s="16" t="str">
        <f>IF(F$9="","",INDEX(Configuración!$K$6:$K$15,MOD(F$9-$B$7+Configuración!$F18,10)+1))</f>
        <v>M</v>
      </c>
      <c r="G12" s="17" t="str">
        <f>IF(G$9="","",INDEX(Configuración!$K$6:$K$15,MOD(G$9-$B$7+Configuración!$F18,10)+1))</f>
        <v>M</v>
      </c>
      <c r="H12" s="17" t="str">
        <f>IF(H$9="","",INDEX(Configuración!$K$6:$K$15,MOD(H$9-$B$7+Configuración!$F18,10)+1))</f>
        <v>T</v>
      </c>
      <c r="I12" s="17" t="str">
        <f>IF(I$9="","",INDEX(Configuración!$K$6:$K$15,MOD(I$9-$B$7+Configuración!$F18,10)+1))</f>
        <v>T</v>
      </c>
      <c r="J12" s="17" t="str">
        <f>IF(J$9="","",INDEX(Configuración!$K$6:$K$15,MOD(J$9-$B$7+Configuración!$F18,10)+1))</f>
        <v>N</v>
      </c>
      <c r="K12" s="17" t="str">
        <f>IF(K$9="","",INDEX(Configuración!$K$6:$K$15,MOD(K$9-$B$7+Configuración!$F18,10)+1))</f>
        <v>N</v>
      </c>
      <c r="L12" s="17" t="str">
        <f>IF(L$9="","",INDEX(Configuración!$K$6:$K$15,MOD(L$9-$B$7+Configuración!$F18,10)+1))</f>
        <v>D</v>
      </c>
      <c r="M12" s="17" t="str">
        <f>IF(M$9="","",INDEX(Configuración!$K$6:$K$15,MOD(M$9-$B$7+Configuración!$F18,10)+1))</f>
        <v>D</v>
      </c>
      <c r="N12" s="17" t="str">
        <f>IF(N$9="","",INDEX(Configuración!$K$6:$K$15,MOD(N$9-$B$7+Configuración!$F18,10)+1))</f>
        <v>D</v>
      </c>
      <c r="O12" s="17" t="str">
        <f>IF(O$9="","",INDEX(Configuración!$K$6:$K$15,MOD(O$9-$B$7+Configuración!$F18,10)+1))</f>
        <v>D</v>
      </c>
      <c r="P12" s="17" t="str">
        <f>IF(P$9="","",INDEX(Configuración!$K$6:$K$15,MOD(P$9-$B$7+Configuración!$F18,10)+1))</f>
        <v>M</v>
      </c>
      <c r="Q12" s="17" t="str">
        <f>IF(Q$9="","",INDEX(Configuración!$K$6:$K$15,MOD(Q$9-$B$7+Configuración!$F18,10)+1))</f>
        <v>M</v>
      </c>
      <c r="R12" s="17" t="str">
        <f>IF(R$9="","",INDEX(Configuración!$K$6:$K$15,MOD(R$9-$B$7+Configuración!$F18,10)+1))</f>
        <v>T</v>
      </c>
      <c r="S12" s="17" t="str">
        <f>IF(S$9="","",INDEX(Configuración!$K$6:$K$15,MOD(S$9-$B$7+Configuración!$F18,10)+1))</f>
        <v>T</v>
      </c>
      <c r="T12" s="17" t="str">
        <f>IF(T$9="","",INDEX(Configuración!$K$6:$K$15,MOD(T$9-$B$7+Configuración!$F18,10)+1))</f>
        <v>N</v>
      </c>
      <c r="U12" s="17" t="str">
        <f>IF(U$9="","",INDEX(Configuración!$K$6:$K$15,MOD(U$9-$B$7+Configuración!$F18,10)+1))</f>
        <v>N</v>
      </c>
      <c r="V12" s="17" t="str">
        <f>IF(V$9="","",INDEX(Configuración!$K$6:$K$15,MOD(V$9-$B$7+Configuración!$F18,10)+1))</f>
        <v>D</v>
      </c>
      <c r="W12" s="17" t="str">
        <f>IF(W$9="","",INDEX(Configuración!$K$6:$K$15,MOD(W$9-$B$7+Configuración!$F18,10)+1))</f>
        <v>D</v>
      </c>
      <c r="X12" s="17" t="str">
        <f>IF(X$9="","",INDEX(Configuración!$K$6:$K$15,MOD(X$9-$B$7+Configuración!$F18,10)+1))</f>
        <v>D</v>
      </c>
      <c r="Y12" s="17" t="str">
        <f>IF(Y$9="","",INDEX(Configuración!$K$6:$K$15,MOD(Y$9-$B$7+Configuración!$F18,10)+1))</f>
        <v>D</v>
      </c>
      <c r="Z12" s="17" t="str">
        <f>IF(Z$9="","",INDEX(Configuración!$K$6:$K$15,MOD(Z$9-$B$7+Configuración!$F18,10)+1))</f>
        <v>M</v>
      </c>
      <c r="AA12" s="17" t="str">
        <f>IF(AA$9="","",INDEX(Configuración!$K$6:$K$15,MOD(AA$9-$B$7+Configuración!$F18,10)+1))</f>
        <v>M</v>
      </c>
      <c r="AB12" s="17" t="str">
        <f>IF(AB$9="","",INDEX(Configuración!$K$6:$K$15,MOD(AB$9-$B$7+Configuración!$F18,10)+1))</f>
        <v>T</v>
      </c>
      <c r="AC12" s="17" t="str">
        <f>IF(AC$9="","",INDEX(Configuración!$K$6:$K$15,MOD(AC$9-$B$7+Configuración!$F18,10)+1))</f>
        <v>T</v>
      </c>
      <c r="AD12" s="17" t="str">
        <f>IF(AD$9="","",INDEX(Configuración!$K$6:$K$15,MOD(AD$9-$B$7+Configuración!$F18,10)+1))</f>
        <v>N</v>
      </c>
      <c r="AE12" s="17" t="str">
        <f>IF(AE$9="","",INDEX(Configuración!$K$6:$K$15,MOD(AE$9-$B$7+Configuración!$F18,10)+1))</f>
        <v>N</v>
      </c>
      <c r="AF12" s="17" t="str">
        <f>IF(AF$9="","",INDEX(Configuración!$K$6:$K$15,MOD(AF$9-$B$7+Configuración!$F18,10)+1))</f>
        <v>D</v>
      </c>
      <c r="AG12" s="17" t="str">
        <f>IF(AG$9="","",INDEX(Configuración!$K$6:$K$15,MOD(AG$9-$B$7+Configuración!$F18,10)+1))</f>
        <v>D</v>
      </c>
      <c r="AH12" s="17" t="str">
        <f>IF(AH$9="","",INDEX(Configuración!$K$6:$K$15,MOD(AH$9-$B$7+Configuración!$F18,10)+1))</f>
        <v>D</v>
      </c>
      <c r="AI12" s="17" t="str">
        <f>IF(AI$9="","",INDEX(Configuración!$K$6:$K$15,MOD(AI$9-$B$7+Configuración!$F18,10)+1))</f>
        <v>D</v>
      </c>
      <c r="AJ12" s="18" t="str">
        <f>IF(AJ$9="","",INDEX(Configuración!$K$6:$K$15,MOD(AJ$9-$B$7+Configuración!$F18,10)+1))</f>
        <v>M</v>
      </c>
      <c r="AK12" s="48"/>
      <c r="AL12" s="12" t="str">
        <f t="shared" ref="AL12:AL23" si="2">A12</f>
        <v>P-001</v>
      </c>
      <c r="AM12" s="13" t="str">
        <f t="shared" ref="AM12:AM23" si="3">B12</f>
        <v>Alejandra Ruiz</v>
      </c>
      <c r="AN12" s="71">
        <f t="shared" ref="AN12:AN23" si="4">COUNTIF(F12:AJ12,"M")+COUNTIF(F12:AJ12,"T")+COUNTIF(F12:AJ12,"N")+COUNTIF(F12:AJ12,"F")</f>
        <v>19</v>
      </c>
      <c r="AO12" s="14">
        <f>COUNTIF(F12:AJ12,"M")*Configuración!$E$6+COUNTIF(F12:AJ12,"T")*Configuración!$E$7+COUNTIF(F12:AJ12,"N")*Configuración!$E$8+COUNTIF(F12:AJ12,"F")*Configuración!$E$12</f>
        <v>152</v>
      </c>
      <c r="AP12" s="14">
        <f t="shared" ref="AP12:AP23" si="5">COUNTIF(F12:AJ12,"M")</f>
        <v>7</v>
      </c>
      <c r="AQ12" s="14">
        <f t="shared" ref="AQ12:AQ23" si="6">COUNTIF(F12:AJ12,"T")</f>
        <v>6</v>
      </c>
      <c r="AR12" s="14">
        <f t="shared" ref="AR12:AR23" si="7">COUNTIF(F12:AJ12,"N")</f>
        <v>6</v>
      </c>
      <c r="AS12" s="14">
        <f t="shared" ref="AS12:AS23" si="8">COUNTIF(F12:AJ12,"D")</f>
        <v>12</v>
      </c>
      <c r="AT12" s="14">
        <f t="shared" ref="AT12:AT23" si="9">COUNTIF(F12:AJ12,"V")+COUNTIF(F12:AJ12,"B")</f>
        <v>0</v>
      </c>
      <c r="AU12" s="14">
        <f t="shared" ref="AU12:AU23" si="10">IF(AND(F$9&lt;&gt;"",WEEKDAY(F$9,2)&gt;=6,OR(F12="M",F12="T",F12="N",F12="F")),1,0)+IF(AND(G$9&lt;&gt;"",WEEKDAY(G$9,2)&gt;=6,OR(G12="M",G12="T",G12="N",G12="F")),1,0)+IF(AND(H$9&lt;&gt;"",WEEKDAY(H$9,2)&gt;=6,OR(H12="M",H12="T",H12="N",H12="F")),1,0)+IF(AND(I$9&lt;&gt;"",WEEKDAY(I$9,2)&gt;=6,OR(I12="M",I12="T",I12="N",I12="F")),1,0)+IF(AND(J$9&lt;&gt;"",WEEKDAY(J$9,2)&gt;=6,OR(J12="M",J12="T",J12="N",J12="F")),1,0)+IF(AND(K$9&lt;&gt;"",WEEKDAY(K$9,2)&gt;=6,OR(K12="M",K12="T",K12="N",K12="F")),1,0)+IF(AND(L$9&lt;&gt;"",WEEKDAY(L$9,2)&gt;=6,OR(L12="M",L12="T",L12="N",L12="F")),1,0)+IF(AND(M$9&lt;&gt;"",WEEKDAY(M$9,2)&gt;=6,OR(M12="M",M12="T",M12="N",M12="F")),1,0)+IF(AND(N$9&lt;&gt;"",WEEKDAY(N$9,2)&gt;=6,OR(N12="M",N12="T",N12="N",N12="F")),1,0)+IF(AND(O$9&lt;&gt;"",WEEKDAY(O$9,2)&gt;=6,OR(O12="M",O12="T",O12="N",O12="F")),1,0)+IF(AND(P$9&lt;&gt;"",WEEKDAY(P$9,2)&gt;=6,OR(P12="M",P12="T",P12="N",P12="F")),1,0)+IF(AND(Q$9&lt;&gt;"",WEEKDAY(Q$9,2)&gt;=6,OR(Q12="M",Q12="T",Q12="N",Q12="F")),1,0)+IF(AND(R$9&lt;&gt;"",WEEKDAY(R$9,2)&gt;=6,OR(R12="M",R12="T",R12="N",R12="F")),1,0)+IF(AND(S$9&lt;&gt;"",WEEKDAY(S$9,2)&gt;=6,OR(S12="M",S12="T",S12="N",S12="F")),1,0)+IF(AND(T$9&lt;&gt;"",WEEKDAY(T$9,2)&gt;=6,OR(T12="M",T12="T",T12="N",T12="F")),1,0)+IF(AND(U$9&lt;&gt;"",WEEKDAY(U$9,2)&gt;=6,OR(U12="M",U12="T",U12="N",U12="F")),1,0)+IF(AND(V$9&lt;&gt;"",WEEKDAY(V$9,2)&gt;=6,OR(V12="M",V12="T",V12="N",V12="F")),1,0)+IF(AND(W$9&lt;&gt;"",WEEKDAY(W$9,2)&gt;=6,OR(W12="M",W12="T",W12="N",W12="F")),1,0)+IF(AND(X$9&lt;&gt;"",WEEKDAY(X$9,2)&gt;=6,OR(X12="M",X12="T",X12="N",X12="F")),1,0)+IF(AND(Y$9&lt;&gt;"",WEEKDAY(Y$9,2)&gt;=6,OR(Y12="M",Y12="T",Y12="N",Y12="F")),1,0)+IF(AND(Z$9&lt;&gt;"",WEEKDAY(Z$9,2)&gt;=6,OR(Z12="M",Z12="T",Z12="N",Z12="F")),1,0)+IF(AND(AA$9&lt;&gt;"",WEEKDAY(AA$9,2)&gt;=6,OR(AA12="M",AA12="T",AA12="N",AA12="F")),1,0)+IF(AND(AB$9&lt;&gt;"",WEEKDAY(AB$9,2)&gt;=6,OR(AB12="M",AB12="T",AB12="N",AB12="F")),1,0)+IF(AND(AC$9&lt;&gt;"",WEEKDAY(AC$9,2)&gt;=6,OR(AC12="M",AC12="T",AC12="N",AC12="F")),1,0)+IF(AND(AD$9&lt;&gt;"",WEEKDAY(AD$9,2)&gt;=6,OR(AD12="M",AD12="T",AD12="N",AD12="F")),1,0)+IF(AND(AE$9&lt;&gt;"",WEEKDAY(AE$9,2)&gt;=6,OR(AE12="M",AE12="T",AE12="N",AE12="F")),1,0)+IF(AND(AF$9&lt;&gt;"",WEEKDAY(AF$9,2)&gt;=6,OR(AF12="M",AF12="T",AF12="N",AF12="F")),1,0)+IF(AND(AG$9&lt;&gt;"",WEEKDAY(AG$9,2)&gt;=6,OR(AG12="M",AG12="T",AG12="N",AG12="F")),1,0)+IF(AND(AH$9&lt;&gt;"",WEEKDAY(AH$9,2)&gt;=6,OR(AH12="M",AH12="T",AH12="N",AH12="F")),1,0)+IF(AND(AI$9&lt;&gt;"",WEEKDAY(AI$9,2)&gt;=6,OR(AI12="M",AI12="T",AI12="N",AI12="F")),1,0)+IF(AND(AJ$9&lt;&gt;"",WEEKDAY(AJ$9,2)&gt;=6,OR(AJ12="M",AJ12="T",AJ12="N",AJ12="F")),1,0)</f>
        <v>6</v>
      </c>
      <c r="AV12" s="72">
        <f t="shared" ref="AV12:AV23" si="11">AN12-AVERAGE($AN$12:$AN$23)</f>
        <v>0.33333333333333215</v>
      </c>
    </row>
    <row r="13" spans="1:48" ht="19.05" customHeight="1">
      <c r="A13" s="20" t="str">
        <f>Configuración!A19</f>
        <v>P-002</v>
      </c>
      <c r="B13" s="21" t="str">
        <f>Configuración!B19</f>
        <v>Bruno Vidal</v>
      </c>
      <c r="C13" s="22" t="str">
        <f>Configuración!C19</f>
        <v>Equipo A</v>
      </c>
      <c r="D13" s="21" t="str">
        <f>Configuración!D19</f>
        <v>Operaciones</v>
      </c>
      <c r="E13" s="23">
        <f>Configuración!E19</f>
        <v>8</v>
      </c>
      <c r="F13" s="24" t="str">
        <f>IF(F$9="","",INDEX(Configuración!$K$6:$K$15,MOD(F$9-$B$7+Configuración!$F19,10)+1))</f>
        <v>M</v>
      </c>
      <c r="G13" s="25" t="str">
        <f>IF(G$9="","",INDEX(Configuración!$K$6:$K$15,MOD(G$9-$B$7+Configuración!$F19,10)+1))</f>
        <v>M</v>
      </c>
      <c r="H13" s="25" t="str">
        <f>IF(H$9="","",INDEX(Configuración!$K$6:$K$15,MOD(H$9-$B$7+Configuración!$F19,10)+1))</f>
        <v>T</v>
      </c>
      <c r="I13" s="25" t="str">
        <f>IF(I$9="","",INDEX(Configuración!$K$6:$K$15,MOD(I$9-$B$7+Configuración!$F19,10)+1))</f>
        <v>T</v>
      </c>
      <c r="J13" s="25" t="str">
        <f>IF(J$9="","",INDEX(Configuración!$K$6:$K$15,MOD(J$9-$B$7+Configuración!$F19,10)+1))</f>
        <v>N</v>
      </c>
      <c r="K13" s="25" t="str">
        <f>IF(K$9="","",INDEX(Configuración!$K$6:$K$15,MOD(K$9-$B$7+Configuración!$F19,10)+1))</f>
        <v>N</v>
      </c>
      <c r="L13" s="25" t="str">
        <f>IF(L$9="","",INDEX(Configuración!$K$6:$K$15,MOD(L$9-$B$7+Configuración!$F19,10)+1))</f>
        <v>D</v>
      </c>
      <c r="M13" s="25" t="str">
        <f>IF(M$9="","",INDEX(Configuración!$K$6:$K$15,MOD(M$9-$B$7+Configuración!$F19,10)+1))</f>
        <v>D</v>
      </c>
      <c r="N13" s="25" t="str">
        <f>IF(N$9="","",INDEX(Configuración!$K$6:$K$15,MOD(N$9-$B$7+Configuración!$F19,10)+1))</f>
        <v>D</v>
      </c>
      <c r="O13" s="25" t="str">
        <f>IF(O$9="","",INDEX(Configuración!$K$6:$K$15,MOD(O$9-$B$7+Configuración!$F19,10)+1))</f>
        <v>D</v>
      </c>
      <c r="P13" s="25" t="str">
        <f>IF(P$9="","",INDEX(Configuración!$K$6:$K$15,MOD(P$9-$B$7+Configuración!$F19,10)+1))</f>
        <v>M</v>
      </c>
      <c r="Q13" s="25" t="str">
        <f>IF(Q$9="","",INDEX(Configuración!$K$6:$K$15,MOD(Q$9-$B$7+Configuración!$F19,10)+1))</f>
        <v>M</v>
      </c>
      <c r="R13" s="25" t="str">
        <f>IF(R$9="","",INDEX(Configuración!$K$6:$K$15,MOD(R$9-$B$7+Configuración!$F19,10)+1))</f>
        <v>T</v>
      </c>
      <c r="S13" s="25" t="str">
        <f>IF(S$9="","",INDEX(Configuración!$K$6:$K$15,MOD(S$9-$B$7+Configuración!$F19,10)+1))</f>
        <v>T</v>
      </c>
      <c r="T13" s="25" t="str">
        <f>IF(T$9="","",INDEX(Configuración!$K$6:$K$15,MOD(T$9-$B$7+Configuración!$F19,10)+1))</f>
        <v>N</v>
      </c>
      <c r="U13" s="25" t="str">
        <f>IF(U$9="","",INDEX(Configuración!$K$6:$K$15,MOD(U$9-$B$7+Configuración!$F19,10)+1))</f>
        <v>N</v>
      </c>
      <c r="V13" s="25" t="str">
        <f>IF(V$9="","",INDEX(Configuración!$K$6:$K$15,MOD(V$9-$B$7+Configuración!$F19,10)+1))</f>
        <v>D</v>
      </c>
      <c r="W13" s="25" t="str">
        <f>IF(W$9="","",INDEX(Configuración!$K$6:$K$15,MOD(W$9-$B$7+Configuración!$F19,10)+1))</f>
        <v>D</v>
      </c>
      <c r="X13" s="25" t="str">
        <f>IF(X$9="","",INDEX(Configuración!$K$6:$K$15,MOD(X$9-$B$7+Configuración!$F19,10)+1))</f>
        <v>D</v>
      </c>
      <c r="Y13" s="25" t="str">
        <f>IF(Y$9="","",INDEX(Configuración!$K$6:$K$15,MOD(Y$9-$B$7+Configuración!$F19,10)+1))</f>
        <v>D</v>
      </c>
      <c r="Z13" s="25" t="str">
        <f>IF(Z$9="","",INDEX(Configuración!$K$6:$K$15,MOD(Z$9-$B$7+Configuración!$F19,10)+1))</f>
        <v>M</v>
      </c>
      <c r="AA13" s="25" t="str">
        <f>IF(AA$9="","",INDEX(Configuración!$K$6:$K$15,MOD(AA$9-$B$7+Configuración!$F19,10)+1))</f>
        <v>M</v>
      </c>
      <c r="AB13" s="25" t="str">
        <f>IF(AB$9="","",INDEX(Configuración!$K$6:$K$15,MOD(AB$9-$B$7+Configuración!$F19,10)+1))</f>
        <v>T</v>
      </c>
      <c r="AC13" s="25" t="str">
        <f>IF(AC$9="","",INDEX(Configuración!$K$6:$K$15,MOD(AC$9-$B$7+Configuración!$F19,10)+1))</f>
        <v>T</v>
      </c>
      <c r="AD13" s="25" t="str">
        <f>IF(AD$9="","",INDEX(Configuración!$K$6:$K$15,MOD(AD$9-$B$7+Configuración!$F19,10)+1))</f>
        <v>N</v>
      </c>
      <c r="AE13" s="25" t="str">
        <f>IF(AE$9="","",INDEX(Configuración!$K$6:$K$15,MOD(AE$9-$B$7+Configuración!$F19,10)+1))</f>
        <v>N</v>
      </c>
      <c r="AF13" s="25" t="str">
        <f>IF(AF$9="","",INDEX(Configuración!$K$6:$K$15,MOD(AF$9-$B$7+Configuración!$F19,10)+1))</f>
        <v>D</v>
      </c>
      <c r="AG13" s="25" t="str">
        <f>IF(AG$9="","",INDEX(Configuración!$K$6:$K$15,MOD(AG$9-$B$7+Configuración!$F19,10)+1))</f>
        <v>D</v>
      </c>
      <c r="AH13" s="25" t="str">
        <f>IF(AH$9="","",INDEX(Configuración!$K$6:$K$15,MOD(AH$9-$B$7+Configuración!$F19,10)+1))</f>
        <v>D</v>
      </c>
      <c r="AI13" s="25" t="str">
        <f>IF(AI$9="","",INDEX(Configuración!$K$6:$K$15,MOD(AI$9-$B$7+Configuración!$F19,10)+1))</f>
        <v>D</v>
      </c>
      <c r="AJ13" s="26" t="str">
        <f>IF(AJ$9="","",INDEX(Configuración!$K$6:$K$15,MOD(AJ$9-$B$7+Configuración!$F19,10)+1))</f>
        <v>M</v>
      </c>
      <c r="AK13" s="48"/>
      <c r="AL13" s="20" t="str">
        <f t="shared" si="2"/>
        <v>P-002</v>
      </c>
      <c r="AM13" s="21" t="str">
        <f t="shared" si="3"/>
        <v>Bruno Vidal</v>
      </c>
      <c r="AN13" s="73">
        <f t="shared" si="4"/>
        <v>19</v>
      </c>
      <c r="AO13" s="22">
        <f>COUNTIF(F13:AJ13,"M")*Configuración!$E$6+COUNTIF(F13:AJ13,"T")*Configuración!$E$7+COUNTIF(F13:AJ13,"N")*Configuración!$E$8+COUNTIF(F13:AJ13,"F")*Configuración!$E$12</f>
        <v>152</v>
      </c>
      <c r="AP13" s="22">
        <f t="shared" si="5"/>
        <v>7</v>
      </c>
      <c r="AQ13" s="22">
        <f t="shared" si="6"/>
        <v>6</v>
      </c>
      <c r="AR13" s="22">
        <f t="shared" si="7"/>
        <v>6</v>
      </c>
      <c r="AS13" s="22">
        <f t="shared" si="8"/>
        <v>12</v>
      </c>
      <c r="AT13" s="22">
        <f t="shared" si="9"/>
        <v>0</v>
      </c>
      <c r="AU13" s="22">
        <f t="shared" si="10"/>
        <v>6</v>
      </c>
      <c r="AV13" s="74">
        <f t="shared" si="11"/>
        <v>0.33333333333333215</v>
      </c>
    </row>
    <row r="14" spans="1:48" ht="19.05" customHeight="1">
      <c r="A14" s="20" t="str">
        <f>Configuración!A20</f>
        <v>P-003</v>
      </c>
      <c r="B14" s="21" t="str">
        <f>Configuración!B20</f>
        <v>Carla Montero</v>
      </c>
      <c r="C14" s="22" t="str">
        <f>Configuración!C20</f>
        <v>Equipo A</v>
      </c>
      <c r="D14" s="21" t="str">
        <f>Configuración!D20</f>
        <v>Operaciones</v>
      </c>
      <c r="E14" s="23">
        <f>Configuración!E20</f>
        <v>8</v>
      </c>
      <c r="F14" s="24" t="str">
        <f>IF(F$9="","",INDEX(Configuración!$K$6:$K$15,MOD(F$9-$B$7+Configuración!$F20,10)+1))</f>
        <v>M</v>
      </c>
      <c r="G14" s="25" t="str">
        <f>IF(G$9="","",INDEX(Configuración!$K$6:$K$15,MOD(G$9-$B$7+Configuración!$F20,10)+1))</f>
        <v>M</v>
      </c>
      <c r="H14" s="25" t="str">
        <f>IF(H$9="","",INDEX(Configuración!$K$6:$K$15,MOD(H$9-$B$7+Configuración!$F20,10)+1))</f>
        <v>T</v>
      </c>
      <c r="I14" s="25" t="str">
        <f>IF(I$9="","",INDEX(Configuración!$K$6:$K$15,MOD(I$9-$B$7+Configuración!$F20,10)+1))</f>
        <v>T</v>
      </c>
      <c r="J14" s="25" t="str">
        <f>IF(J$9="","",INDEX(Configuración!$K$6:$K$15,MOD(J$9-$B$7+Configuración!$F20,10)+1))</f>
        <v>N</v>
      </c>
      <c r="K14" s="25" t="str">
        <f>IF(K$9="","",INDEX(Configuración!$K$6:$K$15,MOD(K$9-$B$7+Configuración!$F20,10)+1))</f>
        <v>N</v>
      </c>
      <c r="L14" s="25" t="str">
        <f>IF(L$9="","",INDEX(Configuración!$K$6:$K$15,MOD(L$9-$B$7+Configuración!$F20,10)+1))</f>
        <v>D</v>
      </c>
      <c r="M14" s="25" t="str">
        <f>IF(M$9="","",INDEX(Configuración!$K$6:$K$15,MOD(M$9-$B$7+Configuración!$F20,10)+1))</f>
        <v>D</v>
      </c>
      <c r="N14" s="25" t="str">
        <f>IF(N$9="","",INDEX(Configuración!$K$6:$K$15,MOD(N$9-$B$7+Configuración!$F20,10)+1))</f>
        <v>D</v>
      </c>
      <c r="O14" s="25" t="str">
        <f>IF(O$9="","",INDEX(Configuración!$K$6:$K$15,MOD(O$9-$B$7+Configuración!$F20,10)+1))</f>
        <v>D</v>
      </c>
      <c r="P14" s="25" t="str">
        <f>IF(P$9="","",INDEX(Configuración!$K$6:$K$15,MOD(P$9-$B$7+Configuración!$F20,10)+1))</f>
        <v>M</v>
      </c>
      <c r="Q14" s="25" t="str">
        <f>IF(Q$9="","",INDEX(Configuración!$K$6:$K$15,MOD(Q$9-$B$7+Configuración!$F20,10)+1))</f>
        <v>M</v>
      </c>
      <c r="R14" s="25" t="str">
        <f>IF(R$9="","",INDEX(Configuración!$K$6:$K$15,MOD(R$9-$B$7+Configuración!$F20,10)+1))</f>
        <v>T</v>
      </c>
      <c r="S14" s="25" t="str">
        <f>IF(S$9="","",INDEX(Configuración!$K$6:$K$15,MOD(S$9-$B$7+Configuración!$F20,10)+1))</f>
        <v>T</v>
      </c>
      <c r="T14" s="25" t="str">
        <f>IF(T$9="","",INDEX(Configuración!$K$6:$K$15,MOD(T$9-$B$7+Configuración!$F20,10)+1))</f>
        <v>N</v>
      </c>
      <c r="U14" s="25" t="str">
        <f>IF(U$9="","",INDEX(Configuración!$K$6:$K$15,MOD(U$9-$B$7+Configuración!$F20,10)+1))</f>
        <v>N</v>
      </c>
      <c r="V14" s="25" t="str">
        <f>IF(V$9="","",INDEX(Configuración!$K$6:$K$15,MOD(V$9-$B$7+Configuración!$F20,10)+1))</f>
        <v>D</v>
      </c>
      <c r="W14" s="25" t="str">
        <f>IF(W$9="","",INDEX(Configuración!$K$6:$K$15,MOD(W$9-$B$7+Configuración!$F20,10)+1))</f>
        <v>D</v>
      </c>
      <c r="X14" s="25" t="str">
        <f>IF(X$9="","",INDEX(Configuración!$K$6:$K$15,MOD(X$9-$B$7+Configuración!$F20,10)+1))</f>
        <v>D</v>
      </c>
      <c r="Y14" s="25" t="str">
        <f>IF(Y$9="","",INDEX(Configuración!$K$6:$K$15,MOD(Y$9-$B$7+Configuración!$F20,10)+1))</f>
        <v>D</v>
      </c>
      <c r="Z14" s="25" t="str">
        <f>IF(Z$9="","",INDEX(Configuración!$K$6:$K$15,MOD(Z$9-$B$7+Configuración!$F20,10)+1))</f>
        <v>M</v>
      </c>
      <c r="AA14" s="25" t="str">
        <f>IF(AA$9="","",INDEX(Configuración!$K$6:$K$15,MOD(AA$9-$B$7+Configuración!$F20,10)+1))</f>
        <v>M</v>
      </c>
      <c r="AB14" s="25" t="str">
        <f>IF(AB$9="","",INDEX(Configuración!$K$6:$K$15,MOD(AB$9-$B$7+Configuración!$F20,10)+1))</f>
        <v>T</v>
      </c>
      <c r="AC14" s="25" t="str">
        <f>IF(AC$9="","",INDEX(Configuración!$K$6:$K$15,MOD(AC$9-$B$7+Configuración!$F20,10)+1))</f>
        <v>T</v>
      </c>
      <c r="AD14" s="25" t="str">
        <f>IF(AD$9="","",INDEX(Configuración!$K$6:$K$15,MOD(AD$9-$B$7+Configuración!$F20,10)+1))</f>
        <v>N</v>
      </c>
      <c r="AE14" s="25" t="str">
        <f>IF(AE$9="","",INDEX(Configuración!$K$6:$K$15,MOD(AE$9-$B$7+Configuración!$F20,10)+1))</f>
        <v>N</v>
      </c>
      <c r="AF14" s="25" t="str">
        <f>IF(AF$9="","",INDEX(Configuración!$K$6:$K$15,MOD(AF$9-$B$7+Configuración!$F20,10)+1))</f>
        <v>D</v>
      </c>
      <c r="AG14" s="25" t="str">
        <f>IF(AG$9="","",INDEX(Configuración!$K$6:$K$15,MOD(AG$9-$B$7+Configuración!$F20,10)+1))</f>
        <v>D</v>
      </c>
      <c r="AH14" s="25" t="str">
        <f>IF(AH$9="","",INDEX(Configuración!$K$6:$K$15,MOD(AH$9-$B$7+Configuración!$F20,10)+1))</f>
        <v>D</v>
      </c>
      <c r="AI14" s="25" t="str">
        <f>IF(AI$9="","",INDEX(Configuración!$K$6:$K$15,MOD(AI$9-$B$7+Configuración!$F20,10)+1))</f>
        <v>D</v>
      </c>
      <c r="AJ14" s="26" t="str">
        <f>IF(AJ$9="","",INDEX(Configuración!$K$6:$K$15,MOD(AJ$9-$B$7+Configuración!$F20,10)+1))</f>
        <v>M</v>
      </c>
      <c r="AK14" s="48"/>
      <c r="AL14" s="20" t="str">
        <f t="shared" si="2"/>
        <v>P-003</v>
      </c>
      <c r="AM14" s="21" t="str">
        <f t="shared" si="3"/>
        <v>Carla Montero</v>
      </c>
      <c r="AN14" s="73">
        <f t="shared" si="4"/>
        <v>19</v>
      </c>
      <c r="AO14" s="22">
        <f>COUNTIF(F14:AJ14,"M")*Configuración!$E$6+COUNTIF(F14:AJ14,"T")*Configuración!$E$7+COUNTIF(F14:AJ14,"N")*Configuración!$E$8+COUNTIF(F14:AJ14,"F")*Configuración!$E$12</f>
        <v>152</v>
      </c>
      <c r="AP14" s="22">
        <f t="shared" si="5"/>
        <v>7</v>
      </c>
      <c r="AQ14" s="22">
        <f t="shared" si="6"/>
        <v>6</v>
      </c>
      <c r="AR14" s="22">
        <f t="shared" si="7"/>
        <v>6</v>
      </c>
      <c r="AS14" s="22">
        <f t="shared" si="8"/>
        <v>12</v>
      </c>
      <c r="AT14" s="22">
        <f t="shared" si="9"/>
        <v>0</v>
      </c>
      <c r="AU14" s="22">
        <f t="shared" si="10"/>
        <v>6</v>
      </c>
      <c r="AV14" s="74">
        <f t="shared" si="11"/>
        <v>0.33333333333333215</v>
      </c>
    </row>
    <row r="15" spans="1:48" ht="19.05" customHeight="1">
      <c r="A15" s="20" t="str">
        <f>Configuración!A21</f>
        <v>P-004</v>
      </c>
      <c r="B15" s="21" t="str">
        <f>Configuración!B21</f>
        <v>Diego Salas</v>
      </c>
      <c r="C15" s="22" t="str">
        <f>Configuración!C21</f>
        <v>Equipo B</v>
      </c>
      <c r="D15" s="21" t="str">
        <f>Configuración!D21</f>
        <v>Operaciones</v>
      </c>
      <c r="E15" s="23">
        <f>Configuración!E21</f>
        <v>8</v>
      </c>
      <c r="F15" s="24" t="str">
        <f>IF(F$9="","",INDEX(Configuración!$K$6:$K$15,MOD(F$9-$B$7+Configuración!$F21,10)+1))</f>
        <v>T</v>
      </c>
      <c r="G15" s="25" t="str">
        <f>IF(G$9="","",INDEX(Configuración!$K$6:$K$15,MOD(G$9-$B$7+Configuración!$F21,10)+1))</f>
        <v>T</v>
      </c>
      <c r="H15" s="25" t="str">
        <f>IF(H$9="","",INDEX(Configuración!$K$6:$K$15,MOD(H$9-$B$7+Configuración!$F21,10)+1))</f>
        <v>N</v>
      </c>
      <c r="I15" s="25" t="str">
        <f>IF(I$9="","",INDEX(Configuración!$K$6:$K$15,MOD(I$9-$B$7+Configuración!$F21,10)+1))</f>
        <v>N</v>
      </c>
      <c r="J15" s="25" t="str">
        <f>IF(J$9="","",INDEX(Configuración!$K$6:$K$15,MOD(J$9-$B$7+Configuración!$F21,10)+1))</f>
        <v>D</v>
      </c>
      <c r="K15" s="25" t="str">
        <f>IF(K$9="","",INDEX(Configuración!$K$6:$K$15,MOD(K$9-$B$7+Configuración!$F21,10)+1))</f>
        <v>D</v>
      </c>
      <c r="L15" s="25" t="str">
        <f>IF(L$9="","",INDEX(Configuración!$K$6:$K$15,MOD(L$9-$B$7+Configuración!$F21,10)+1))</f>
        <v>D</v>
      </c>
      <c r="M15" s="25" t="str">
        <f>IF(M$9="","",INDEX(Configuración!$K$6:$K$15,MOD(M$9-$B$7+Configuración!$F21,10)+1))</f>
        <v>D</v>
      </c>
      <c r="N15" s="25" t="str">
        <f>IF(N$9="","",INDEX(Configuración!$K$6:$K$15,MOD(N$9-$B$7+Configuración!$F21,10)+1))</f>
        <v>M</v>
      </c>
      <c r="O15" s="25" t="str">
        <f>IF(O$9="","",INDEX(Configuración!$K$6:$K$15,MOD(O$9-$B$7+Configuración!$F21,10)+1))</f>
        <v>M</v>
      </c>
      <c r="P15" s="25" t="str">
        <f>IF(P$9="","",INDEX(Configuración!$K$6:$K$15,MOD(P$9-$B$7+Configuración!$F21,10)+1))</f>
        <v>T</v>
      </c>
      <c r="Q15" s="25" t="str">
        <f>IF(Q$9="","",INDEX(Configuración!$K$6:$K$15,MOD(Q$9-$B$7+Configuración!$F21,10)+1))</f>
        <v>T</v>
      </c>
      <c r="R15" s="25" t="str">
        <f>IF(R$9="","",INDEX(Configuración!$K$6:$K$15,MOD(R$9-$B$7+Configuración!$F21,10)+1))</f>
        <v>N</v>
      </c>
      <c r="S15" s="25" t="str">
        <f>IF(S$9="","",INDEX(Configuración!$K$6:$K$15,MOD(S$9-$B$7+Configuración!$F21,10)+1))</f>
        <v>N</v>
      </c>
      <c r="T15" s="25" t="str">
        <f>IF(T$9="","",INDEX(Configuración!$K$6:$K$15,MOD(T$9-$B$7+Configuración!$F21,10)+1))</f>
        <v>D</v>
      </c>
      <c r="U15" s="25" t="str">
        <f>IF(U$9="","",INDEX(Configuración!$K$6:$K$15,MOD(U$9-$B$7+Configuración!$F21,10)+1))</f>
        <v>D</v>
      </c>
      <c r="V15" s="25" t="str">
        <f>IF(V$9="","",INDEX(Configuración!$K$6:$K$15,MOD(V$9-$B$7+Configuración!$F21,10)+1))</f>
        <v>D</v>
      </c>
      <c r="W15" s="25" t="str">
        <f>IF(W$9="","",INDEX(Configuración!$K$6:$K$15,MOD(W$9-$B$7+Configuración!$F21,10)+1))</f>
        <v>D</v>
      </c>
      <c r="X15" s="25" t="str">
        <f>IF(X$9="","",INDEX(Configuración!$K$6:$K$15,MOD(X$9-$B$7+Configuración!$F21,10)+1))</f>
        <v>M</v>
      </c>
      <c r="Y15" s="25" t="str">
        <f>IF(Y$9="","",INDEX(Configuración!$K$6:$K$15,MOD(Y$9-$B$7+Configuración!$F21,10)+1))</f>
        <v>M</v>
      </c>
      <c r="Z15" s="25" t="str">
        <f>IF(Z$9="","",INDEX(Configuración!$K$6:$K$15,MOD(Z$9-$B$7+Configuración!$F21,10)+1))</f>
        <v>T</v>
      </c>
      <c r="AA15" s="25" t="str">
        <f>IF(AA$9="","",INDEX(Configuración!$K$6:$K$15,MOD(AA$9-$B$7+Configuración!$F21,10)+1))</f>
        <v>T</v>
      </c>
      <c r="AB15" s="25" t="str">
        <f>IF(AB$9="","",INDEX(Configuración!$K$6:$K$15,MOD(AB$9-$B$7+Configuración!$F21,10)+1))</f>
        <v>N</v>
      </c>
      <c r="AC15" s="25" t="str">
        <f>IF(AC$9="","",INDEX(Configuración!$K$6:$K$15,MOD(AC$9-$B$7+Configuración!$F21,10)+1))</f>
        <v>N</v>
      </c>
      <c r="AD15" s="25" t="str">
        <f>IF(AD$9="","",INDEX(Configuración!$K$6:$K$15,MOD(AD$9-$B$7+Configuración!$F21,10)+1))</f>
        <v>D</v>
      </c>
      <c r="AE15" s="25" t="str">
        <f>IF(AE$9="","",INDEX(Configuración!$K$6:$K$15,MOD(AE$9-$B$7+Configuración!$F21,10)+1))</f>
        <v>D</v>
      </c>
      <c r="AF15" s="25" t="str">
        <f>IF(AF$9="","",INDEX(Configuración!$K$6:$K$15,MOD(AF$9-$B$7+Configuración!$F21,10)+1))</f>
        <v>D</v>
      </c>
      <c r="AG15" s="25" t="str">
        <f>IF(AG$9="","",INDEX(Configuración!$K$6:$K$15,MOD(AG$9-$B$7+Configuración!$F21,10)+1))</f>
        <v>D</v>
      </c>
      <c r="AH15" s="25" t="str">
        <f>IF(AH$9="","",INDEX(Configuración!$K$6:$K$15,MOD(AH$9-$B$7+Configuración!$F21,10)+1))</f>
        <v>M</v>
      </c>
      <c r="AI15" s="25" t="str">
        <f>IF(AI$9="","",INDEX(Configuración!$K$6:$K$15,MOD(AI$9-$B$7+Configuración!$F21,10)+1))</f>
        <v>M</v>
      </c>
      <c r="AJ15" s="26" t="str">
        <f>IF(AJ$9="","",INDEX(Configuración!$K$6:$K$15,MOD(AJ$9-$B$7+Configuración!$F21,10)+1))</f>
        <v>T</v>
      </c>
      <c r="AK15" s="48"/>
      <c r="AL15" s="20" t="str">
        <f t="shared" si="2"/>
        <v>P-004</v>
      </c>
      <c r="AM15" s="21" t="str">
        <f t="shared" si="3"/>
        <v>Diego Salas</v>
      </c>
      <c r="AN15" s="73">
        <f t="shared" si="4"/>
        <v>19</v>
      </c>
      <c r="AO15" s="22">
        <f>COUNTIF(F15:AJ15,"M")*Configuración!$E$6+COUNTIF(F15:AJ15,"T")*Configuración!$E$7+COUNTIF(F15:AJ15,"N")*Configuración!$E$8+COUNTIF(F15:AJ15,"F")*Configuración!$E$12</f>
        <v>152</v>
      </c>
      <c r="AP15" s="22">
        <f t="shared" si="5"/>
        <v>6</v>
      </c>
      <c r="AQ15" s="22">
        <f t="shared" si="6"/>
        <v>7</v>
      </c>
      <c r="AR15" s="22">
        <f t="shared" si="7"/>
        <v>6</v>
      </c>
      <c r="AS15" s="22">
        <f t="shared" si="8"/>
        <v>12</v>
      </c>
      <c r="AT15" s="22">
        <f t="shared" si="9"/>
        <v>0</v>
      </c>
      <c r="AU15" s="22">
        <f t="shared" si="10"/>
        <v>8</v>
      </c>
      <c r="AV15" s="74">
        <f t="shared" si="11"/>
        <v>0.33333333333333215</v>
      </c>
    </row>
    <row r="16" spans="1:48" ht="19.05" customHeight="1">
      <c r="A16" s="20" t="str">
        <f>Configuración!A22</f>
        <v>P-005</v>
      </c>
      <c r="B16" s="21" t="str">
        <f>Configuración!B22</f>
        <v>Elena Campos</v>
      </c>
      <c r="C16" s="22" t="str">
        <f>Configuración!C22</f>
        <v>Equipo B</v>
      </c>
      <c r="D16" s="21" t="str">
        <f>Configuración!D22</f>
        <v>Soporte técnico</v>
      </c>
      <c r="E16" s="23">
        <f>Configuración!E22</f>
        <v>8</v>
      </c>
      <c r="F16" s="24" t="str">
        <f>IF(F$9="","",INDEX(Configuración!$K$6:$K$15,MOD(F$9-$B$7+Configuración!$F22,10)+1))</f>
        <v>T</v>
      </c>
      <c r="G16" s="25" t="str">
        <f>IF(G$9="","",INDEX(Configuración!$K$6:$K$15,MOD(G$9-$B$7+Configuración!$F22,10)+1))</f>
        <v>T</v>
      </c>
      <c r="H16" s="25" t="str">
        <f>IF(H$9="","",INDEX(Configuración!$K$6:$K$15,MOD(H$9-$B$7+Configuración!$F22,10)+1))</f>
        <v>N</v>
      </c>
      <c r="I16" s="25" t="str">
        <f>IF(I$9="","",INDEX(Configuración!$K$6:$K$15,MOD(I$9-$B$7+Configuración!$F22,10)+1))</f>
        <v>N</v>
      </c>
      <c r="J16" s="25" t="str">
        <f>IF(J$9="","",INDEX(Configuración!$K$6:$K$15,MOD(J$9-$B$7+Configuración!$F22,10)+1))</f>
        <v>D</v>
      </c>
      <c r="K16" s="25" t="str">
        <f>IF(K$9="","",INDEX(Configuración!$K$6:$K$15,MOD(K$9-$B$7+Configuración!$F22,10)+1))</f>
        <v>D</v>
      </c>
      <c r="L16" s="25" t="str">
        <f>IF(L$9="","",INDEX(Configuración!$K$6:$K$15,MOD(L$9-$B$7+Configuración!$F22,10)+1))</f>
        <v>D</v>
      </c>
      <c r="M16" s="25" t="str">
        <f>IF(M$9="","",INDEX(Configuración!$K$6:$K$15,MOD(M$9-$B$7+Configuración!$F22,10)+1))</f>
        <v>D</v>
      </c>
      <c r="N16" s="25" t="str">
        <f>IF(N$9="","",INDEX(Configuración!$K$6:$K$15,MOD(N$9-$B$7+Configuración!$F22,10)+1))</f>
        <v>M</v>
      </c>
      <c r="O16" s="25" t="str">
        <f>IF(O$9="","",INDEX(Configuración!$K$6:$K$15,MOD(O$9-$B$7+Configuración!$F22,10)+1))</f>
        <v>M</v>
      </c>
      <c r="P16" s="25" t="str">
        <f>IF(P$9="","",INDEX(Configuración!$K$6:$K$15,MOD(P$9-$B$7+Configuración!$F22,10)+1))</f>
        <v>T</v>
      </c>
      <c r="Q16" s="25" t="str">
        <f>IF(Q$9="","",INDEX(Configuración!$K$6:$K$15,MOD(Q$9-$B$7+Configuración!$F22,10)+1))</f>
        <v>T</v>
      </c>
      <c r="R16" s="25" t="str">
        <f>IF(R$9="","",INDEX(Configuración!$K$6:$K$15,MOD(R$9-$B$7+Configuración!$F22,10)+1))</f>
        <v>N</v>
      </c>
      <c r="S16" s="25" t="str">
        <f>IF(S$9="","",INDEX(Configuración!$K$6:$K$15,MOD(S$9-$B$7+Configuración!$F22,10)+1))</f>
        <v>N</v>
      </c>
      <c r="T16" s="25" t="str">
        <f>IF(T$9="","",INDEX(Configuración!$K$6:$K$15,MOD(T$9-$B$7+Configuración!$F22,10)+1))</f>
        <v>D</v>
      </c>
      <c r="U16" s="25" t="str">
        <f>IF(U$9="","",INDEX(Configuración!$K$6:$K$15,MOD(U$9-$B$7+Configuración!$F22,10)+1))</f>
        <v>D</v>
      </c>
      <c r="V16" s="25" t="str">
        <f>IF(V$9="","",INDEX(Configuración!$K$6:$K$15,MOD(V$9-$B$7+Configuración!$F22,10)+1))</f>
        <v>D</v>
      </c>
      <c r="W16" s="25" t="str">
        <f>IF(W$9="","",INDEX(Configuración!$K$6:$K$15,MOD(W$9-$B$7+Configuración!$F22,10)+1))</f>
        <v>D</v>
      </c>
      <c r="X16" s="25" t="str">
        <f>IF(X$9="","",INDEX(Configuración!$K$6:$K$15,MOD(X$9-$B$7+Configuración!$F22,10)+1))</f>
        <v>M</v>
      </c>
      <c r="Y16" s="25" t="str">
        <f>IF(Y$9="","",INDEX(Configuración!$K$6:$K$15,MOD(Y$9-$B$7+Configuración!$F22,10)+1))</f>
        <v>M</v>
      </c>
      <c r="Z16" s="25" t="str">
        <f>IF(Z$9="","",INDEX(Configuración!$K$6:$K$15,MOD(Z$9-$B$7+Configuración!$F22,10)+1))</f>
        <v>T</v>
      </c>
      <c r="AA16" s="25" t="str">
        <f>IF(AA$9="","",INDEX(Configuración!$K$6:$K$15,MOD(AA$9-$B$7+Configuración!$F22,10)+1))</f>
        <v>T</v>
      </c>
      <c r="AB16" s="25" t="str">
        <f>IF(AB$9="","",INDEX(Configuración!$K$6:$K$15,MOD(AB$9-$B$7+Configuración!$F22,10)+1))</f>
        <v>N</v>
      </c>
      <c r="AC16" s="25" t="str">
        <f>IF(AC$9="","",INDEX(Configuración!$K$6:$K$15,MOD(AC$9-$B$7+Configuración!$F22,10)+1))</f>
        <v>N</v>
      </c>
      <c r="AD16" s="25" t="str">
        <f>IF(AD$9="","",INDEX(Configuración!$K$6:$K$15,MOD(AD$9-$B$7+Configuración!$F22,10)+1))</f>
        <v>D</v>
      </c>
      <c r="AE16" s="25" t="str">
        <f>IF(AE$9="","",INDEX(Configuración!$K$6:$K$15,MOD(AE$9-$B$7+Configuración!$F22,10)+1))</f>
        <v>D</v>
      </c>
      <c r="AF16" s="25" t="str">
        <f>IF(AF$9="","",INDEX(Configuración!$K$6:$K$15,MOD(AF$9-$B$7+Configuración!$F22,10)+1))</f>
        <v>D</v>
      </c>
      <c r="AG16" s="25" t="str">
        <f>IF(AG$9="","",INDEX(Configuración!$K$6:$K$15,MOD(AG$9-$B$7+Configuración!$F22,10)+1))</f>
        <v>D</v>
      </c>
      <c r="AH16" s="25" t="str">
        <f>IF(AH$9="","",INDEX(Configuración!$K$6:$K$15,MOD(AH$9-$B$7+Configuración!$F22,10)+1))</f>
        <v>M</v>
      </c>
      <c r="AI16" s="25" t="str">
        <f>IF(AI$9="","",INDEX(Configuración!$K$6:$K$15,MOD(AI$9-$B$7+Configuración!$F22,10)+1))</f>
        <v>M</v>
      </c>
      <c r="AJ16" s="26" t="str">
        <f>IF(AJ$9="","",INDEX(Configuración!$K$6:$K$15,MOD(AJ$9-$B$7+Configuración!$F22,10)+1))</f>
        <v>T</v>
      </c>
      <c r="AK16" s="48"/>
      <c r="AL16" s="20" t="str">
        <f t="shared" si="2"/>
        <v>P-005</v>
      </c>
      <c r="AM16" s="21" t="str">
        <f t="shared" si="3"/>
        <v>Elena Campos</v>
      </c>
      <c r="AN16" s="73">
        <f t="shared" si="4"/>
        <v>19</v>
      </c>
      <c r="AO16" s="22">
        <f>COUNTIF(F16:AJ16,"M")*Configuración!$E$6+COUNTIF(F16:AJ16,"T")*Configuración!$E$7+COUNTIF(F16:AJ16,"N")*Configuración!$E$8+COUNTIF(F16:AJ16,"F")*Configuración!$E$12</f>
        <v>152</v>
      </c>
      <c r="AP16" s="22">
        <f t="shared" si="5"/>
        <v>6</v>
      </c>
      <c r="AQ16" s="22">
        <f t="shared" si="6"/>
        <v>7</v>
      </c>
      <c r="AR16" s="22">
        <f t="shared" si="7"/>
        <v>6</v>
      </c>
      <c r="AS16" s="22">
        <f t="shared" si="8"/>
        <v>12</v>
      </c>
      <c r="AT16" s="22">
        <f t="shared" si="9"/>
        <v>0</v>
      </c>
      <c r="AU16" s="22">
        <f t="shared" si="10"/>
        <v>8</v>
      </c>
      <c r="AV16" s="74">
        <f t="shared" si="11"/>
        <v>0.33333333333333215</v>
      </c>
    </row>
    <row r="17" spans="1:48" ht="19.05" customHeight="1">
      <c r="A17" s="20" t="str">
        <f>Configuración!A23</f>
        <v>P-006</v>
      </c>
      <c r="B17" s="21" t="str">
        <f>Configuración!B23</f>
        <v>Fabio Costa</v>
      </c>
      <c r="C17" s="22" t="str">
        <f>Configuración!C23</f>
        <v>Equipo B</v>
      </c>
      <c r="D17" s="21" t="str">
        <f>Configuración!D23</f>
        <v>Operaciones</v>
      </c>
      <c r="E17" s="23">
        <f>Configuración!E23</f>
        <v>8</v>
      </c>
      <c r="F17" s="24" t="str">
        <f>IF(F$9="","",INDEX(Configuración!$K$6:$K$15,MOD(F$9-$B$7+Configuración!$F23,10)+1))</f>
        <v>T</v>
      </c>
      <c r="G17" s="25" t="str">
        <f>IF(G$9="","",INDEX(Configuración!$K$6:$K$15,MOD(G$9-$B$7+Configuración!$F23,10)+1))</f>
        <v>T</v>
      </c>
      <c r="H17" s="25" t="str">
        <f>IF(H$9="","",INDEX(Configuración!$K$6:$K$15,MOD(H$9-$B$7+Configuración!$F23,10)+1))</f>
        <v>N</v>
      </c>
      <c r="I17" s="25" t="str">
        <f>IF(I$9="","",INDEX(Configuración!$K$6:$K$15,MOD(I$9-$B$7+Configuración!$F23,10)+1))</f>
        <v>N</v>
      </c>
      <c r="J17" s="25" t="str">
        <f>IF(J$9="","",INDEX(Configuración!$K$6:$K$15,MOD(J$9-$B$7+Configuración!$F23,10)+1))</f>
        <v>D</v>
      </c>
      <c r="K17" s="25" t="str">
        <f>IF(K$9="","",INDEX(Configuración!$K$6:$K$15,MOD(K$9-$B$7+Configuración!$F23,10)+1))</f>
        <v>D</v>
      </c>
      <c r="L17" s="25" t="str">
        <f>IF(L$9="","",INDEX(Configuración!$K$6:$K$15,MOD(L$9-$B$7+Configuración!$F23,10)+1))</f>
        <v>D</v>
      </c>
      <c r="M17" s="25" t="str">
        <f>IF(M$9="","",INDEX(Configuración!$K$6:$K$15,MOD(M$9-$B$7+Configuración!$F23,10)+1))</f>
        <v>D</v>
      </c>
      <c r="N17" s="25" t="str">
        <f>IF(N$9="","",INDEX(Configuración!$K$6:$K$15,MOD(N$9-$B$7+Configuración!$F23,10)+1))</f>
        <v>M</v>
      </c>
      <c r="O17" s="25" t="str">
        <f>IF(O$9="","",INDEX(Configuración!$K$6:$K$15,MOD(O$9-$B$7+Configuración!$F23,10)+1))</f>
        <v>M</v>
      </c>
      <c r="P17" s="25" t="str">
        <f>IF(P$9="","",INDEX(Configuración!$K$6:$K$15,MOD(P$9-$B$7+Configuración!$F23,10)+1))</f>
        <v>T</v>
      </c>
      <c r="Q17" s="25" t="str">
        <f>IF(Q$9="","",INDEX(Configuración!$K$6:$K$15,MOD(Q$9-$B$7+Configuración!$F23,10)+1))</f>
        <v>T</v>
      </c>
      <c r="R17" s="25" t="str">
        <f>IF(R$9="","",INDEX(Configuración!$K$6:$K$15,MOD(R$9-$B$7+Configuración!$F23,10)+1))</f>
        <v>N</v>
      </c>
      <c r="S17" s="25" t="str">
        <f>IF(S$9="","",INDEX(Configuración!$K$6:$K$15,MOD(S$9-$B$7+Configuración!$F23,10)+1))</f>
        <v>N</v>
      </c>
      <c r="T17" s="25" t="str">
        <f>IF(T$9="","",INDEX(Configuración!$K$6:$K$15,MOD(T$9-$B$7+Configuración!$F23,10)+1))</f>
        <v>D</v>
      </c>
      <c r="U17" s="25" t="str">
        <f>IF(U$9="","",INDEX(Configuración!$K$6:$K$15,MOD(U$9-$B$7+Configuración!$F23,10)+1))</f>
        <v>D</v>
      </c>
      <c r="V17" s="25" t="str">
        <f>IF(V$9="","",INDEX(Configuración!$K$6:$K$15,MOD(V$9-$B$7+Configuración!$F23,10)+1))</f>
        <v>D</v>
      </c>
      <c r="W17" s="25" t="str">
        <f>IF(W$9="","",INDEX(Configuración!$K$6:$K$15,MOD(W$9-$B$7+Configuración!$F23,10)+1))</f>
        <v>D</v>
      </c>
      <c r="X17" s="25" t="str">
        <f>IF(X$9="","",INDEX(Configuración!$K$6:$K$15,MOD(X$9-$B$7+Configuración!$F23,10)+1))</f>
        <v>M</v>
      </c>
      <c r="Y17" s="25" t="str">
        <f>IF(Y$9="","",INDEX(Configuración!$K$6:$K$15,MOD(Y$9-$B$7+Configuración!$F23,10)+1))</f>
        <v>M</v>
      </c>
      <c r="Z17" s="25" t="str">
        <f>IF(Z$9="","",INDEX(Configuración!$K$6:$K$15,MOD(Z$9-$B$7+Configuración!$F23,10)+1))</f>
        <v>T</v>
      </c>
      <c r="AA17" s="25" t="str">
        <f>IF(AA$9="","",INDEX(Configuración!$K$6:$K$15,MOD(AA$9-$B$7+Configuración!$F23,10)+1))</f>
        <v>T</v>
      </c>
      <c r="AB17" s="25" t="str">
        <f>IF(AB$9="","",INDEX(Configuración!$K$6:$K$15,MOD(AB$9-$B$7+Configuración!$F23,10)+1))</f>
        <v>N</v>
      </c>
      <c r="AC17" s="25" t="str">
        <f>IF(AC$9="","",INDEX(Configuración!$K$6:$K$15,MOD(AC$9-$B$7+Configuración!$F23,10)+1))</f>
        <v>N</v>
      </c>
      <c r="AD17" s="25" t="str">
        <f>IF(AD$9="","",INDEX(Configuración!$K$6:$K$15,MOD(AD$9-$B$7+Configuración!$F23,10)+1))</f>
        <v>D</v>
      </c>
      <c r="AE17" s="25" t="str">
        <f>IF(AE$9="","",INDEX(Configuración!$K$6:$K$15,MOD(AE$9-$B$7+Configuración!$F23,10)+1))</f>
        <v>D</v>
      </c>
      <c r="AF17" s="25" t="str">
        <f>IF(AF$9="","",INDEX(Configuración!$K$6:$K$15,MOD(AF$9-$B$7+Configuración!$F23,10)+1))</f>
        <v>D</v>
      </c>
      <c r="AG17" s="25" t="str">
        <f>IF(AG$9="","",INDEX(Configuración!$K$6:$K$15,MOD(AG$9-$B$7+Configuración!$F23,10)+1))</f>
        <v>D</v>
      </c>
      <c r="AH17" s="25" t="str">
        <f>IF(AH$9="","",INDEX(Configuración!$K$6:$K$15,MOD(AH$9-$B$7+Configuración!$F23,10)+1))</f>
        <v>M</v>
      </c>
      <c r="AI17" s="25" t="str">
        <f>IF(AI$9="","",INDEX(Configuración!$K$6:$K$15,MOD(AI$9-$B$7+Configuración!$F23,10)+1))</f>
        <v>M</v>
      </c>
      <c r="AJ17" s="26" t="str">
        <f>IF(AJ$9="","",INDEX(Configuración!$K$6:$K$15,MOD(AJ$9-$B$7+Configuración!$F23,10)+1))</f>
        <v>T</v>
      </c>
      <c r="AK17" s="48"/>
      <c r="AL17" s="20" t="str">
        <f t="shared" si="2"/>
        <v>P-006</v>
      </c>
      <c r="AM17" s="21" t="str">
        <f t="shared" si="3"/>
        <v>Fabio Costa</v>
      </c>
      <c r="AN17" s="73">
        <f t="shared" si="4"/>
        <v>19</v>
      </c>
      <c r="AO17" s="22">
        <f>COUNTIF(F17:AJ17,"M")*Configuración!$E$6+COUNTIF(F17:AJ17,"T")*Configuración!$E$7+COUNTIF(F17:AJ17,"N")*Configuración!$E$8+COUNTIF(F17:AJ17,"F")*Configuración!$E$12</f>
        <v>152</v>
      </c>
      <c r="AP17" s="22">
        <f t="shared" si="5"/>
        <v>6</v>
      </c>
      <c r="AQ17" s="22">
        <f t="shared" si="6"/>
        <v>7</v>
      </c>
      <c r="AR17" s="22">
        <f t="shared" si="7"/>
        <v>6</v>
      </c>
      <c r="AS17" s="22">
        <f t="shared" si="8"/>
        <v>12</v>
      </c>
      <c r="AT17" s="22">
        <f t="shared" si="9"/>
        <v>0</v>
      </c>
      <c r="AU17" s="22">
        <f t="shared" si="10"/>
        <v>8</v>
      </c>
      <c r="AV17" s="74">
        <f t="shared" si="11"/>
        <v>0.33333333333333215</v>
      </c>
    </row>
    <row r="18" spans="1:48" ht="19.05" customHeight="1">
      <c r="A18" s="20" t="str">
        <f>Configuración!A24</f>
        <v>P-007</v>
      </c>
      <c r="B18" s="21" t="str">
        <f>Configuración!B24</f>
        <v>Gabriela Navas</v>
      </c>
      <c r="C18" s="22" t="str">
        <f>Configuración!C24</f>
        <v>Equipo C</v>
      </c>
      <c r="D18" s="21" t="str">
        <f>Configuración!D24</f>
        <v>Operaciones</v>
      </c>
      <c r="E18" s="23">
        <f>Configuración!E24</f>
        <v>8</v>
      </c>
      <c r="F18" s="24" t="str">
        <f>IF(F$9="","",INDEX(Configuración!$K$6:$K$15,MOD(F$9-$B$7+Configuración!$F24,10)+1))</f>
        <v>N</v>
      </c>
      <c r="G18" s="25" t="str">
        <f>IF(G$9="","",INDEX(Configuración!$K$6:$K$15,MOD(G$9-$B$7+Configuración!$F24,10)+1))</f>
        <v>N</v>
      </c>
      <c r="H18" s="25" t="str">
        <f>IF(H$9="","",INDEX(Configuración!$K$6:$K$15,MOD(H$9-$B$7+Configuración!$F24,10)+1))</f>
        <v>D</v>
      </c>
      <c r="I18" s="25" t="str">
        <f>IF(I$9="","",INDEX(Configuración!$K$6:$K$15,MOD(I$9-$B$7+Configuración!$F24,10)+1))</f>
        <v>D</v>
      </c>
      <c r="J18" s="25" t="str">
        <f>IF(J$9="","",INDEX(Configuración!$K$6:$K$15,MOD(J$9-$B$7+Configuración!$F24,10)+1))</f>
        <v>D</v>
      </c>
      <c r="K18" s="25" t="str">
        <f>IF(K$9="","",INDEX(Configuración!$K$6:$K$15,MOD(K$9-$B$7+Configuración!$F24,10)+1))</f>
        <v>D</v>
      </c>
      <c r="L18" s="25" t="str">
        <f>IF(L$9="","",INDEX(Configuración!$K$6:$K$15,MOD(L$9-$B$7+Configuración!$F24,10)+1))</f>
        <v>M</v>
      </c>
      <c r="M18" s="25" t="str">
        <f>IF(M$9="","",INDEX(Configuración!$K$6:$K$15,MOD(M$9-$B$7+Configuración!$F24,10)+1))</f>
        <v>M</v>
      </c>
      <c r="N18" s="25" t="str">
        <f>IF(N$9="","",INDEX(Configuración!$K$6:$K$15,MOD(N$9-$B$7+Configuración!$F24,10)+1))</f>
        <v>T</v>
      </c>
      <c r="O18" s="25" t="str">
        <f>IF(O$9="","",INDEX(Configuración!$K$6:$K$15,MOD(O$9-$B$7+Configuración!$F24,10)+1))</f>
        <v>T</v>
      </c>
      <c r="P18" s="25" t="str">
        <f>IF(P$9="","",INDEX(Configuración!$K$6:$K$15,MOD(P$9-$B$7+Configuración!$F24,10)+1))</f>
        <v>N</v>
      </c>
      <c r="Q18" s="25" t="str">
        <f>IF(Q$9="","",INDEX(Configuración!$K$6:$K$15,MOD(Q$9-$B$7+Configuración!$F24,10)+1))</f>
        <v>N</v>
      </c>
      <c r="R18" s="25" t="str">
        <f>IF(R$9="","",INDEX(Configuración!$K$6:$K$15,MOD(R$9-$B$7+Configuración!$F24,10)+1))</f>
        <v>D</v>
      </c>
      <c r="S18" s="25" t="str">
        <f>IF(S$9="","",INDEX(Configuración!$K$6:$K$15,MOD(S$9-$B$7+Configuración!$F24,10)+1))</f>
        <v>D</v>
      </c>
      <c r="T18" s="25" t="str">
        <f>IF(T$9="","",INDEX(Configuración!$K$6:$K$15,MOD(T$9-$B$7+Configuración!$F24,10)+1))</f>
        <v>D</v>
      </c>
      <c r="U18" s="25" t="str">
        <f>IF(U$9="","",INDEX(Configuración!$K$6:$K$15,MOD(U$9-$B$7+Configuración!$F24,10)+1))</f>
        <v>D</v>
      </c>
      <c r="V18" s="25" t="str">
        <f>IF(V$9="","",INDEX(Configuración!$K$6:$K$15,MOD(V$9-$B$7+Configuración!$F24,10)+1))</f>
        <v>M</v>
      </c>
      <c r="W18" s="25" t="str">
        <f>IF(W$9="","",INDEX(Configuración!$K$6:$K$15,MOD(W$9-$B$7+Configuración!$F24,10)+1))</f>
        <v>M</v>
      </c>
      <c r="X18" s="25" t="str">
        <f>IF(X$9="","",INDEX(Configuración!$K$6:$K$15,MOD(X$9-$B$7+Configuración!$F24,10)+1))</f>
        <v>T</v>
      </c>
      <c r="Y18" s="25" t="str">
        <f>IF(Y$9="","",INDEX(Configuración!$K$6:$K$15,MOD(Y$9-$B$7+Configuración!$F24,10)+1))</f>
        <v>T</v>
      </c>
      <c r="Z18" s="25" t="str">
        <f>IF(Z$9="","",INDEX(Configuración!$K$6:$K$15,MOD(Z$9-$B$7+Configuración!$F24,10)+1))</f>
        <v>N</v>
      </c>
      <c r="AA18" s="25" t="str">
        <f>IF(AA$9="","",INDEX(Configuración!$K$6:$K$15,MOD(AA$9-$B$7+Configuración!$F24,10)+1))</f>
        <v>N</v>
      </c>
      <c r="AB18" s="25" t="str">
        <f>IF(AB$9="","",INDEX(Configuración!$K$6:$K$15,MOD(AB$9-$B$7+Configuración!$F24,10)+1))</f>
        <v>D</v>
      </c>
      <c r="AC18" s="25" t="str">
        <f>IF(AC$9="","",INDEX(Configuración!$K$6:$K$15,MOD(AC$9-$B$7+Configuración!$F24,10)+1))</f>
        <v>D</v>
      </c>
      <c r="AD18" s="25" t="str">
        <f>IF(AD$9="","",INDEX(Configuración!$K$6:$K$15,MOD(AD$9-$B$7+Configuración!$F24,10)+1))</f>
        <v>D</v>
      </c>
      <c r="AE18" s="25" t="str">
        <f>IF(AE$9="","",INDEX(Configuración!$K$6:$K$15,MOD(AE$9-$B$7+Configuración!$F24,10)+1))</f>
        <v>D</v>
      </c>
      <c r="AF18" s="25" t="str">
        <f>IF(AF$9="","",INDEX(Configuración!$K$6:$K$15,MOD(AF$9-$B$7+Configuración!$F24,10)+1))</f>
        <v>M</v>
      </c>
      <c r="AG18" s="25" t="str">
        <f>IF(AG$9="","",INDEX(Configuración!$K$6:$K$15,MOD(AG$9-$B$7+Configuración!$F24,10)+1))</f>
        <v>M</v>
      </c>
      <c r="AH18" s="25" t="str">
        <f>IF(AH$9="","",INDEX(Configuración!$K$6:$K$15,MOD(AH$9-$B$7+Configuración!$F24,10)+1))</f>
        <v>T</v>
      </c>
      <c r="AI18" s="25" t="str">
        <f>IF(AI$9="","",INDEX(Configuración!$K$6:$K$15,MOD(AI$9-$B$7+Configuración!$F24,10)+1))</f>
        <v>T</v>
      </c>
      <c r="AJ18" s="26" t="str">
        <f>IF(AJ$9="","",INDEX(Configuración!$K$6:$K$15,MOD(AJ$9-$B$7+Configuración!$F24,10)+1))</f>
        <v>N</v>
      </c>
      <c r="AK18" s="48"/>
      <c r="AL18" s="20" t="str">
        <f t="shared" si="2"/>
        <v>P-007</v>
      </c>
      <c r="AM18" s="21" t="str">
        <f t="shared" si="3"/>
        <v>Gabriela Navas</v>
      </c>
      <c r="AN18" s="73">
        <f t="shared" si="4"/>
        <v>19</v>
      </c>
      <c r="AO18" s="22">
        <f>COUNTIF(F18:AJ18,"M")*Configuración!$E$6+COUNTIF(F18:AJ18,"T")*Configuración!$E$7+COUNTIF(F18:AJ18,"N")*Configuración!$E$8+COUNTIF(F18:AJ18,"F")*Configuración!$E$12</f>
        <v>152</v>
      </c>
      <c r="AP18" s="22">
        <f t="shared" si="5"/>
        <v>6</v>
      </c>
      <c r="AQ18" s="22">
        <f t="shared" si="6"/>
        <v>6</v>
      </c>
      <c r="AR18" s="22">
        <f t="shared" si="7"/>
        <v>7</v>
      </c>
      <c r="AS18" s="22">
        <f t="shared" si="8"/>
        <v>12</v>
      </c>
      <c r="AT18" s="22">
        <f t="shared" si="9"/>
        <v>0</v>
      </c>
      <c r="AU18" s="22">
        <f t="shared" si="10"/>
        <v>6</v>
      </c>
      <c r="AV18" s="74">
        <f t="shared" si="11"/>
        <v>0.33333333333333215</v>
      </c>
    </row>
    <row r="19" spans="1:48" ht="19.05" customHeight="1">
      <c r="A19" s="20" t="str">
        <f>Configuración!A25</f>
        <v>P-008</v>
      </c>
      <c r="B19" s="21" t="str">
        <f>Configuración!B25</f>
        <v>Hugo Reyes</v>
      </c>
      <c r="C19" s="22" t="str">
        <f>Configuración!C25</f>
        <v>Equipo C</v>
      </c>
      <c r="D19" s="21" t="str">
        <f>Configuración!D25</f>
        <v>Soporte técnico</v>
      </c>
      <c r="E19" s="23">
        <f>Configuración!E25</f>
        <v>8</v>
      </c>
      <c r="F19" s="24" t="str">
        <f>IF(F$9="","",INDEX(Configuración!$K$6:$K$15,MOD(F$9-$B$7+Configuración!$F25,10)+1))</f>
        <v>N</v>
      </c>
      <c r="G19" s="25" t="str">
        <f>IF(G$9="","",INDEX(Configuración!$K$6:$K$15,MOD(G$9-$B$7+Configuración!$F25,10)+1))</f>
        <v>N</v>
      </c>
      <c r="H19" s="25" t="str">
        <f>IF(H$9="","",INDEX(Configuración!$K$6:$K$15,MOD(H$9-$B$7+Configuración!$F25,10)+1))</f>
        <v>D</v>
      </c>
      <c r="I19" s="25" t="str">
        <f>IF(I$9="","",INDEX(Configuración!$K$6:$K$15,MOD(I$9-$B$7+Configuración!$F25,10)+1))</f>
        <v>D</v>
      </c>
      <c r="J19" s="25" t="str">
        <f>IF(J$9="","",INDEX(Configuración!$K$6:$K$15,MOD(J$9-$B$7+Configuración!$F25,10)+1))</f>
        <v>D</v>
      </c>
      <c r="K19" s="25" t="str">
        <f>IF(K$9="","",INDEX(Configuración!$K$6:$K$15,MOD(K$9-$B$7+Configuración!$F25,10)+1))</f>
        <v>D</v>
      </c>
      <c r="L19" s="25" t="str">
        <f>IF(L$9="","",INDEX(Configuración!$K$6:$K$15,MOD(L$9-$B$7+Configuración!$F25,10)+1))</f>
        <v>M</v>
      </c>
      <c r="M19" s="25" t="str">
        <f>IF(M$9="","",INDEX(Configuración!$K$6:$K$15,MOD(M$9-$B$7+Configuración!$F25,10)+1))</f>
        <v>M</v>
      </c>
      <c r="N19" s="25" t="str">
        <f>IF(N$9="","",INDEX(Configuración!$K$6:$K$15,MOD(N$9-$B$7+Configuración!$F25,10)+1))</f>
        <v>T</v>
      </c>
      <c r="O19" s="25" t="str">
        <f>IF(O$9="","",INDEX(Configuración!$K$6:$K$15,MOD(O$9-$B$7+Configuración!$F25,10)+1))</f>
        <v>T</v>
      </c>
      <c r="P19" s="25" t="str">
        <f>IF(P$9="","",INDEX(Configuración!$K$6:$K$15,MOD(P$9-$B$7+Configuración!$F25,10)+1))</f>
        <v>N</v>
      </c>
      <c r="Q19" s="25" t="str">
        <f>IF(Q$9="","",INDEX(Configuración!$K$6:$K$15,MOD(Q$9-$B$7+Configuración!$F25,10)+1))</f>
        <v>N</v>
      </c>
      <c r="R19" s="25" t="str">
        <f>IF(R$9="","",INDEX(Configuración!$K$6:$K$15,MOD(R$9-$B$7+Configuración!$F25,10)+1))</f>
        <v>D</v>
      </c>
      <c r="S19" s="25" t="str">
        <f>IF(S$9="","",INDEX(Configuración!$K$6:$K$15,MOD(S$9-$B$7+Configuración!$F25,10)+1))</f>
        <v>D</v>
      </c>
      <c r="T19" s="25" t="str">
        <f>IF(T$9="","",INDEX(Configuración!$K$6:$K$15,MOD(T$9-$B$7+Configuración!$F25,10)+1))</f>
        <v>D</v>
      </c>
      <c r="U19" s="25" t="str">
        <f>IF(U$9="","",INDEX(Configuración!$K$6:$K$15,MOD(U$9-$B$7+Configuración!$F25,10)+1))</f>
        <v>D</v>
      </c>
      <c r="V19" s="25" t="str">
        <f>IF(V$9="","",INDEX(Configuración!$K$6:$K$15,MOD(V$9-$B$7+Configuración!$F25,10)+1))</f>
        <v>M</v>
      </c>
      <c r="W19" s="25" t="str">
        <f>IF(W$9="","",INDEX(Configuración!$K$6:$K$15,MOD(W$9-$B$7+Configuración!$F25,10)+1))</f>
        <v>M</v>
      </c>
      <c r="X19" s="25" t="str">
        <f>IF(X$9="","",INDEX(Configuración!$K$6:$K$15,MOD(X$9-$B$7+Configuración!$F25,10)+1))</f>
        <v>T</v>
      </c>
      <c r="Y19" s="25" t="str">
        <f>IF(Y$9="","",INDEX(Configuración!$K$6:$K$15,MOD(Y$9-$B$7+Configuración!$F25,10)+1))</f>
        <v>T</v>
      </c>
      <c r="Z19" s="25" t="str">
        <f>IF(Z$9="","",INDEX(Configuración!$K$6:$K$15,MOD(Z$9-$B$7+Configuración!$F25,10)+1))</f>
        <v>N</v>
      </c>
      <c r="AA19" s="25" t="str">
        <f>IF(AA$9="","",INDEX(Configuración!$K$6:$K$15,MOD(AA$9-$B$7+Configuración!$F25,10)+1))</f>
        <v>N</v>
      </c>
      <c r="AB19" s="25" t="str">
        <f>IF(AB$9="","",INDEX(Configuración!$K$6:$K$15,MOD(AB$9-$B$7+Configuración!$F25,10)+1))</f>
        <v>D</v>
      </c>
      <c r="AC19" s="25" t="str">
        <f>IF(AC$9="","",INDEX(Configuración!$K$6:$K$15,MOD(AC$9-$B$7+Configuración!$F25,10)+1))</f>
        <v>D</v>
      </c>
      <c r="AD19" s="25" t="str">
        <f>IF(AD$9="","",INDEX(Configuración!$K$6:$K$15,MOD(AD$9-$B$7+Configuración!$F25,10)+1))</f>
        <v>D</v>
      </c>
      <c r="AE19" s="25" t="str">
        <f>IF(AE$9="","",INDEX(Configuración!$K$6:$K$15,MOD(AE$9-$B$7+Configuración!$F25,10)+1))</f>
        <v>D</v>
      </c>
      <c r="AF19" s="25" t="str">
        <f>IF(AF$9="","",INDEX(Configuración!$K$6:$K$15,MOD(AF$9-$B$7+Configuración!$F25,10)+1))</f>
        <v>M</v>
      </c>
      <c r="AG19" s="25" t="str">
        <f>IF(AG$9="","",INDEX(Configuración!$K$6:$K$15,MOD(AG$9-$B$7+Configuración!$F25,10)+1))</f>
        <v>M</v>
      </c>
      <c r="AH19" s="25" t="str">
        <f>IF(AH$9="","",INDEX(Configuración!$K$6:$K$15,MOD(AH$9-$B$7+Configuración!$F25,10)+1))</f>
        <v>T</v>
      </c>
      <c r="AI19" s="25" t="str">
        <f>IF(AI$9="","",INDEX(Configuración!$K$6:$K$15,MOD(AI$9-$B$7+Configuración!$F25,10)+1))</f>
        <v>T</v>
      </c>
      <c r="AJ19" s="26" t="str">
        <f>IF(AJ$9="","",INDEX(Configuración!$K$6:$K$15,MOD(AJ$9-$B$7+Configuración!$F25,10)+1))</f>
        <v>N</v>
      </c>
      <c r="AK19" s="48"/>
      <c r="AL19" s="20" t="str">
        <f t="shared" si="2"/>
        <v>P-008</v>
      </c>
      <c r="AM19" s="21" t="str">
        <f t="shared" si="3"/>
        <v>Hugo Reyes</v>
      </c>
      <c r="AN19" s="73">
        <f t="shared" si="4"/>
        <v>19</v>
      </c>
      <c r="AO19" s="22">
        <f>COUNTIF(F19:AJ19,"M")*Configuración!$E$6+COUNTIF(F19:AJ19,"T")*Configuración!$E$7+COUNTIF(F19:AJ19,"N")*Configuración!$E$8+COUNTIF(F19:AJ19,"F")*Configuración!$E$12</f>
        <v>152</v>
      </c>
      <c r="AP19" s="22">
        <f t="shared" si="5"/>
        <v>6</v>
      </c>
      <c r="AQ19" s="22">
        <f t="shared" si="6"/>
        <v>6</v>
      </c>
      <c r="AR19" s="22">
        <f t="shared" si="7"/>
        <v>7</v>
      </c>
      <c r="AS19" s="22">
        <f t="shared" si="8"/>
        <v>12</v>
      </c>
      <c r="AT19" s="22">
        <f t="shared" si="9"/>
        <v>0</v>
      </c>
      <c r="AU19" s="22">
        <f t="shared" si="10"/>
        <v>6</v>
      </c>
      <c r="AV19" s="74">
        <f t="shared" si="11"/>
        <v>0.33333333333333215</v>
      </c>
    </row>
    <row r="20" spans="1:48" ht="19.05" customHeight="1">
      <c r="A20" s="20" t="str">
        <f>Configuración!A26</f>
        <v>P-009</v>
      </c>
      <c r="B20" s="21" t="str">
        <f>Configuración!B26</f>
        <v>Irene Lozano</v>
      </c>
      <c r="C20" s="22" t="str">
        <f>Configuración!C26</f>
        <v>Equipo D</v>
      </c>
      <c r="D20" s="21" t="str">
        <f>Configuración!D26</f>
        <v>Operaciones</v>
      </c>
      <c r="E20" s="23">
        <f>Configuración!E26</f>
        <v>8</v>
      </c>
      <c r="F20" s="24" t="str">
        <f>IF(F$9="","",INDEX(Configuración!$K$6:$K$15,MOD(F$9-$B$7+Configuración!$F26,10)+1))</f>
        <v>D</v>
      </c>
      <c r="G20" s="25" t="str">
        <f>IF(G$9="","",INDEX(Configuración!$K$6:$K$15,MOD(G$9-$B$7+Configuración!$F26,10)+1))</f>
        <v>D</v>
      </c>
      <c r="H20" s="25" t="str">
        <f>IF(H$9="","",INDEX(Configuración!$K$6:$K$15,MOD(H$9-$B$7+Configuración!$F26,10)+1))</f>
        <v>D</v>
      </c>
      <c r="I20" s="25" t="str">
        <f>IF(I$9="","",INDEX(Configuración!$K$6:$K$15,MOD(I$9-$B$7+Configuración!$F26,10)+1))</f>
        <v>D</v>
      </c>
      <c r="J20" s="25" t="str">
        <f>IF(J$9="","",INDEX(Configuración!$K$6:$K$15,MOD(J$9-$B$7+Configuración!$F26,10)+1))</f>
        <v>M</v>
      </c>
      <c r="K20" s="25" t="str">
        <f>IF(K$9="","",INDEX(Configuración!$K$6:$K$15,MOD(K$9-$B$7+Configuración!$F26,10)+1))</f>
        <v>M</v>
      </c>
      <c r="L20" s="25" t="str">
        <f>IF(L$9="","",INDEX(Configuración!$K$6:$K$15,MOD(L$9-$B$7+Configuración!$F26,10)+1))</f>
        <v>T</v>
      </c>
      <c r="M20" s="25" t="str">
        <f>IF(M$9="","",INDEX(Configuración!$K$6:$K$15,MOD(M$9-$B$7+Configuración!$F26,10)+1))</f>
        <v>T</v>
      </c>
      <c r="N20" s="25" t="str">
        <f>IF(N$9="","",INDEX(Configuración!$K$6:$K$15,MOD(N$9-$B$7+Configuración!$F26,10)+1))</f>
        <v>N</v>
      </c>
      <c r="O20" s="25" t="str">
        <f>IF(O$9="","",INDEX(Configuración!$K$6:$K$15,MOD(O$9-$B$7+Configuración!$F26,10)+1))</f>
        <v>N</v>
      </c>
      <c r="P20" s="25" t="str">
        <f>IF(P$9="","",INDEX(Configuración!$K$6:$K$15,MOD(P$9-$B$7+Configuración!$F26,10)+1))</f>
        <v>D</v>
      </c>
      <c r="Q20" s="25" t="str">
        <f>IF(Q$9="","",INDEX(Configuración!$K$6:$K$15,MOD(Q$9-$B$7+Configuración!$F26,10)+1))</f>
        <v>D</v>
      </c>
      <c r="R20" s="25" t="str">
        <f>IF(R$9="","",INDEX(Configuración!$K$6:$K$15,MOD(R$9-$B$7+Configuración!$F26,10)+1))</f>
        <v>D</v>
      </c>
      <c r="S20" s="25" t="str">
        <f>IF(S$9="","",INDEX(Configuración!$K$6:$K$15,MOD(S$9-$B$7+Configuración!$F26,10)+1))</f>
        <v>D</v>
      </c>
      <c r="T20" s="25" t="str">
        <f>IF(T$9="","",INDEX(Configuración!$K$6:$K$15,MOD(T$9-$B$7+Configuración!$F26,10)+1))</f>
        <v>M</v>
      </c>
      <c r="U20" s="25" t="str">
        <f>IF(U$9="","",INDEX(Configuración!$K$6:$K$15,MOD(U$9-$B$7+Configuración!$F26,10)+1))</f>
        <v>M</v>
      </c>
      <c r="V20" s="25" t="str">
        <f>IF(V$9="","",INDEX(Configuración!$K$6:$K$15,MOD(V$9-$B$7+Configuración!$F26,10)+1))</f>
        <v>T</v>
      </c>
      <c r="W20" s="25" t="str">
        <f>IF(W$9="","",INDEX(Configuración!$K$6:$K$15,MOD(W$9-$B$7+Configuración!$F26,10)+1))</f>
        <v>T</v>
      </c>
      <c r="X20" s="25" t="str">
        <f>IF(X$9="","",INDEX(Configuración!$K$6:$K$15,MOD(X$9-$B$7+Configuración!$F26,10)+1))</f>
        <v>N</v>
      </c>
      <c r="Y20" s="25" t="str">
        <f>IF(Y$9="","",INDEX(Configuración!$K$6:$K$15,MOD(Y$9-$B$7+Configuración!$F26,10)+1))</f>
        <v>N</v>
      </c>
      <c r="Z20" s="25" t="str">
        <f>IF(Z$9="","",INDEX(Configuración!$K$6:$K$15,MOD(Z$9-$B$7+Configuración!$F26,10)+1))</f>
        <v>D</v>
      </c>
      <c r="AA20" s="25" t="str">
        <f>IF(AA$9="","",INDEX(Configuración!$K$6:$K$15,MOD(AA$9-$B$7+Configuración!$F26,10)+1))</f>
        <v>D</v>
      </c>
      <c r="AB20" s="25" t="str">
        <f>IF(AB$9="","",INDEX(Configuración!$K$6:$K$15,MOD(AB$9-$B$7+Configuración!$F26,10)+1))</f>
        <v>D</v>
      </c>
      <c r="AC20" s="25" t="str">
        <f>IF(AC$9="","",INDEX(Configuración!$K$6:$K$15,MOD(AC$9-$B$7+Configuración!$F26,10)+1))</f>
        <v>D</v>
      </c>
      <c r="AD20" s="25" t="str">
        <f>IF(AD$9="","",INDEX(Configuración!$K$6:$K$15,MOD(AD$9-$B$7+Configuración!$F26,10)+1))</f>
        <v>M</v>
      </c>
      <c r="AE20" s="25" t="str">
        <f>IF(AE$9="","",INDEX(Configuración!$K$6:$K$15,MOD(AE$9-$B$7+Configuración!$F26,10)+1))</f>
        <v>M</v>
      </c>
      <c r="AF20" s="25" t="str">
        <f>IF(AF$9="","",INDEX(Configuración!$K$6:$K$15,MOD(AF$9-$B$7+Configuración!$F26,10)+1))</f>
        <v>T</v>
      </c>
      <c r="AG20" s="25" t="str">
        <f>IF(AG$9="","",INDEX(Configuración!$K$6:$K$15,MOD(AG$9-$B$7+Configuración!$F26,10)+1))</f>
        <v>T</v>
      </c>
      <c r="AH20" s="25" t="str">
        <f>IF(AH$9="","",INDEX(Configuración!$K$6:$K$15,MOD(AH$9-$B$7+Configuración!$F26,10)+1))</f>
        <v>N</v>
      </c>
      <c r="AI20" s="25" t="str">
        <f>IF(AI$9="","",INDEX(Configuración!$K$6:$K$15,MOD(AI$9-$B$7+Configuración!$F26,10)+1))</f>
        <v>N</v>
      </c>
      <c r="AJ20" s="26" t="str">
        <f>IF(AJ$9="","",INDEX(Configuración!$K$6:$K$15,MOD(AJ$9-$B$7+Configuración!$F26,10)+1))</f>
        <v>D</v>
      </c>
      <c r="AK20" s="48"/>
      <c r="AL20" s="20" t="str">
        <f t="shared" si="2"/>
        <v>P-009</v>
      </c>
      <c r="AM20" s="21" t="str">
        <f t="shared" si="3"/>
        <v>Irene Lozano</v>
      </c>
      <c r="AN20" s="73">
        <f t="shared" si="4"/>
        <v>18</v>
      </c>
      <c r="AO20" s="22">
        <f>COUNTIF(F20:AJ20,"M")*Configuración!$E$6+COUNTIF(F20:AJ20,"T")*Configuración!$E$7+COUNTIF(F20:AJ20,"N")*Configuración!$E$8+COUNTIF(F20:AJ20,"F")*Configuración!$E$12</f>
        <v>144</v>
      </c>
      <c r="AP20" s="22">
        <f t="shared" si="5"/>
        <v>6</v>
      </c>
      <c r="AQ20" s="22">
        <f t="shared" si="6"/>
        <v>6</v>
      </c>
      <c r="AR20" s="22">
        <f t="shared" si="7"/>
        <v>6</v>
      </c>
      <c r="AS20" s="22">
        <f t="shared" si="8"/>
        <v>13</v>
      </c>
      <c r="AT20" s="22">
        <f t="shared" si="9"/>
        <v>0</v>
      </c>
      <c r="AU20" s="22">
        <f t="shared" si="10"/>
        <v>5</v>
      </c>
      <c r="AV20" s="74">
        <f t="shared" si="11"/>
        <v>-0.66666666666666785</v>
      </c>
    </row>
    <row r="21" spans="1:48" ht="19.05" customHeight="1">
      <c r="A21" s="20" t="str">
        <f>Configuración!A27</f>
        <v>P-010</v>
      </c>
      <c r="B21" s="21" t="str">
        <f>Configuración!B27</f>
        <v>Jorge Medina</v>
      </c>
      <c r="C21" s="22" t="str">
        <f>Configuración!C27</f>
        <v>Equipo D</v>
      </c>
      <c r="D21" s="21" t="str">
        <f>Configuración!D27</f>
        <v>Supervisión</v>
      </c>
      <c r="E21" s="23">
        <f>Configuración!E27</f>
        <v>8</v>
      </c>
      <c r="F21" s="24" t="str">
        <f>IF(F$9="","",INDEX(Configuración!$K$6:$K$15,MOD(F$9-$B$7+Configuración!$F27,10)+1))</f>
        <v>D</v>
      </c>
      <c r="G21" s="25" t="str">
        <f>IF(G$9="","",INDEX(Configuración!$K$6:$K$15,MOD(G$9-$B$7+Configuración!$F27,10)+1))</f>
        <v>D</v>
      </c>
      <c r="H21" s="25" t="str">
        <f>IF(H$9="","",INDEX(Configuración!$K$6:$K$15,MOD(H$9-$B$7+Configuración!$F27,10)+1))</f>
        <v>D</v>
      </c>
      <c r="I21" s="25" t="str">
        <f>IF(I$9="","",INDEX(Configuración!$K$6:$K$15,MOD(I$9-$B$7+Configuración!$F27,10)+1))</f>
        <v>D</v>
      </c>
      <c r="J21" s="25" t="str">
        <f>IF(J$9="","",INDEX(Configuración!$K$6:$K$15,MOD(J$9-$B$7+Configuración!$F27,10)+1))</f>
        <v>M</v>
      </c>
      <c r="K21" s="25" t="str">
        <f>IF(K$9="","",INDEX(Configuración!$K$6:$K$15,MOD(K$9-$B$7+Configuración!$F27,10)+1))</f>
        <v>M</v>
      </c>
      <c r="L21" s="25" t="str">
        <f>IF(L$9="","",INDEX(Configuración!$K$6:$K$15,MOD(L$9-$B$7+Configuración!$F27,10)+1))</f>
        <v>T</v>
      </c>
      <c r="M21" s="25" t="str">
        <f>IF(M$9="","",INDEX(Configuración!$K$6:$K$15,MOD(M$9-$B$7+Configuración!$F27,10)+1))</f>
        <v>T</v>
      </c>
      <c r="N21" s="25" t="str">
        <f>IF(N$9="","",INDEX(Configuración!$K$6:$K$15,MOD(N$9-$B$7+Configuración!$F27,10)+1))</f>
        <v>N</v>
      </c>
      <c r="O21" s="25" t="str">
        <f>IF(O$9="","",INDEX(Configuración!$K$6:$K$15,MOD(O$9-$B$7+Configuración!$F27,10)+1))</f>
        <v>N</v>
      </c>
      <c r="P21" s="25" t="str">
        <f>IF(P$9="","",INDEX(Configuración!$K$6:$K$15,MOD(P$9-$B$7+Configuración!$F27,10)+1))</f>
        <v>D</v>
      </c>
      <c r="Q21" s="25" t="str">
        <f>IF(Q$9="","",INDEX(Configuración!$K$6:$K$15,MOD(Q$9-$B$7+Configuración!$F27,10)+1))</f>
        <v>D</v>
      </c>
      <c r="R21" s="25" t="str">
        <f>IF(R$9="","",INDEX(Configuración!$K$6:$K$15,MOD(R$9-$B$7+Configuración!$F27,10)+1))</f>
        <v>D</v>
      </c>
      <c r="S21" s="25" t="str">
        <f>IF(S$9="","",INDEX(Configuración!$K$6:$K$15,MOD(S$9-$B$7+Configuración!$F27,10)+1))</f>
        <v>D</v>
      </c>
      <c r="T21" s="25" t="str">
        <f>IF(T$9="","",INDEX(Configuración!$K$6:$K$15,MOD(T$9-$B$7+Configuración!$F27,10)+1))</f>
        <v>M</v>
      </c>
      <c r="U21" s="25" t="str">
        <f>IF(U$9="","",INDEX(Configuración!$K$6:$K$15,MOD(U$9-$B$7+Configuración!$F27,10)+1))</f>
        <v>M</v>
      </c>
      <c r="V21" s="25" t="str">
        <f>IF(V$9="","",INDEX(Configuración!$K$6:$K$15,MOD(V$9-$B$7+Configuración!$F27,10)+1))</f>
        <v>T</v>
      </c>
      <c r="W21" s="25" t="str">
        <f>IF(W$9="","",INDEX(Configuración!$K$6:$K$15,MOD(W$9-$B$7+Configuración!$F27,10)+1))</f>
        <v>T</v>
      </c>
      <c r="X21" s="25" t="str">
        <f>IF(X$9="","",INDEX(Configuración!$K$6:$K$15,MOD(X$9-$B$7+Configuración!$F27,10)+1))</f>
        <v>N</v>
      </c>
      <c r="Y21" s="25" t="str">
        <f>IF(Y$9="","",INDEX(Configuración!$K$6:$K$15,MOD(Y$9-$B$7+Configuración!$F27,10)+1))</f>
        <v>N</v>
      </c>
      <c r="Z21" s="25" t="str">
        <f>IF(Z$9="","",INDEX(Configuración!$K$6:$K$15,MOD(Z$9-$B$7+Configuración!$F27,10)+1))</f>
        <v>D</v>
      </c>
      <c r="AA21" s="25" t="str">
        <f>IF(AA$9="","",INDEX(Configuración!$K$6:$K$15,MOD(AA$9-$B$7+Configuración!$F27,10)+1))</f>
        <v>D</v>
      </c>
      <c r="AB21" s="25" t="str">
        <f>IF(AB$9="","",INDEX(Configuración!$K$6:$K$15,MOD(AB$9-$B$7+Configuración!$F27,10)+1))</f>
        <v>D</v>
      </c>
      <c r="AC21" s="25" t="str">
        <f>IF(AC$9="","",INDEX(Configuración!$K$6:$K$15,MOD(AC$9-$B$7+Configuración!$F27,10)+1))</f>
        <v>D</v>
      </c>
      <c r="AD21" s="25" t="str">
        <f>IF(AD$9="","",INDEX(Configuración!$K$6:$K$15,MOD(AD$9-$B$7+Configuración!$F27,10)+1))</f>
        <v>M</v>
      </c>
      <c r="AE21" s="25" t="str">
        <f>IF(AE$9="","",INDEX(Configuración!$K$6:$K$15,MOD(AE$9-$B$7+Configuración!$F27,10)+1))</f>
        <v>M</v>
      </c>
      <c r="AF21" s="25" t="str">
        <f>IF(AF$9="","",INDEX(Configuración!$K$6:$K$15,MOD(AF$9-$B$7+Configuración!$F27,10)+1))</f>
        <v>T</v>
      </c>
      <c r="AG21" s="25" t="str">
        <f>IF(AG$9="","",INDEX(Configuración!$K$6:$K$15,MOD(AG$9-$B$7+Configuración!$F27,10)+1))</f>
        <v>T</v>
      </c>
      <c r="AH21" s="25" t="str">
        <f>IF(AH$9="","",INDEX(Configuración!$K$6:$K$15,MOD(AH$9-$B$7+Configuración!$F27,10)+1))</f>
        <v>N</v>
      </c>
      <c r="AI21" s="25" t="str">
        <f>IF(AI$9="","",INDEX(Configuración!$K$6:$K$15,MOD(AI$9-$B$7+Configuración!$F27,10)+1))</f>
        <v>N</v>
      </c>
      <c r="AJ21" s="26" t="str">
        <f>IF(AJ$9="","",INDEX(Configuración!$K$6:$K$15,MOD(AJ$9-$B$7+Configuración!$F27,10)+1))</f>
        <v>D</v>
      </c>
      <c r="AK21" s="48"/>
      <c r="AL21" s="20" t="str">
        <f t="shared" si="2"/>
        <v>P-010</v>
      </c>
      <c r="AM21" s="21" t="str">
        <f t="shared" si="3"/>
        <v>Jorge Medina</v>
      </c>
      <c r="AN21" s="73">
        <f t="shared" si="4"/>
        <v>18</v>
      </c>
      <c r="AO21" s="22">
        <f>COUNTIF(F21:AJ21,"M")*Configuración!$E$6+COUNTIF(F21:AJ21,"T")*Configuración!$E$7+COUNTIF(F21:AJ21,"N")*Configuración!$E$8+COUNTIF(F21:AJ21,"F")*Configuración!$E$12</f>
        <v>144</v>
      </c>
      <c r="AP21" s="22">
        <f t="shared" si="5"/>
        <v>6</v>
      </c>
      <c r="AQ21" s="22">
        <f t="shared" si="6"/>
        <v>6</v>
      </c>
      <c r="AR21" s="22">
        <f t="shared" si="7"/>
        <v>6</v>
      </c>
      <c r="AS21" s="22">
        <f t="shared" si="8"/>
        <v>13</v>
      </c>
      <c r="AT21" s="22">
        <f t="shared" si="9"/>
        <v>0</v>
      </c>
      <c r="AU21" s="22">
        <f t="shared" si="10"/>
        <v>5</v>
      </c>
      <c r="AV21" s="74">
        <f t="shared" si="11"/>
        <v>-0.66666666666666785</v>
      </c>
    </row>
    <row r="22" spans="1:48" ht="19.05" customHeight="1">
      <c r="A22" s="20" t="str">
        <f>Configuración!A28</f>
        <v>P-011</v>
      </c>
      <c r="B22" s="21" t="str">
        <f>Configuración!B28</f>
        <v>Lucía Santos</v>
      </c>
      <c r="C22" s="22" t="str">
        <f>Configuración!C28</f>
        <v>Equipo E</v>
      </c>
      <c r="D22" s="21" t="str">
        <f>Configuración!D28</f>
        <v>Operaciones</v>
      </c>
      <c r="E22" s="23">
        <f>Configuración!E28</f>
        <v>8</v>
      </c>
      <c r="F22" s="24" t="str">
        <f>IF(F$9="","",INDEX(Configuración!$K$6:$K$15,MOD(F$9-$B$7+Configuración!$F28,10)+1))</f>
        <v>D</v>
      </c>
      <c r="G22" s="25" t="str">
        <f>IF(G$9="","",INDEX(Configuración!$K$6:$K$15,MOD(G$9-$B$7+Configuración!$F28,10)+1))</f>
        <v>D</v>
      </c>
      <c r="H22" s="25" t="str">
        <f>IF(H$9="","",INDEX(Configuración!$K$6:$K$15,MOD(H$9-$B$7+Configuración!$F28,10)+1))</f>
        <v>M</v>
      </c>
      <c r="I22" s="25" t="str">
        <f>IF(I$9="","",INDEX(Configuración!$K$6:$K$15,MOD(I$9-$B$7+Configuración!$F28,10)+1))</f>
        <v>M</v>
      </c>
      <c r="J22" s="25" t="str">
        <f>IF(J$9="","",INDEX(Configuración!$K$6:$K$15,MOD(J$9-$B$7+Configuración!$F28,10)+1))</f>
        <v>T</v>
      </c>
      <c r="K22" s="25" t="str">
        <f>IF(K$9="","",INDEX(Configuración!$K$6:$K$15,MOD(K$9-$B$7+Configuración!$F28,10)+1))</f>
        <v>T</v>
      </c>
      <c r="L22" s="25" t="str">
        <f>IF(L$9="","",INDEX(Configuración!$K$6:$K$15,MOD(L$9-$B$7+Configuración!$F28,10)+1))</f>
        <v>N</v>
      </c>
      <c r="M22" s="25" t="str">
        <f>IF(M$9="","",INDEX(Configuración!$K$6:$K$15,MOD(M$9-$B$7+Configuración!$F28,10)+1))</f>
        <v>N</v>
      </c>
      <c r="N22" s="25" t="str">
        <f>IF(N$9="","",INDEX(Configuración!$K$6:$K$15,MOD(N$9-$B$7+Configuración!$F28,10)+1))</f>
        <v>D</v>
      </c>
      <c r="O22" s="25" t="str">
        <f>IF(O$9="","",INDEX(Configuración!$K$6:$K$15,MOD(O$9-$B$7+Configuración!$F28,10)+1))</f>
        <v>D</v>
      </c>
      <c r="P22" s="25" t="str">
        <f>IF(P$9="","",INDEX(Configuración!$K$6:$K$15,MOD(P$9-$B$7+Configuración!$F28,10)+1))</f>
        <v>D</v>
      </c>
      <c r="Q22" s="25" t="str">
        <f>IF(Q$9="","",INDEX(Configuración!$K$6:$K$15,MOD(Q$9-$B$7+Configuración!$F28,10)+1))</f>
        <v>D</v>
      </c>
      <c r="R22" s="25" t="str">
        <f>IF(R$9="","",INDEX(Configuración!$K$6:$K$15,MOD(R$9-$B$7+Configuración!$F28,10)+1))</f>
        <v>M</v>
      </c>
      <c r="S22" s="25" t="str">
        <f>IF(S$9="","",INDEX(Configuración!$K$6:$K$15,MOD(S$9-$B$7+Configuración!$F28,10)+1))</f>
        <v>M</v>
      </c>
      <c r="T22" s="25" t="str">
        <f>IF(T$9="","",INDEX(Configuración!$K$6:$K$15,MOD(T$9-$B$7+Configuración!$F28,10)+1))</f>
        <v>T</v>
      </c>
      <c r="U22" s="25" t="str">
        <f>IF(U$9="","",INDEX(Configuración!$K$6:$K$15,MOD(U$9-$B$7+Configuración!$F28,10)+1))</f>
        <v>T</v>
      </c>
      <c r="V22" s="25" t="str">
        <f>IF(V$9="","",INDEX(Configuración!$K$6:$K$15,MOD(V$9-$B$7+Configuración!$F28,10)+1))</f>
        <v>N</v>
      </c>
      <c r="W22" s="25" t="str">
        <f>IF(W$9="","",INDEX(Configuración!$K$6:$K$15,MOD(W$9-$B$7+Configuración!$F28,10)+1))</f>
        <v>N</v>
      </c>
      <c r="X22" s="25" t="str">
        <f>IF(X$9="","",INDEX(Configuración!$K$6:$K$15,MOD(X$9-$B$7+Configuración!$F28,10)+1))</f>
        <v>D</v>
      </c>
      <c r="Y22" s="25" t="str">
        <f>IF(Y$9="","",INDEX(Configuración!$K$6:$K$15,MOD(Y$9-$B$7+Configuración!$F28,10)+1))</f>
        <v>D</v>
      </c>
      <c r="Z22" s="25" t="str">
        <f>IF(Z$9="","",INDEX(Configuración!$K$6:$K$15,MOD(Z$9-$B$7+Configuración!$F28,10)+1))</f>
        <v>D</v>
      </c>
      <c r="AA22" s="25" t="str">
        <f>IF(AA$9="","",INDEX(Configuración!$K$6:$K$15,MOD(AA$9-$B$7+Configuración!$F28,10)+1))</f>
        <v>D</v>
      </c>
      <c r="AB22" s="25" t="str">
        <f>IF(AB$9="","",INDEX(Configuración!$K$6:$K$15,MOD(AB$9-$B$7+Configuración!$F28,10)+1))</f>
        <v>M</v>
      </c>
      <c r="AC22" s="25" t="str">
        <f>IF(AC$9="","",INDEX(Configuración!$K$6:$K$15,MOD(AC$9-$B$7+Configuración!$F28,10)+1))</f>
        <v>M</v>
      </c>
      <c r="AD22" s="25" t="str">
        <f>IF(AD$9="","",INDEX(Configuración!$K$6:$K$15,MOD(AD$9-$B$7+Configuración!$F28,10)+1))</f>
        <v>T</v>
      </c>
      <c r="AE22" s="25" t="str">
        <f>IF(AE$9="","",INDEX(Configuración!$K$6:$K$15,MOD(AE$9-$B$7+Configuración!$F28,10)+1))</f>
        <v>T</v>
      </c>
      <c r="AF22" s="25" t="str">
        <f>IF(AF$9="","",INDEX(Configuración!$K$6:$K$15,MOD(AF$9-$B$7+Configuración!$F28,10)+1))</f>
        <v>N</v>
      </c>
      <c r="AG22" s="25" t="str">
        <f>IF(AG$9="","",INDEX(Configuración!$K$6:$K$15,MOD(AG$9-$B$7+Configuración!$F28,10)+1))</f>
        <v>N</v>
      </c>
      <c r="AH22" s="25" t="str">
        <f>IF(AH$9="","",INDEX(Configuración!$K$6:$K$15,MOD(AH$9-$B$7+Configuración!$F28,10)+1))</f>
        <v>D</v>
      </c>
      <c r="AI22" s="25" t="str">
        <f>IF(AI$9="","",INDEX(Configuración!$K$6:$K$15,MOD(AI$9-$B$7+Configuración!$F28,10)+1))</f>
        <v>D</v>
      </c>
      <c r="AJ22" s="26" t="str">
        <f>IF(AJ$9="","",INDEX(Configuración!$K$6:$K$15,MOD(AJ$9-$B$7+Configuración!$F28,10)+1))</f>
        <v>D</v>
      </c>
      <c r="AK22" s="48"/>
      <c r="AL22" s="20" t="str">
        <f t="shared" si="2"/>
        <v>P-011</v>
      </c>
      <c r="AM22" s="21" t="str">
        <f t="shared" si="3"/>
        <v>Lucía Santos</v>
      </c>
      <c r="AN22" s="73">
        <f t="shared" si="4"/>
        <v>18</v>
      </c>
      <c r="AO22" s="22">
        <f>COUNTIF(F22:AJ22,"M")*Configuración!$E$6+COUNTIF(F22:AJ22,"T")*Configuración!$E$7+COUNTIF(F22:AJ22,"N")*Configuración!$E$8+COUNTIF(F22:AJ22,"F")*Configuración!$E$12</f>
        <v>144</v>
      </c>
      <c r="AP22" s="22">
        <f t="shared" si="5"/>
        <v>6</v>
      </c>
      <c r="AQ22" s="22">
        <f t="shared" si="6"/>
        <v>6</v>
      </c>
      <c r="AR22" s="22">
        <f t="shared" si="7"/>
        <v>6</v>
      </c>
      <c r="AS22" s="22">
        <f t="shared" si="8"/>
        <v>13</v>
      </c>
      <c r="AT22" s="22">
        <f t="shared" si="9"/>
        <v>0</v>
      </c>
      <c r="AU22" s="22">
        <f t="shared" si="10"/>
        <v>5</v>
      </c>
      <c r="AV22" s="74">
        <f t="shared" si="11"/>
        <v>-0.66666666666666785</v>
      </c>
    </row>
    <row r="23" spans="1:48" ht="19.05" customHeight="1">
      <c r="A23" s="29" t="str">
        <f>Configuración!A29</f>
        <v>P-012</v>
      </c>
      <c r="B23" s="30" t="str">
        <f>Configuración!B29</f>
        <v>Marcos León</v>
      </c>
      <c r="C23" s="31" t="str">
        <f>Configuración!C29</f>
        <v>Equipo E</v>
      </c>
      <c r="D23" s="30" t="str">
        <f>Configuración!D29</f>
        <v>Soporte técnico</v>
      </c>
      <c r="E23" s="32">
        <f>Configuración!E29</f>
        <v>8</v>
      </c>
      <c r="F23" s="33" t="str">
        <f>IF(F$9="","",INDEX(Configuración!$K$6:$K$15,MOD(F$9-$B$7+Configuración!$F29,10)+1))</f>
        <v>D</v>
      </c>
      <c r="G23" s="34" t="str">
        <f>IF(G$9="","",INDEX(Configuración!$K$6:$K$15,MOD(G$9-$B$7+Configuración!$F29,10)+1))</f>
        <v>D</v>
      </c>
      <c r="H23" s="34" t="str">
        <f>IF(H$9="","",INDEX(Configuración!$K$6:$K$15,MOD(H$9-$B$7+Configuración!$F29,10)+1))</f>
        <v>M</v>
      </c>
      <c r="I23" s="34" t="str">
        <f>IF(I$9="","",INDEX(Configuración!$K$6:$K$15,MOD(I$9-$B$7+Configuración!$F29,10)+1))</f>
        <v>M</v>
      </c>
      <c r="J23" s="34" t="str">
        <f>IF(J$9="","",INDEX(Configuración!$K$6:$K$15,MOD(J$9-$B$7+Configuración!$F29,10)+1))</f>
        <v>T</v>
      </c>
      <c r="K23" s="34" t="str">
        <f>IF(K$9="","",INDEX(Configuración!$K$6:$K$15,MOD(K$9-$B$7+Configuración!$F29,10)+1))</f>
        <v>T</v>
      </c>
      <c r="L23" s="34" t="str">
        <f>IF(L$9="","",INDEX(Configuración!$K$6:$K$15,MOD(L$9-$B$7+Configuración!$F29,10)+1))</f>
        <v>N</v>
      </c>
      <c r="M23" s="34" t="str">
        <f>IF(M$9="","",INDEX(Configuración!$K$6:$K$15,MOD(M$9-$B$7+Configuración!$F29,10)+1))</f>
        <v>N</v>
      </c>
      <c r="N23" s="34" t="str">
        <f>IF(N$9="","",INDEX(Configuración!$K$6:$K$15,MOD(N$9-$B$7+Configuración!$F29,10)+1))</f>
        <v>D</v>
      </c>
      <c r="O23" s="34" t="str">
        <f>IF(O$9="","",INDEX(Configuración!$K$6:$K$15,MOD(O$9-$B$7+Configuración!$F29,10)+1))</f>
        <v>D</v>
      </c>
      <c r="P23" s="34" t="str">
        <f>IF(P$9="","",INDEX(Configuración!$K$6:$K$15,MOD(P$9-$B$7+Configuración!$F29,10)+1))</f>
        <v>D</v>
      </c>
      <c r="Q23" s="34" t="str">
        <f>IF(Q$9="","",INDEX(Configuración!$K$6:$K$15,MOD(Q$9-$B$7+Configuración!$F29,10)+1))</f>
        <v>D</v>
      </c>
      <c r="R23" s="34" t="str">
        <f>IF(R$9="","",INDEX(Configuración!$K$6:$K$15,MOD(R$9-$B$7+Configuración!$F29,10)+1))</f>
        <v>M</v>
      </c>
      <c r="S23" s="34" t="str">
        <f>IF(S$9="","",INDEX(Configuración!$K$6:$K$15,MOD(S$9-$B$7+Configuración!$F29,10)+1))</f>
        <v>M</v>
      </c>
      <c r="T23" s="34" t="str">
        <f>IF(T$9="","",INDEX(Configuración!$K$6:$K$15,MOD(T$9-$B$7+Configuración!$F29,10)+1))</f>
        <v>T</v>
      </c>
      <c r="U23" s="34" t="str">
        <f>IF(U$9="","",INDEX(Configuración!$K$6:$K$15,MOD(U$9-$B$7+Configuración!$F29,10)+1))</f>
        <v>T</v>
      </c>
      <c r="V23" s="34" t="str">
        <f>IF(V$9="","",INDEX(Configuración!$K$6:$K$15,MOD(V$9-$B$7+Configuración!$F29,10)+1))</f>
        <v>N</v>
      </c>
      <c r="W23" s="34" t="str">
        <f>IF(W$9="","",INDEX(Configuración!$K$6:$K$15,MOD(W$9-$B$7+Configuración!$F29,10)+1))</f>
        <v>N</v>
      </c>
      <c r="X23" s="34" t="str">
        <f>IF(X$9="","",INDEX(Configuración!$K$6:$K$15,MOD(X$9-$B$7+Configuración!$F29,10)+1))</f>
        <v>D</v>
      </c>
      <c r="Y23" s="34" t="str">
        <f>IF(Y$9="","",INDEX(Configuración!$K$6:$K$15,MOD(Y$9-$B$7+Configuración!$F29,10)+1))</f>
        <v>D</v>
      </c>
      <c r="Z23" s="34" t="str">
        <f>IF(Z$9="","",INDEX(Configuración!$K$6:$K$15,MOD(Z$9-$B$7+Configuración!$F29,10)+1))</f>
        <v>D</v>
      </c>
      <c r="AA23" s="34" t="str">
        <f>IF(AA$9="","",INDEX(Configuración!$K$6:$K$15,MOD(AA$9-$B$7+Configuración!$F29,10)+1))</f>
        <v>D</v>
      </c>
      <c r="AB23" s="34" t="str">
        <f>IF(AB$9="","",INDEX(Configuración!$K$6:$K$15,MOD(AB$9-$B$7+Configuración!$F29,10)+1))</f>
        <v>M</v>
      </c>
      <c r="AC23" s="34" t="str">
        <f>IF(AC$9="","",INDEX(Configuración!$K$6:$K$15,MOD(AC$9-$B$7+Configuración!$F29,10)+1))</f>
        <v>M</v>
      </c>
      <c r="AD23" s="34" t="str">
        <f>IF(AD$9="","",INDEX(Configuración!$K$6:$K$15,MOD(AD$9-$B$7+Configuración!$F29,10)+1))</f>
        <v>T</v>
      </c>
      <c r="AE23" s="34" t="str">
        <f>IF(AE$9="","",INDEX(Configuración!$K$6:$K$15,MOD(AE$9-$B$7+Configuración!$F29,10)+1))</f>
        <v>T</v>
      </c>
      <c r="AF23" s="34" t="str">
        <f>IF(AF$9="","",INDEX(Configuración!$K$6:$K$15,MOD(AF$9-$B$7+Configuración!$F29,10)+1))</f>
        <v>N</v>
      </c>
      <c r="AG23" s="34" t="str">
        <f>IF(AG$9="","",INDEX(Configuración!$K$6:$K$15,MOD(AG$9-$B$7+Configuración!$F29,10)+1))</f>
        <v>N</v>
      </c>
      <c r="AH23" s="34" t="str">
        <f>IF(AH$9="","",INDEX(Configuración!$K$6:$K$15,MOD(AH$9-$B$7+Configuración!$F29,10)+1))</f>
        <v>D</v>
      </c>
      <c r="AI23" s="34" t="str">
        <f>IF(AI$9="","",INDEX(Configuración!$K$6:$K$15,MOD(AI$9-$B$7+Configuración!$F29,10)+1))</f>
        <v>D</v>
      </c>
      <c r="AJ23" s="35" t="str">
        <f>IF(AJ$9="","",INDEX(Configuración!$K$6:$K$15,MOD(AJ$9-$B$7+Configuración!$F29,10)+1))</f>
        <v>D</v>
      </c>
      <c r="AK23" s="48"/>
      <c r="AL23" s="29" t="str">
        <f t="shared" si="2"/>
        <v>P-012</v>
      </c>
      <c r="AM23" s="30" t="str">
        <f t="shared" si="3"/>
        <v>Marcos León</v>
      </c>
      <c r="AN23" s="75">
        <f t="shared" si="4"/>
        <v>18</v>
      </c>
      <c r="AO23" s="31">
        <f>COUNTIF(F23:AJ23,"M")*Configuración!$E$6+COUNTIF(F23:AJ23,"T")*Configuración!$E$7+COUNTIF(F23:AJ23,"N")*Configuración!$E$8+COUNTIF(F23:AJ23,"F")*Configuración!$E$12</f>
        <v>144</v>
      </c>
      <c r="AP23" s="31">
        <f t="shared" si="5"/>
        <v>6</v>
      </c>
      <c r="AQ23" s="31">
        <f t="shared" si="6"/>
        <v>6</v>
      </c>
      <c r="AR23" s="31">
        <f t="shared" si="7"/>
        <v>6</v>
      </c>
      <c r="AS23" s="31">
        <f t="shared" si="8"/>
        <v>13</v>
      </c>
      <c r="AT23" s="31">
        <f t="shared" si="9"/>
        <v>0</v>
      </c>
      <c r="AU23" s="31">
        <f t="shared" si="10"/>
        <v>5</v>
      </c>
      <c r="AV23" s="76">
        <f t="shared" si="11"/>
        <v>-0.66666666666666785</v>
      </c>
    </row>
    <row r="24" spans="1:48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</row>
    <row r="25" spans="1:48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</row>
    <row r="26" spans="1:48">
      <c r="A26" s="111" t="s">
        <v>40</v>
      </c>
      <c r="B26" s="111"/>
      <c r="C26" s="111"/>
      <c r="D26" s="111"/>
      <c r="E26" s="111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</row>
    <row r="27" spans="1:48" ht="19.05" customHeight="1">
      <c r="A27" s="112" t="s">
        <v>41</v>
      </c>
      <c r="B27" s="113"/>
      <c r="C27" s="113"/>
      <c r="D27" s="113"/>
      <c r="E27" s="114"/>
      <c r="F27" s="36">
        <f t="shared" ref="F27:AJ27" si="12">IF(F$9="","",COUNTIF(F$12:F$23,"M"))</f>
        <v>3</v>
      </c>
      <c r="G27" s="37">
        <f t="shared" si="12"/>
        <v>3</v>
      </c>
      <c r="H27" s="37">
        <f t="shared" si="12"/>
        <v>2</v>
      </c>
      <c r="I27" s="37">
        <f t="shared" si="12"/>
        <v>2</v>
      </c>
      <c r="J27" s="37">
        <f t="shared" si="12"/>
        <v>2</v>
      </c>
      <c r="K27" s="37">
        <f t="shared" si="12"/>
        <v>2</v>
      </c>
      <c r="L27" s="37">
        <f t="shared" si="12"/>
        <v>2</v>
      </c>
      <c r="M27" s="37">
        <f t="shared" si="12"/>
        <v>2</v>
      </c>
      <c r="N27" s="37">
        <f t="shared" si="12"/>
        <v>3</v>
      </c>
      <c r="O27" s="37">
        <f t="shared" si="12"/>
        <v>3</v>
      </c>
      <c r="P27" s="37">
        <f t="shared" si="12"/>
        <v>3</v>
      </c>
      <c r="Q27" s="37">
        <f t="shared" si="12"/>
        <v>3</v>
      </c>
      <c r="R27" s="37">
        <f t="shared" si="12"/>
        <v>2</v>
      </c>
      <c r="S27" s="37">
        <f t="shared" si="12"/>
        <v>2</v>
      </c>
      <c r="T27" s="37">
        <f t="shared" si="12"/>
        <v>2</v>
      </c>
      <c r="U27" s="37">
        <f t="shared" si="12"/>
        <v>2</v>
      </c>
      <c r="V27" s="37">
        <f t="shared" si="12"/>
        <v>2</v>
      </c>
      <c r="W27" s="37">
        <f t="shared" si="12"/>
        <v>2</v>
      </c>
      <c r="X27" s="37">
        <f t="shared" si="12"/>
        <v>3</v>
      </c>
      <c r="Y27" s="37">
        <f t="shared" si="12"/>
        <v>3</v>
      </c>
      <c r="Z27" s="37">
        <f t="shared" si="12"/>
        <v>3</v>
      </c>
      <c r="AA27" s="37">
        <f t="shared" si="12"/>
        <v>3</v>
      </c>
      <c r="AB27" s="37">
        <f t="shared" si="12"/>
        <v>2</v>
      </c>
      <c r="AC27" s="37">
        <f t="shared" si="12"/>
        <v>2</v>
      </c>
      <c r="AD27" s="37">
        <f t="shared" si="12"/>
        <v>2</v>
      </c>
      <c r="AE27" s="37">
        <f t="shared" si="12"/>
        <v>2</v>
      </c>
      <c r="AF27" s="37">
        <f t="shared" si="12"/>
        <v>2</v>
      </c>
      <c r="AG27" s="37">
        <f t="shared" si="12"/>
        <v>2</v>
      </c>
      <c r="AH27" s="37">
        <f t="shared" si="12"/>
        <v>3</v>
      </c>
      <c r="AI27" s="37">
        <f t="shared" si="12"/>
        <v>3</v>
      </c>
      <c r="AJ27" s="38">
        <f t="shared" si="12"/>
        <v>3</v>
      </c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</row>
    <row r="28" spans="1:48" ht="19.05" customHeight="1">
      <c r="A28" s="115" t="s">
        <v>42</v>
      </c>
      <c r="B28" s="116"/>
      <c r="C28" s="116"/>
      <c r="D28" s="116"/>
      <c r="E28" s="117"/>
      <c r="F28" s="39">
        <f t="shared" ref="F28:AJ28" si="13">IF(F$9="","",COUNTIF(F$12:F$23,"T"))</f>
        <v>3</v>
      </c>
      <c r="G28" s="40">
        <f t="shared" si="13"/>
        <v>3</v>
      </c>
      <c r="H28" s="40">
        <f t="shared" si="13"/>
        <v>3</v>
      </c>
      <c r="I28" s="40">
        <f t="shared" si="13"/>
        <v>3</v>
      </c>
      <c r="J28" s="40">
        <f t="shared" si="13"/>
        <v>2</v>
      </c>
      <c r="K28" s="40">
        <f t="shared" si="13"/>
        <v>2</v>
      </c>
      <c r="L28" s="40">
        <f t="shared" si="13"/>
        <v>2</v>
      </c>
      <c r="M28" s="40">
        <f t="shared" si="13"/>
        <v>2</v>
      </c>
      <c r="N28" s="40">
        <f t="shared" si="13"/>
        <v>2</v>
      </c>
      <c r="O28" s="40">
        <f t="shared" si="13"/>
        <v>2</v>
      </c>
      <c r="P28" s="40">
        <f t="shared" si="13"/>
        <v>3</v>
      </c>
      <c r="Q28" s="40">
        <f t="shared" si="13"/>
        <v>3</v>
      </c>
      <c r="R28" s="40">
        <f t="shared" si="13"/>
        <v>3</v>
      </c>
      <c r="S28" s="40">
        <f t="shared" si="13"/>
        <v>3</v>
      </c>
      <c r="T28" s="40">
        <f t="shared" si="13"/>
        <v>2</v>
      </c>
      <c r="U28" s="40">
        <f t="shared" si="13"/>
        <v>2</v>
      </c>
      <c r="V28" s="40">
        <f t="shared" si="13"/>
        <v>2</v>
      </c>
      <c r="W28" s="40">
        <f t="shared" si="13"/>
        <v>2</v>
      </c>
      <c r="X28" s="40">
        <f t="shared" si="13"/>
        <v>2</v>
      </c>
      <c r="Y28" s="40">
        <f t="shared" si="13"/>
        <v>2</v>
      </c>
      <c r="Z28" s="40">
        <f t="shared" si="13"/>
        <v>3</v>
      </c>
      <c r="AA28" s="40">
        <f t="shared" si="13"/>
        <v>3</v>
      </c>
      <c r="AB28" s="40">
        <f t="shared" si="13"/>
        <v>3</v>
      </c>
      <c r="AC28" s="40">
        <f t="shared" si="13"/>
        <v>3</v>
      </c>
      <c r="AD28" s="40">
        <f t="shared" si="13"/>
        <v>2</v>
      </c>
      <c r="AE28" s="40">
        <f t="shared" si="13"/>
        <v>2</v>
      </c>
      <c r="AF28" s="40">
        <f t="shared" si="13"/>
        <v>2</v>
      </c>
      <c r="AG28" s="40">
        <f t="shared" si="13"/>
        <v>2</v>
      </c>
      <c r="AH28" s="40">
        <f t="shared" si="13"/>
        <v>2</v>
      </c>
      <c r="AI28" s="40">
        <f t="shared" si="13"/>
        <v>2</v>
      </c>
      <c r="AJ28" s="41">
        <f t="shared" si="13"/>
        <v>3</v>
      </c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</row>
    <row r="29" spans="1:48" ht="19.05" customHeight="1">
      <c r="A29" s="115" t="s">
        <v>43</v>
      </c>
      <c r="B29" s="116"/>
      <c r="C29" s="116"/>
      <c r="D29" s="116"/>
      <c r="E29" s="117"/>
      <c r="F29" s="39">
        <f t="shared" ref="F29:AJ29" si="14">IF(F$9="","",COUNTIF(F$12:F$23,"N"))</f>
        <v>2</v>
      </c>
      <c r="G29" s="40">
        <f t="shared" si="14"/>
        <v>2</v>
      </c>
      <c r="H29" s="40">
        <f t="shared" si="14"/>
        <v>3</v>
      </c>
      <c r="I29" s="40">
        <f t="shared" si="14"/>
        <v>3</v>
      </c>
      <c r="J29" s="40">
        <f t="shared" si="14"/>
        <v>3</v>
      </c>
      <c r="K29" s="40">
        <f t="shared" si="14"/>
        <v>3</v>
      </c>
      <c r="L29" s="40">
        <f t="shared" si="14"/>
        <v>2</v>
      </c>
      <c r="M29" s="40">
        <f t="shared" si="14"/>
        <v>2</v>
      </c>
      <c r="N29" s="40">
        <f t="shared" si="14"/>
        <v>2</v>
      </c>
      <c r="O29" s="40">
        <f t="shared" si="14"/>
        <v>2</v>
      </c>
      <c r="P29" s="40">
        <f t="shared" si="14"/>
        <v>2</v>
      </c>
      <c r="Q29" s="40">
        <f t="shared" si="14"/>
        <v>2</v>
      </c>
      <c r="R29" s="40">
        <f t="shared" si="14"/>
        <v>3</v>
      </c>
      <c r="S29" s="40">
        <f t="shared" si="14"/>
        <v>3</v>
      </c>
      <c r="T29" s="40">
        <f t="shared" si="14"/>
        <v>3</v>
      </c>
      <c r="U29" s="40">
        <f t="shared" si="14"/>
        <v>3</v>
      </c>
      <c r="V29" s="40">
        <f t="shared" si="14"/>
        <v>2</v>
      </c>
      <c r="W29" s="40">
        <f t="shared" si="14"/>
        <v>2</v>
      </c>
      <c r="X29" s="40">
        <f t="shared" si="14"/>
        <v>2</v>
      </c>
      <c r="Y29" s="40">
        <f t="shared" si="14"/>
        <v>2</v>
      </c>
      <c r="Z29" s="40">
        <f t="shared" si="14"/>
        <v>2</v>
      </c>
      <c r="AA29" s="40">
        <f t="shared" si="14"/>
        <v>2</v>
      </c>
      <c r="AB29" s="40">
        <f t="shared" si="14"/>
        <v>3</v>
      </c>
      <c r="AC29" s="40">
        <f t="shared" si="14"/>
        <v>3</v>
      </c>
      <c r="AD29" s="40">
        <f t="shared" si="14"/>
        <v>3</v>
      </c>
      <c r="AE29" s="40">
        <f t="shared" si="14"/>
        <v>3</v>
      </c>
      <c r="AF29" s="40">
        <f t="shared" si="14"/>
        <v>2</v>
      </c>
      <c r="AG29" s="40">
        <f t="shared" si="14"/>
        <v>2</v>
      </c>
      <c r="AH29" s="40">
        <f t="shared" si="14"/>
        <v>2</v>
      </c>
      <c r="AI29" s="40">
        <f t="shared" si="14"/>
        <v>2</v>
      </c>
      <c r="AJ29" s="41">
        <f t="shared" si="14"/>
        <v>2</v>
      </c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</row>
    <row r="30" spans="1:48" ht="19.05" customHeight="1">
      <c r="A30" s="115" t="s">
        <v>25</v>
      </c>
      <c r="B30" s="116"/>
      <c r="C30" s="116"/>
      <c r="D30" s="116"/>
      <c r="E30" s="117"/>
      <c r="F30" s="39">
        <f t="shared" ref="F30:AJ30" si="15">IF(F$9="","",COUNTIF(F$12:F$23,"D"))</f>
        <v>4</v>
      </c>
      <c r="G30" s="40">
        <f t="shared" si="15"/>
        <v>4</v>
      </c>
      <c r="H30" s="40">
        <f t="shared" si="15"/>
        <v>4</v>
      </c>
      <c r="I30" s="40">
        <f t="shared" si="15"/>
        <v>4</v>
      </c>
      <c r="J30" s="40">
        <f t="shared" si="15"/>
        <v>5</v>
      </c>
      <c r="K30" s="40">
        <f t="shared" si="15"/>
        <v>5</v>
      </c>
      <c r="L30" s="40">
        <f t="shared" si="15"/>
        <v>6</v>
      </c>
      <c r="M30" s="40">
        <f t="shared" si="15"/>
        <v>6</v>
      </c>
      <c r="N30" s="40">
        <f t="shared" si="15"/>
        <v>5</v>
      </c>
      <c r="O30" s="40">
        <f t="shared" si="15"/>
        <v>5</v>
      </c>
      <c r="P30" s="40">
        <f t="shared" si="15"/>
        <v>4</v>
      </c>
      <c r="Q30" s="40">
        <f t="shared" si="15"/>
        <v>4</v>
      </c>
      <c r="R30" s="40">
        <f t="shared" si="15"/>
        <v>4</v>
      </c>
      <c r="S30" s="40">
        <f t="shared" si="15"/>
        <v>4</v>
      </c>
      <c r="T30" s="40">
        <f t="shared" si="15"/>
        <v>5</v>
      </c>
      <c r="U30" s="40">
        <f t="shared" si="15"/>
        <v>5</v>
      </c>
      <c r="V30" s="40">
        <f t="shared" si="15"/>
        <v>6</v>
      </c>
      <c r="W30" s="40">
        <f t="shared" si="15"/>
        <v>6</v>
      </c>
      <c r="X30" s="40">
        <f t="shared" si="15"/>
        <v>5</v>
      </c>
      <c r="Y30" s="40">
        <f t="shared" si="15"/>
        <v>5</v>
      </c>
      <c r="Z30" s="40">
        <f t="shared" si="15"/>
        <v>4</v>
      </c>
      <c r="AA30" s="40">
        <f t="shared" si="15"/>
        <v>4</v>
      </c>
      <c r="AB30" s="40">
        <f t="shared" si="15"/>
        <v>4</v>
      </c>
      <c r="AC30" s="40">
        <f t="shared" si="15"/>
        <v>4</v>
      </c>
      <c r="AD30" s="40">
        <f t="shared" si="15"/>
        <v>5</v>
      </c>
      <c r="AE30" s="40">
        <f t="shared" si="15"/>
        <v>5</v>
      </c>
      <c r="AF30" s="40">
        <f t="shared" si="15"/>
        <v>6</v>
      </c>
      <c r="AG30" s="40">
        <f t="shared" si="15"/>
        <v>6</v>
      </c>
      <c r="AH30" s="40">
        <f t="shared" si="15"/>
        <v>5</v>
      </c>
      <c r="AI30" s="40">
        <f t="shared" si="15"/>
        <v>5</v>
      </c>
      <c r="AJ30" s="41">
        <f t="shared" si="15"/>
        <v>4</v>
      </c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</row>
    <row r="31" spans="1:48" ht="19.05" customHeight="1">
      <c r="A31" s="115" t="s">
        <v>44</v>
      </c>
      <c r="B31" s="116"/>
      <c r="C31" s="116"/>
      <c r="D31" s="116"/>
      <c r="E31" s="117"/>
      <c r="F31" s="39">
        <f t="shared" ref="F31:AJ31" si="16">IF(F$9="","",COUNTIF(F$12:F$23,"V")+COUNTIF(F$12:F$23,"B"))</f>
        <v>0</v>
      </c>
      <c r="G31" s="40">
        <f t="shared" si="16"/>
        <v>0</v>
      </c>
      <c r="H31" s="40">
        <f t="shared" si="16"/>
        <v>0</v>
      </c>
      <c r="I31" s="40">
        <f t="shared" si="16"/>
        <v>0</v>
      </c>
      <c r="J31" s="40">
        <f t="shared" si="16"/>
        <v>0</v>
      </c>
      <c r="K31" s="40">
        <f t="shared" si="16"/>
        <v>0</v>
      </c>
      <c r="L31" s="40">
        <f t="shared" si="16"/>
        <v>0</v>
      </c>
      <c r="M31" s="40">
        <f t="shared" si="16"/>
        <v>0</v>
      </c>
      <c r="N31" s="40">
        <f t="shared" si="16"/>
        <v>0</v>
      </c>
      <c r="O31" s="40">
        <f t="shared" si="16"/>
        <v>0</v>
      </c>
      <c r="P31" s="40">
        <f t="shared" si="16"/>
        <v>0</v>
      </c>
      <c r="Q31" s="40">
        <f t="shared" si="16"/>
        <v>0</v>
      </c>
      <c r="R31" s="40">
        <f t="shared" si="16"/>
        <v>0</v>
      </c>
      <c r="S31" s="40">
        <f t="shared" si="16"/>
        <v>0</v>
      </c>
      <c r="T31" s="40">
        <f t="shared" si="16"/>
        <v>0</v>
      </c>
      <c r="U31" s="40">
        <f t="shared" si="16"/>
        <v>0</v>
      </c>
      <c r="V31" s="40">
        <f t="shared" si="16"/>
        <v>0</v>
      </c>
      <c r="W31" s="40">
        <f t="shared" si="16"/>
        <v>0</v>
      </c>
      <c r="X31" s="40">
        <f t="shared" si="16"/>
        <v>0</v>
      </c>
      <c r="Y31" s="40">
        <f t="shared" si="16"/>
        <v>0</v>
      </c>
      <c r="Z31" s="40">
        <f t="shared" si="16"/>
        <v>0</v>
      </c>
      <c r="AA31" s="40">
        <f t="shared" si="16"/>
        <v>0</v>
      </c>
      <c r="AB31" s="40">
        <f t="shared" si="16"/>
        <v>0</v>
      </c>
      <c r="AC31" s="40">
        <f t="shared" si="16"/>
        <v>0</v>
      </c>
      <c r="AD31" s="40">
        <f t="shared" si="16"/>
        <v>0</v>
      </c>
      <c r="AE31" s="40">
        <f t="shared" si="16"/>
        <v>0</v>
      </c>
      <c r="AF31" s="40">
        <f t="shared" si="16"/>
        <v>0</v>
      </c>
      <c r="AG31" s="40">
        <f t="shared" si="16"/>
        <v>0</v>
      </c>
      <c r="AH31" s="40">
        <f t="shared" si="16"/>
        <v>0</v>
      </c>
      <c r="AI31" s="40">
        <f t="shared" si="16"/>
        <v>0</v>
      </c>
      <c r="AJ31" s="41">
        <f t="shared" si="16"/>
        <v>0</v>
      </c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</row>
    <row r="32" spans="1:48" ht="19.05" customHeight="1">
      <c r="A32" s="115" t="s">
        <v>45</v>
      </c>
      <c r="B32" s="116"/>
      <c r="C32" s="116"/>
      <c r="D32" s="116"/>
      <c r="E32" s="117"/>
      <c r="F32" s="42">
        <f>IF(F$9="","",F27*Configuración!$E$6+F28*Configuración!$E$7+F29*Configuración!$E$8+COUNTIF(F$12:F$23,"F")*Configuración!$E$12)</f>
        <v>64</v>
      </c>
      <c r="G32" s="43">
        <f>IF(G$9="","",G27*Configuración!$E$6+G28*Configuración!$E$7+G29*Configuración!$E$8+COUNTIF(G$12:G$23,"F")*Configuración!$E$12)</f>
        <v>64</v>
      </c>
      <c r="H32" s="43">
        <f>IF(H$9="","",H27*Configuración!$E$6+H28*Configuración!$E$7+H29*Configuración!$E$8+COUNTIF(H$12:H$23,"F")*Configuración!$E$12)</f>
        <v>64</v>
      </c>
      <c r="I32" s="43">
        <f>IF(I$9="","",I27*Configuración!$E$6+I28*Configuración!$E$7+I29*Configuración!$E$8+COUNTIF(I$12:I$23,"F")*Configuración!$E$12)</f>
        <v>64</v>
      </c>
      <c r="J32" s="43">
        <f>IF(J$9="","",J27*Configuración!$E$6+J28*Configuración!$E$7+J29*Configuración!$E$8+COUNTIF(J$12:J$23,"F")*Configuración!$E$12)</f>
        <v>56</v>
      </c>
      <c r="K32" s="43">
        <f>IF(K$9="","",K27*Configuración!$E$6+K28*Configuración!$E$7+K29*Configuración!$E$8+COUNTIF(K$12:K$23,"F")*Configuración!$E$12)</f>
        <v>56</v>
      </c>
      <c r="L32" s="43">
        <f>IF(L$9="","",L27*Configuración!$E$6+L28*Configuración!$E$7+L29*Configuración!$E$8+COUNTIF(L$12:L$23,"F")*Configuración!$E$12)</f>
        <v>48</v>
      </c>
      <c r="M32" s="43">
        <f>IF(M$9="","",M27*Configuración!$E$6+M28*Configuración!$E$7+M29*Configuración!$E$8+COUNTIF(M$12:M$23,"F")*Configuración!$E$12)</f>
        <v>48</v>
      </c>
      <c r="N32" s="43">
        <f>IF(N$9="","",N27*Configuración!$E$6+N28*Configuración!$E$7+N29*Configuración!$E$8+COUNTIF(N$12:N$23,"F")*Configuración!$E$12)</f>
        <v>56</v>
      </c>
      <c r="O32" s="43">
        <f>IF(O$9="","",O27*Configuración!$E$6+O28*Configuración!$E$7+O29*Configuración!$E$8+COUNTIF(O$12:O$23,"F")*Configuración!$E$12)</f>
        <v>56</v>
      </c>
      <c r="P32" s="43">
        <f>IF(P$9="","",P27*Configuración!$E$6+P28*Configuración!$E$7+P29*Configuración!$E$8+COUNTIF(P$12:P$23,"F")*Configuración!$E$12)</f>
        <v>64</v>
      </c>
      <c r="Q32" s="43">
        <f>IF(Q$9="","",Q27*Configuración!$E$6+Q28*Configuración!$E$7+Q29*Configuración!$E$8+COUNTIF(Q$12:Q$23,"F")*Configuración!$E$12)</f>
        <v>64</v>
      </c>
      <c r="R32" s="43">
        <f>IF(R$9="","",R27*Configuración!$E$6+R28*Configuración!$E$7+R29*Configuración!$E$8+COUNTIF(R$12:R$23,"F")*Configuración!$E$12)</f>
        <v>64</v>
      </c>
      <c r="S32" s="43">
        <f>IF(S$9="","",S27*Configuración!$E$6+S28*Configuración!$E$7+S29*Configuración!$E$8+COUNTIF(S$12:S$23,"F")*Configuración!$E$12)</f>
        <v>64</v>
      </c>
      <c r="T32" s="43">
        <f>IF(T$9="","",T27*Configuración!$E$6+T28*Configuración!$E$7+T29*Configuración!$E$8+COUNTIF(T$12:T$23,"F")*Configuración!$E$12)</f>
        <v>56</v>
      </c>
      <c r="U32" s="43">
        <f>IF(U$9="","",U27*Configuración!$E$6+U28*Configuración!$E$7+U29*Configuración!$E$8+COUNTIF(U$12:U$23,"F")*Configuración!$E$12)</f>
        <v>56</v>
      </c>
      <c r="V32" s="43">
        <f>IF(V$9="","",V27*Configuración!$E$6+V28*Configuración!$E$7+V29*Configuración!$E$8+COUNTIF(V$12:V$23,"F")*Configuración!$E$12)</f>
        <v>48</v>
      </c>
      <c r="W32" s="43">
        <f>IF(W$9="","",W27*Configuración!$E$6+W28*Configuración!$E$7+W29*Configuración!$E$8+COUNTIF(W$12:W$23,"F")*Configuración!$E$12)</f>
        <v>48</v>
      </c>
      <c r="X32" s="43">
        <f>IF(X$9="","",X27*Configuración!$E$6+X28*Configuración!$E$7+X29*Configuración!$E$8+COUNTIF(X$12:X$23,"F")*Configuración!$E$12)</f>
        <v>56</v>
      </c>
      <c r="Y32" s="43">
        <f>IF(Y$9="","",Y27*Configuración!$E$6+Y28*Configuración!$E$7+Y29*Configuración!$E$8+COUNTIF(Y$12:Y$23,"F")*Configuración!$E$12)</f>
        <v>56</v>
      </c>
      <c r="Z32" s="43">
        <f>IF(Z$9="","",Z27*Configuración!$E$6+Z28*Configuración!$E$7+Z29*Configuración!$E$8+COUNTIF(Z$12:Z$23,"F")*Configuración!$E$12)</f>
        <v>64</v>
      </c>
      <c r="AA32" s="43">
        <f>IF(AA$9="","",AA27*Configuración!$E$6+AA28*Configuración!$E$7+AA29*Configuración!$E$8+COUNTIF(AA$12:AA$23,"F")*Configuración!$E$12)</f>
        <v>64</v>
      </c>
      <c r="AB32" s="43">
        <f>IF(AB$9="","",AB27*Configuración!$E$6+AB28*Configuración!$E$7+AB29*Configuración!$E$8+COUNTIF(AB$12:AB$23,"F")*Configuración!$E$12)</f>
        <v>64</v>
      </c>
      <c r="AC32" s="43">
        <f>IF(AC$9="","",AC27*Configuración!$E$6+AC28*Configuración!$E$7+AC29*Configuración!$E$8+COUNTIF(AC$12:AC$23,"F")*Configuración!$E$12)</f>
        <v>64</v>
      </c>
      <c r="AD32" s="43">
        <f>IF(AD$9="","",AD27*Configuración!$E$6+AD28*Configuración!$E$7+AD29*Configuración!$E$8+COUNTIF(AD$12:AD$23,"F")*Configuración!$E$12)</f>
        <v>56</v>
      </c>
      <c r="AE32" s="43">
        <f>IF(AE$9="","",AE27*Configuración!$E$6+AE28*Configuración!$E$7+AE29*Configuración!$E$8+COUNTIF(AE$12:AE$23,"F")*Configuración!$E$12)</f>
        <v>56</v>
      </c>
      <c r="AF32" s="43">
        <f>IF(AF$9="","",AF27*Configuración!$E$6+AF28*Configuración!$E$7+AF29*Configuración!$E$8+COUNTIF(AF$12:AF$23,"F")*Configuración!$E$12)</f>
        <v>48</v>
      </c>
      <c r="AG32" s="43">
        <f>IF(AG$9="","",AG27*Configuración!$E$6+AG28*Configuración!$E$7+AG29*Configuración!$E$8+COUNTIF(AG$12:AG$23,"F")*Configuración!$E$12)</f>
        <v>48</v>
      </c>
      <c r="AH32" s="43">
        <f>IF(AH$9="","",AH27*Configuración!$E$6+AH28*Configuración!$E$7+AH29*Configuración!$E$8+COUNTIF(AH$12:AH$23,"F")*Configuración!$E$12)</f>
        <v>56</v>
      </c>
      <c r="AI32" s="43">
        <f>IF(AI$9="","",AI27*Configuración!$E$6+AI28*Configuración!$E$7+AI29*Configuración!$E$8+COUNTIF(AI$12:AI$23,"F")*Configuración!$E$12)</f>
        <v>56</v>
      </c>
      <c r="AJ32" s="44">
        <f>IF(AJ$9="","",AJ27*Configuración!$E$6+AJ28*Configuración!$E$7+AJ29*Configuración!$E$8+COUNTIF(AJ$12:AJ$23,"F")*Configuración!$E$12)</f>
        <v>64</v>
      </c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</row>
    <row r="33" spans="1:48" ht="19.05" customHeight="1">
      <c r="A33" s="118" t="s">
        <v>46</v>
      </c>
      <c r="B33" s="119"/>
      <c r="C33" s="119"/>
      <c r="D33" s="119"/>
      <c r="E33" s="120"/>
      <c r="F33" s="45" t="str">
        <f t="shared" ref="F33:AJ33" si="17">IF(F$9="","",IF(MIN(F27:F29)&lt;$B$9,"Falta","OK"))</f>
        <v>OK</v>
      </c>
      <c r="G33" s="46" t="str">
        <f t="shared" si="17"/>
        <v>OK</v>
      </c>
      <c r="H33" s="46" t="str">
        <f t="shared" si="17"/>
        <v>OK</v>
      </c>
      <c r="I33" s="46" t="str">
        <f t="shared" si="17"/>
        <v>OK</v>
      </c>
      <c r="J33" s="46" t="str">
        <f t="shared" si="17"/>
        <v>OK</v>
      </c>
      <c r="K33" s="46" t="str">
        <f t="shared" si="17"/>
        <v>OK</v>
      </c>
      <c r="L33" s="46" t="str">
        <f t="shared" si="17"/>
        <v>OK</v>
      </c>
      <c r="M33" s="46" t="str">
        <f t="shared" si="17"/>
        <v>OK</v>
      </c>
      <c r="N33" s="46" t="str">
        <f t="shared" si="17"/>
        <v>OK</v>
      </c>
      <c r="O33" s="46" t="str">
        <f t="shared" si="17"/>
        <v>OK</v>
      </c>
      <c r="P33" s="46" t="str">
        <f t="shared" si="17"/>
        <v>OK</v>
      </c>
      <c r="Q33" s="46" t="str">
        <f t="shared" si="17"/>
        <v>OK</v>
      </c>
      <c r="R33" s="46" t="str">
        <f t="shared" si="17"/>
        <v>OK</v>
      </c>
      <c r="S33" s="46" t="str">
        <f t="shared" si="17"/>
        <v>OK</v>
      </c>
      <c r="T33" s="46" t="str">
        <f t="shared" si="17"/>
        <v>OK</v>
      </c>
      <c r="U33" s="46" t="str">
        <f t="shared" si="17"/>
        <v>OK</v>
      </c>
      <c r="V33" s="46" t="str">
        <f t="shared" si="17"/>
        <v>OK</v>
      </c>
      <c r="W33" s="46" t="str">
        <f t="shared" si="17"/>
        <v>OK</v>
      </c>
      <c r="X33" s="46" t="str">
        <f t="shared" si="17"/>
        <v>OK</v>
      </c>
      <c r="Y33" s="46" t="str">
        <f t="shared" si="17"/>
        <v>OK</v>
      </c>
      <c r="Z33" s="46" t="str">
        <f t="shared" si="17"/>
        <v>OK</v>
      </c>
      <c r="AA33" s="46" t="str">
        <f t="shared" si="17"/>
        <v>OK</v>
      </c>
      <c r="AB33" s="46" t="str">
        <f t="shared" si="17"/>
        <v>OK</v>
      </c>
      <c r="AC33" s="46" t="str">
        <f t="shared" si="17"/>
        <v>OK</v>
      </c>
      <c r="AD33" s="46" t="str">
        <f t="shared" si="17"/>
        <v>OK</v>
      </c>
      <c r="AE33" s="46" t="str">
        <f t="shared" si="17"/>
        <v>OK</v>
      </c>
      <c r="AF33" s="46" t="str">
        <f t="shared" si="17"/>
        <v>OK</v>
      </c>
      <c r="AG33" s="46" t="str">
        <f t="shared" si="17"/>
        <v>OK</v>
      </c>
      <c r="AH33" s="46" t="str">
        <f t="shared" si="17"/>
        <v>OK</v>
      </c>
      <c r="AI33" s="46" t="str">
        <f t="shared" si="17"/>
        <v>OK</v>
      </c>
      <c r="AJ33" s="47" t="str">
        <f t="shared" si="17"/>
        <v>OK</v>
      </c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</row>
    <row r="34" spans="1:48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</row>
    <row r="35" spans="1:48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</row>
    <row r="36" spans="1:48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</row>
    <row r="37" spans="1:48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</row>
    <row r="38" spans="1:48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</row>
    <row r="39" spans="1:48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</row>
    <row r="40" spans="1:48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</row>
    <row r="41" spans="1:48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</row>
    <row r="42" spans="1:48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</row>
    <row r="43" spans="1:48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</row>
  </sheetData>
  <mergeCells count="13">
    <mergeCell ref="A32:E32"/>
    <mergeCell ref="A33:E33"/>
    <mergeCell ref="AL1:AS1"/>
    <mergeCell ref="A27:E27"/>
    <mergeCell ref="A28:E28"/>
    <mergeCell ref="A29:E29"/>
    <mergeCell ref="A30:E30"/>
    <mergeCell ref="A31:E31"/>
    <mergeCell ref="A1:AJ1"/>
    <mergeCell ref="A2:AJ2"/>
    <mergeCell ref="A4:C4"/>
    <mergeCell ref="D4:J4"/>
    <mergeCell ref="A26:E26"/>
  </mergeCells>
  <conditionalFormatting sqref="F9:AJ11">
    <cfRule type="expression" dxfId="12" priority="8">
      <formula>AND(F$9&lt;&gt;"",WEEKDAY(F$9,2)&gt;=6)</formula>
    </cfRule>
  </conditionalFormatting>
  <conditionalFormatting sqref="F12:AJ23">
    <cfRule type="expression" dxfId="11" priority="1">
      <formula>F12="M"</formula>
    </cfRule>
    <cfRule type="expression" dxfId="10" priority="2">
      <formula>F12="T"</formula>
    </cfRule>
    <cfRule type="expression" dxfId="9" priority="3">
      <formula>F12="N"</formula>
    </cfRule>
    <cfRule type="expression" dxfId="8" priority="4">
      <formula>F12="D"</formula>
    </cfRule>
    <cfRule type="expression" dxfId="7" priority="5">
      <formula>F12="V"</formula>
    </cfRule>
    <cfRule type="expression" dxfId="6" priority="6">
      <formula>F12="B"</formula>
    </cfRule>
    <cfRule type="expression" dxfId="5" priority="7">
      <formula>F12="F"</formula>
    </cfRule>
  </conditionalFormatting>
  <conditionalFormatting sqref="F33:AJ33">
    <cfRule type="expression" dxfId="4" priority="9">
      <formula>F33="OK"</formula>
    </cfRule>
    <cfRule type="expression" dxfId="3" priority="10">
      <formula>F33="Falta"</formula>
    </cfRule>
  </conditionalFormatting>
  <conditionalFormatting sqref="AM8">
    <cfRule type="expression" dxfId="2" priority="11">
      <formula>AM8&gt;0</formula>
    </cfRule>
  </conditionalFormatting>
  <conditionalFormatting sqref="AN12:AN23">
    <cfRule type="dataBar" priority="14">
      <dataBar>
        <cfvo type="min"/>
        <cfvo type="max"/>
        <color rgb="FF93C5FD"/>
      </dataBar>
    </cfRule>
    <cfRule type="dataBar" priority="15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{7614B848-A414-6564-FFB7-0A6CB11E7B56}</x14:id>
        </ext>
      </extLst>
    </cfRule>
  </conditionalFormatting>
  <conditionalFormatting sqref="AV12:AV23">
    <cfRule type="cellIs" dxfId="1" priority="12" operator="greaterThan">
      <formula>8</formula>
    </cfRule>
    <cfRule type="cellIs" dxfId="0" priority="13" operator="lessThan">
      <formula>-8</formula>
    </cfRule>
  </conditionalFormatting>
  <dataValidations count="5">
    <dataValidation type="whole" sqref="B5" xr:uid="{00000000-0002-0000-0000-000000000000}">
      <formula1>2020</formula1>
      <formula2>2035</formula2>
    </dataValidation>
    <dataValidation type="whole" sqref="B6" xr:uid="{00000000-0002-0000-0000-000001000000}">
      <formula1>1</formula1>
      <formula2>12</formula2>
    </dataValidation>
    <dataValidation type="date" sqref="B7" xr:uid="{00000000-0002-0000-0000-000002000000}">
      <formula1>DATE(2020,1,1)</formula1>
      <formula2>DATE(2035,12,31)</formula2>
    </dataValidation>
    <dataValidation type="whole" sqref="B9" xr:uid="{00000000-0002-0000-0000-000003000000}">
      <formula1>1</formula1>
      <formula2>10</formula2>
    </dataValidation>
    <dataValidation errorStyle="warning" showErrorMessage="1" errorTitle="Código no previsto" error="Usa M, T, N, D, V, B o F." sqref="F12:AJ23" xr:uid="{00000000-0002-0000-0000-000004000000}"/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14B848-A414-6564-FFB7-0A6CB11E7B56}">
            <x14:dataBar>
              <x14:cfvo type="min"/>
              <x14:cfvo type="max"/>
              <x14:negativeFillColor auto="1"/>
              <x14:axisColor auto="1"/>
            </x14:dataBar>
          </x14:cfRule>
          <xm:sqref>AN12:AN23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workbookViewId="0"/>
  </sheetViews>
  <sheetFormatPr baseColWidth="10" defaultColWidth="8.796875" defaultRowHeight="13.8"/>
  <cols>
    <col min="1" max="1" width="12" customWidth="1"/>
    <col min="2" max="2" width="20" customWidth="1"/>
    <col min="3" max="6" width="12" customWidth="1"/>
    <col min="7" max="9" width="3" customWidth="1"/>
    <col min="10" max="10" width="12" customWidth="1"/>
    <col min="11" max="11" width="10" customWidth="1"/>
    <col min="12" max="12" width="18" customWidth="1"/>
  </cols>
  <sheetData>
    <row r="1" spans="1:12" ht="28.05" customHeight="1">
      <c r="A1" s="109" t="s">
        <v>47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</row>
    <row r="2" spans="1:12" ht="22.05" customHeight="1">
      <c r="A2" s="121" t="s">
        <v>48</v>
      </c>
      <c r="B2" s="121"/>
      <c r="C2" s="121"/>
      <c r="D2" s="121"/>
      <c r="E2" s="121"/>
      <c r="F2" s="121"/>
      <c r="G2" s="121"/>
      <c r="H2" s="121"/>
      <c r="I2" s="1"/>
      <c r="J2" s="1"/>
      <c r="K2" s="1"/>
      <c r="L2" s="1"/>
    </row>
    <row r="3" spans="1:12" ht="22.05" customHeight="1">
      <c r="A3" s="121"/>
      <c r="B3" s="121"/>
      <c r="C3" s="121"/>
      <c r="D3" s="121"/>
      <c r="E3" s="121"/>
      <c r="F3" s="121"/>
      <c r="G3" s="121"/>
      <c r="H3" s="121"/>
      <c r="I3" s="1"/>
      <c r="J3" s="1"/>
      <c r="K3" s="1"/>
      <c r="L3" s="1"/>
    </row>
    <row r="4" spans="1:12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9.05" customHeight="1">
      <c r="A5" s="77" t="s">
        <v>8</v>
      </c>
      <c r="B5" s="78" t="s">
        <v>49</v>
      </c>
      <c r="C5" s="78" t="s">
        <v>50</v>
      </c>
      <c r="D5" s="78" t="s">
        <v>51</v>
      </c>
      <c r="E5" s="78" t="s">
        <v>36</v>
      </c>
      <c r="F5" s="79" t="s">
        <v>52</v>
      </c>
      <c r="G5" s="1"/>
      <c r="H5" s="1"/>
      <c r="I5" s="1"/>
      <c r="J5" s="80" t="s">
        <v>53</v>
      </c>
      <c r="K5" s="81" t="s">
        <v>8</v>
      </c>
      <c r="L5" s="82" t="s">
        <v>54</v>
      </c>
    </row>
    <row r="6" spans="1:12" ht="19.05" customHeight="1">
      <c r="A6" s="83" t="s">
        <v>12</v>
      </c>
      <c r="B6" s="83" t="s">
        <v>41</v>
      </c>
      <c r="C6" s="83" t="s">
        <v>55</v>
      </c>
      <c r="D6" s="83" t="s">
        <v>56</v>
      </c>
      <c r="E6" s="84">
        <v>8</v>
      </c>
      <c r="F6" s="83" t="s">
        <v>57</v>
      </c>
      <c r="G6" s="1"/>
      <c r="H6" s="1"/>
      <c r="I6" s="1"/>
      <c r="J6" s="2">
        <v>1</v>
      </c>
      <c r="K6" s="2" t="s">
        <v>12</v>
      </c>
      <c r="L6" s="2" t="s">
        <v>41</v>
      </c>
    </row>
    <row r="7" spans="1:12" ht="19.05" customHeight="1">
      <c r="A7" s="85" t="s">
        <v>16</v>
      </c>
      <c r="B7" s="85" t="s">
        <v>42</v>
      </c>
      <c r="C7" s="85" t="s">
        <v>56</v>
      </c>
      <c r="D7" s="85" t="s">
        <v>58</v>
      </c>
      <c r="E7" s="86">
        <v>8</v>
      </c>
      <c r="F7" s="85" t="s">
        <v>57</v>
      </c>
      <c r="G7" s="1"/>
      <c r="H7" s="1"/>
      <c r="I7" s="1"/>
      <c r="J7" s="87">
        <v>2</v>
      </c>
      <c r="K7" s="87" t="s">
        <v>12</v>
      </c>
      <c r="L7" s="87" t="s">
        <v>41</v>
      </c>
    </row>
    <row r="8" spans="1:12" ht="19.05" customHeight="1">
      <c r="A8" s="88" t="s">
        <v>20</v>
      </c>
      <c r="B8" s="88" t="s">
        <v>43</v>
      </c>
      <c r="C8" s="88" t="s">
        <v>58</v>
      </c>
      <c r="D8" s="88" t="s">
        <v>55</v>
      </c>
      <c r="E8" s="89">
        <v>8</v>
      </c>
      <c r="F8" s="88" t="s">
        <v>57</v>
      </c>
      <c r="G8" s="1"/>
      <c r="H8" s="1"/>
      <c r="I8" s="1"/>
      <c r="J8" s="3">
        <v>3</v>
      </c>
      <c r="K8" s="3" t="s">
        <v>16</v>
      </c>
      <c r="L8" s="3" t="s">
        <v>42</v>
      </c>
    </row>
    <row r="9" spans="1:12" ht="19.05" customHeight="1">
      <c r="A9" s="90" t="s">
        <v>24</v>
      </c>
      <c r="B9" s="90" t="s">
        <v>25</v>
      </c>
      <c r="C9" s="90" t="s">
        <v>59</v>
      </c>
      <c r="D9" s="90" t="s">
        <v>59</v>
      </c>
      <c r="E9" s="91">
        <v>0</v>
      </c>
      <c r="F9" s="90" t="s">
        <v>60</v>
      </c>
      <c r="G9" s="1"/>
      <c r="H9" s="1"/>
      <c r="I9" s="1"/>
      <c r="J9" s="3">
        <v>4</v>
      </c>
      <c r="K9" s="3" t="s">
        <v>16</v>
      </c>
      <c r="L9" s="3" t="s">
        <v>42</v>
      </c>
    </row>
    <row r="10" spans="1:12" ht="19.05" customHeight="1">
      <c r="A10" s="92" t="s">
        <v>61</v>
      </c>
      <c r="B10" s="92" t="s">
        <v>62</v>
      </c>
      <c r="C10" s="92" t="s">
        <v>59</v>
      </c>
      <c r="D10" s="92" t="s">
        <v>59</v>
      </c>
      <c r="E10" s="93">
        <v>0</v>
      </c>
      <c r="F10" s="92" t="s">
        <v>60</v>
      </c>
      <c r="G10" s="1"/>
      <c r="H10" s="1"/>
      <c r="I10" s="1"/>
      <c r="J10" s="94">
        <v>5</v>
      </c>
      <c r="K10" s="94" t="s">
        <v>20</v>
      </c>
      <c r="L10" s="94" t="s">
        <v>43</v>
      </c>
    </row>
    <row r="11" spans="1:12" ht="19.05" customHeight="1">
      <c r="A11" s="95" t="s">
        <v>63</v>
      </c>
      <c r="B11" s="95" t="s">
        <v>64</v>
      </c>
      <c r="C11" s="95" t="s">
        <v>59</v>
      </c>
      <c r="D11" s="95" t="s">
        <v>59</v>
      </c>
      <c r="E11" s="96">
        <v>0</v>
      </c>
      <c r="F11" s="95" t="s">
        <v>60</v>
      </c>
      <c r="G11" s="1"/>
      <c r="H11" s="1"/>
      <c r="I11" s="1"/>
      <c r="J11" s="94">
        <v>6</v>
      </c>
      <c r="K11" s="94" t="s">
        <v>20</v>
      </c>
      <c r="L11" s="94" t="s">
        <v>43</v>
      </c>
    </row>
    <row r="12" spans="1:12" ht="19.05" customHeight="1">
      <c r="A12" s="97" t="s">
        <v>65</v>
      </c>
      <c r="B12" s="97" t="s">
        <v>66</v>
      </c>
      <c r="C12" s="97" t="s">
        <v>67</v>
      </c>
      <c r="D12" s="97" t="s">
        <v>68</v>
      </c>
      <c r="E12" s="98">
        <v>6</v>
      </c>
      <c r="F12" s="97" t="s">
        <v>57</v>
      </c>
      <c r="G12" s="1"/>
      <c r="H12" s="1"/>
      <c r="I12" s="1"/>
      <c r="J12" s="99">
        <v>7</v>
      </c>
      <c r="K12" s="99" t="s">
        <v>24</v>
      </c>
      <c r="L12" s="99" t="s">
        <v>25</v>
      </c>
    </row>
    <row r="13" spans="1:12" ht="19.05" customHeight="1">
      <c r="A13" s="1"/>
      <c r="B13" s="1"/>
      <c r="C13" s="1"/>
      <c r="D13" s="1"/>
      <c r="E13" s="1"/>
      <c r="F13" s="1"/>
      <c r="G13" s="1"/>
      <c r="H13" s="1"/>
      <c r="I13" s="1"/>
      <c r="J13" s="99">
        <v>8</v>
      </c>
      <c r="K13" s="99" t="s">
        <v>24</v>
      </c>
      <c r="L13" s="99" t="s">
        <v>25</v>
      </c>
    </row>
    <row r="14" spans="1:12" ht="19.05" customHeight="1">
      <c r="A14" s="1"/>
      <c r="B14" s="1"/>
      <c r="C14" s="1"/>
      <c r="D14" s="1"/>
      <c r="E14" s="1"/>
      <c r="F14" s="1"/>
      <c r="G14" s="1"/>
      <c r="H14" s="1"/>
      <c r="I14" s="1"/>
      <c r="J14" s="99">
        <v>9</v>
      </c>
      <c r="K14" s="99" t="s">
        <v>24</v>
      </c>
      <c r="L14" s="99" t="s">
        <v>25</v>
      </c>
    </row>
    <row r="15" spans="1:12" ht="19.05" customHeight="1">
      <c r="A15" s="1"/>
      <c r="B15" s="1"/>
      <c r="C15" s="1"/>
      <c r="D15" s="1"/>
      <c r="E15" s="1"/>
      <c r="F15" s="1"/>
      <c r="G15" s="1"/>
      <c r="H15" s="1"/>
      <c r="I15" s="1"/>
      <c r="J15" s="99">
        <v>10</v>
      </c>
      <c r="K15" s="99" t="s">
        <v>24</v>
      </c>
      <c r="L15" s="99" t="s">
        <v>25</v>
      </c>
    </row>
    <row r="16" spans="1:12" ht="19.0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9.05" customHeight="1">
      <c r="A17" s="80" t="s">
        <v>30</v>
      </c>
      <c r="B17" s="81" t="s">
        <v>31</v>
      </c>
      <c r="C17" s="81" t="s">
        <v>32</v>
      </c>
      <c r="D17" s="81" t="s">
        <v>33</v>
      </c>
      <c r="E17" s="81" t="s">
        <v>69</v>
      </c>
      <c r="F17" s="82" t="s">
        <v>70</v>
      </c>
      <c r="G17" s="1"/>
      <c r="H17" s="1"/>
      <c r="I17" s="1"/>
      <c r="J17" s="122" t="s">
        <v>71</v>
      </c>
      <c r="K17" s="123"/>
      <c r="L17" s="124"/>
    </row>
    <row r="18" spans="1:12" ht="19.05" customHeight="1">
      <c r="A18" s="4" t="s">
        <v>72</v>
      </c>
      <c r="B18" s="19" t="s">
        <v>73</v>
      </c>
      <c r="C18" s="4" t="s">
        <v>74</v>
      </c>
      <c r="D18" s="19" t="s">
        <v>75</v>
      </c>
      <c r="E18" s="100">
        <v>8</v>
      </c>
      <c r="F18" s="100">
        <v>0</v>
      </c>
      <c r="G18" s="1"/>
      <c r="H18" s="1"/>
      <c r="I18" s="1"/>
      <c r="J18" s="125" t="s">
        <v>76</v>
      </c>
      <c r="K18" s="126"/>
      <c r="L18" s="127"/>
    </row>
    <row r="19" spans="1:12" ht="19.05" customHeight="1">
      <c r="A19" s="28" t="s">
        <v>77</v>
      </c>
      <c r="B19" s="27" t="s">
        <v>78</v>
      </c>
      <c r="C19" s="28" t="s">
        <v>74</v>
      </c>
      <c r="D19" s="27" t="s">
        <v>79</v>
      </c>
      <c r="E19" s="101">
        <v>8</v>
      </c>
      <c r="F19" s="101">
        <v>0</v>
      </c>
      <c r="G19" s="1"/>
      <c r="H19" s="1"/>
      <c r="I19" s="1"/>
      <c r="J19" s="125" t="s">
        <v>80</v>
      </c>
      <c r="K19" s="126"/>
      <c r="L19" s="127"/>
    </row>
    <row r="20" spans="1:12" ht="19.05" customHeight="1">
      <c r="A20" s="28" t="s">
        <v>81</v>
      </c>
      <c r="B20" s="27" t="s">
        <v>82</v>
      </c>
      <c r="C20" s="28" t="s">
        <v>74</v>
      </c>
      <c r="D20" s="27" t="s">
        <v>79</v>
      </c>
      <c r="E20" s="101">
        <v>8</v>
      </c>
      <c r="F20" s="101">
        <v>0</v>
      </c>
      <c r="G20" s="1"/>
      <c r="H20" s="1"/>
      <c r="I20" s="1"/>
      <c r="J20" s="125" t="s">
        <v>83</v>
      </c>
      <c r="K20" s="126"/>
      <c r="L20" s="127"/>
    </row>
    <row r="21" spans="1:12" ht="19.05" customHeight="1">
      <c r="A21" s="28" t="s">
        <v>84</v>
      </c>
      <c r="B21" s="27" t="s">
        <v>85</v>
      </c>
      <c r="C21" s="28" t="s">
        <v>86</v>
      </c>
      <c r="D21" s="27" t="s">
        <v>79</v>
      </c>
      <c r="E21" s="101">
        <v>8</v>
      </c>
      <c r="F21" s="101">
        <v>2</v>
      </c>
      <c r="G21" s="1"/>
      <c r="H21" s="1"/>
      <c r="I21" s="1"/>
      <c r="J21" s="128" t="s">
        <v>87</v>
      </c>
      <c r="K21" s="129"/>
      <c r="L21" s="130"/>
    </row>
    <row r="22" spans="1:12" ht="19.05" customHeight="1">
      <c r="A22" s="28" t="s">
        <v>88</v>
      </c>
      <c r="B22" s="27" t="s">
        <v>89</v>
      </c>
      <c r="C22" s="28" t="s">
        <v>86</v>
      </c>
      <c r="D22" s="27" t="s">
        <v>90</v>
      </c>
      <c r="E22" s="101">
        <v>8</v>
      </c>
      <c r="F22" s="101">
        <v>2</v>
      </c>
      <c r="G22" s="1"/>
      <c r="H22" s="1"/>
      <c r="I22" s="1"/>
      <c r="J22" s="1"/>
      <c r="K22" s="1"/>
      <c r="L22" s="1"/>
    </row>
    <row r="23" spans="1:12" ht="19.05" customHeight="1">
      <c r="A23" s="28" t="s">
        <v>91</v>
      </c>
      <c r="B23" s="27" t="s">
        <v>92</v>
      </c>
      <c r="C23" s="28" t="s">
        <v>86</v>
      </c>
      <c r="D23" s="27" t="s">
        <v>79</v>
      </c>
      <c r="E23" s="101">
        <v>8</v>
      </c>
      <c r="F23" s="101">
        <v>2</v>
      </c>
      <c r="G23" s="1"/>
      <c r="H23" s="1"/>
      <c r="I23" s="1"/>
      <c r="J23" s="1"/>
      <c r="K23" s="1"/>
      <c r="L23" s="1"/>
    </row>
    <row r="24" spans="1:12" ht="19.05" customHeight="1">
      <c r="A24" s="28" t="s">
        <v>93</v>
      </c>
      <c r="B24" s="27" t="s">
        <v>94</v>
      </c>
      <c r="C24" s="28" t="s">
        <v>95</v>
      </c>
      <c r="D24" s="27" t="s">
        <v>79</v>
      </c>
      <c r="E24" s="101">
        <v>8</v>
      </c>
      <c r="F24" s="101">
        <v>4</v>
      </c>
      <c r="G24" s="1"/>
      <c r="H24" s="1"/>
      <c r="I24" s="1"/>
      <c r="J24" s="1"/>
      <c r="K24" s="1"/>
      <c r="L24" s="1"/>
    </row>
    <row r="25" spans="1:12" ht="19.05" customHeight="1">
      <c r="A25" s="28" t="s">
        <v>96</v>
      </c>
      <c r="B25" s="27" t="s">
        <v>97</v>
      </c>
      <c r="C25" s="28" t="s">
        <v>95</v>
      </c>
      <c r="D25" s="27" t="s">
        <v>90</v>
      </c>
      <c r="E25" s="101">
        <v>8</v>
      </c>
      <c r="F25" s="101">
        <v>4</v>
      </c>
      <c r="G25" s="1"/>
      <c r="H25" s="1"/>
      <c r="I25" s="1"/>
      <c r="J25" s="1"/>
      <c r="K25" s="1"/>
      <c r="L25" s="1"/>
    </row>
    <row r="26" spans="1:12" ht="19.05" customHeight="1">
      <c r="A26" s="28" t="s">
        <v>98</v>
      </c>
      <c r="B26" s="27" t="s">
        <v>99</v>
      </c>
      <c r="C26" s="28" t="s">
        <v>100</v>
      </c>
      <c r="D26" s="27" t="s">
        <v>79</v>
      </c>
      <c r="E26" s="101">
        <v>8</v>
      </c>
      <c r="F26" s="101">
        <v>6</v>
      </c>
      <c r="G26" s="1"/>
      <c r="H26" s="1"/>
      <c r="I26" s="1"/>
      <c r="J26" s="1"/>
      <c r="K26" s="1"/>
      <c r="L26" s="1"/>
    </row>
    <row r="27" spans="1:12" ht="19.05" customHeight="1">
      <c r="A27" s="28" t="s">
        <v>101</v>
      </c>
      <c r="B27" s="27" t="s">
        <v>102</v>
      </c>
      <c r="C27" s="28" t="s">
        <v>100</v>
      </c>
      <c r="D27" s="27" t="s">
        <v>75</v>
      </c>
      <c r="E27" s="101">
        <v>8</v>
      </c>
      <c r="F27" s="101">
        <v>6</v>
      </c>
      <c r="G27" s="1"/>
      <c r="H27" s="1"/>
      <c r="I27" s="1"/>
      <c r="J27" s="1"/>
      <c r="K27" s="1"/>
      <c r="L27" s="1"/>
    </row>
    <row r="28" spans="1:12" ht="19.05" customHeight="1">
      <c r="A28" s="28" t="s">
        <v>103</v>
      </c>
      <c r="B28" s="27" t="s">
        <v>104</v>
      </c>
      <c r="C28" s="28" t="s">
        <v>105</v>
      </c>
      <c r="D28" s="27" t="s">
        <v>79</v>
      </c>
      <c r="E28" s="101">
        <v>8</v>
      </c>
      <c r="F28" s="101">
        <v>8</v>
      </c>
      <c r="G28" s="1"/>
      <c r="H28" s="1"/>
      <c r="I28" s="1"/>
      <c r="J28" s="1"/>
      <c r="K28" s="1"/>
      <c r="L28" s="1"/>
    </row>
    <row r="29" spans="1:12" ht="19.05" customHeight="1">
      <c r="A29" s="28" t="s">
        <v>106</v>
      </c>
      <c r="B29" s="27" t="s">
        <v>107</v>
      </c>
      <c r="C29" s="28" t="s">
        <v>105</v>
      </c>
      <c r="D29" s="27" t="s">
        <v>90</v>
      </c>
      <c r="E29" s="101">
        <v>8</v>
      </c>
      <c r="F29" s="101">
        <v>8</v>
      </c>
      <c r="G29" s="1"/>
      <c r="H29" s="1"/>
      <c r="I29" s="1"/>
      <c r="J29" s="1"/>
      <c r="K29" s="1"/>
      <c r="L29" s="1"/>
    </row>
    <row r="30" spans="1:12" ht="14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7">
    <mergeCell ref="J20:L20"/>
    <mergeCell ref="J21:L21"/>
    <mergeCell ref="A1:H1"/>
    <mergeCell ref="A2:H3"/>
    <mergeCell ref="J17:L17"/>
    <mergeCell ref="J18:L18"/>
    <mergeCell ref="J19:L19"/>
  </mergeCells>
  <dataValidations count="2">
    <dataValidation type="whole" errorStyle="warning" allowBlank="1" showErrorMessage="1" errorTitle="Desfase no válido" error="Usa un número entero entre 0 y 9." sqref="F18:F29" xr:uid="{00000000-0002-0000-0100-000000000000}">
      <formula1>0</formula1>
      <formula2>9</formula2>
    </dataValidation>
    <dataValidation type="list" sqref="K6:K15" xr:uid="{00000000-0002-0000-0100-000001000000}">
      <formula1>"M,T,N,D,V,B,F"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Cuadrante 6x4</vt:lpstr>
      <vt:lpstr>Configuración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2026-04-24T06:25:45Z</dcterms:modified>
</cp:coreProperties>
</file>