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ontrol facturas proveedores\"/>
    </mc:Choice>
  </mc:AlternateContent>
  <xr:revisionPtr revIDLastSave="0" documentId="13_ncr:1_{C60C0889-3B00-40C8-95B6-AE9A191F24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icio" sheetId="1" r:id="rId1"/>
    <sheet name="Facturas" sheetId="2" r:id="rId2"/>
    <sheet name="Pagos" sheetId="3" r:id="rId3"/>
    <sheet name="Listas" sheetId="4" state="hidden" r:id="rId4"/>
  </sheets>
  <definedNames>
    <definedName name="_xlnm._FilterDatabase" localSheetId="1" hidden="1">Facturas!$A$7:$AA$120</definedName>
    <definedName name="_xlnm._FilterDatabase" localSheetId="2" hidden="1">Pagos!$A$7:$I$120</definedName>
    <definedName name="ListaCentros">Listas!$M$3:$M$8</definedName>
    <definedName name="ListaCondiciones">Listas!$J$3:$J$7</definedName>
    <definedName name="ListaEstadoPago">Listas!$U$3:$U$5</definedName>
    <definedName name="ListaIVA">Listas!$O$3:$O$6</definedName>
    <definedName name="ListaMetodos">Listas!$S$3:$S$6</definedName>
    <definedName name="ListaProveedores">Listas!$A$3:$A$13</definedName>
    <definedName name="ListaResponsables">Listas!$W$3:$W$7</definedName>
    <definedName name="ListaRet">Listas!$Q$3:$Q$5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20" i="3" l="1"/>
  <c r="B120" i="3"/>
  <c r="I119" i="3"/>
  <c r="B119" i="3"/>
  <c r="I118" i="3"/>
  <c r="B118" i="3"/>
  <c r="I117" i="3"/>
  <c r="B117" i="3"/>
  <c r="I116" i="3"/>
  <c r="B116" i="3"/>
  <c r="I115" i="3"/>
  <c r="B115" i="3"/>
  <c r="I114" i="3"/>
  <c r="B114" i="3"/>
  <c r="I113" i="3"/>
  <c r="B113" i="3"/>
  <c r="I112" i="3"/>
  <c r="B112" i="3"/>
  <c r="I111" i="3"/>
  <c r="B111" i="3"/>
  <c r="I110" i="3"/>
  <c r="B110" i="3"/>
  <c r="I109" i="3"/>
  <c r="B109" i="3"/>
  <c r="I108" i="3"/>
  <c r="B108" i="3"/>
  <c r="I107" i="3"/>
  <c r="B107" i="3"/>
  <c r="I106" i="3"/>
  <c r="B106" i="3"/>
  <c r="I105" i="3"/>
  <c r="B105" i="3"/>
  <c r="I104" i="3"/>
  <c r="B104" i="3"/>
  <c r="I103" i="3"/>
  <c r="B103" i="3"/>
  <c r="I102" i="3"/>
  <c r="B102" i="3"/>
  <c r="I101" i="3"/>
  <c r="B101" i="3"/>
  <c r="I100" i="3"/>
  <c r="B100" i="3"/>
  <c r="I99" i="3"/>
  <c r="B99" i="3"/>
  <c r="I98" i="3"/>
  <c r="B98" i="3"/>
  <c r="I97" i="3"/>
  <c r="B97" i="3"/>
  <c r="I96" i="3"/>
  <c r="B96" i="3"/>
  <c r="I95" i="3"/>
  <c r="B95" i="3"/>
  <c r="I94" i="3"/>
  <c r="B94" i="3"/>
  <c r="I93" i="3"/>
  <c r="B93" i="3"/>
  <c r="I92" i="3"/>
  <c r="B92" i="3"/>
  <c r="I91" i="3"/>
  <c r="B91" i="3"/>
  <c r="I90" i="3"/>
  <c r="B90" i="3"/>
  <c r="I89" i="3"/>
  <c r="B89" i="3"/>
  <c r="I88" i="3"/>
  <c r="B88" i="3"/>
  <c r="I87" i="3"/>
  <c r="B87" i="3"/>
  <c r="I86" i="3"/>
  <c r="B86" i="3"/>
  <c r="I85" i="3"/>
  <c r="B85" i="3"/>
  <c r="I84" i="3"/>
  <c r="B84" i="3"/>
  <c r="I83" i="3"/>
  <c r="B83" i="3"/>
  <c r="I82" i="3"/>
  <c r="B82" i="3"/>
  <c r="I81" i="3"/>
  <c r="B81" i="3"/>
  <c r="I80" i="3"/>
  <c r="B80" i="3"/>
  <c r="I79" i="3"/>
  <c r="B79" i="3"/>
  <c r="I78" i="3"/>
  <c r="B78" i="3"/>
  <c r="I77" i="3"/>
  <c r="B77" i="3"/>
  <c r="I76" i="3"/>
  <c r="B76" i="3"/>
  <c r="I75" i="3"/>
  <c r="B75" i="3"/>
  <c r="I74" i="3"/>
  <c r="B74" i="3"/>
  <c r="I73" i="3"/>
  <c r="B73" i="3"/>
  <c r="I72" i="3"/>
  <c r="B72" i="3"/>
  <c r="I71" i="3"/>
  <c r="B71" i="3"/>
  <c r="I70" i="3"/>
  <c r="B70" i="3"/>
  <c r="I69" i="3"/>
  <c r="B69" i="3"/>
  <c r="I68" i="3"/>
  <c r="B68" i="3"/>
  <c r="I67" i="3"/>
  <c r="B67" i="3"/>
  <c r="I66" i="3"/>
  <c r="B66" i="3"/>
  <c r="I65" i="3"/>
  <c r="B65" i="3"/>
  <c r="I64" i="3"/>
  <c r="B64" i="3"/>
  <c r="I63" i="3"/>
  <c r="B63" i="3"/>
  <c r="I62" i="3"/>
  <c r="B62" i="3"/>
  <c r="I61" i="3"/>
  <c r="B61" i="3"/>
  <c r="I60" i="3"/>
  <c r="B60" i="3"/>
  <c r="I59" i="3"/>
  <c r="B59" i="3"/>
  <c r="I58" i="3"/>
  <c r="B58" i="3"/>
  <c r="I57" i="3"/>
  <c r="B57" i="3"/>
  <c r="I56" i="3"/>
  <c r="B56" i="3"/>
  <c r="I55" i="3"/>
  <c r="B55" i="3"/>
  <c r="I54" i="3"/>
  <c r="B54" i="3"/>
  <c r="I53" i="3"/>
  <c r="B53" i="3"/>
  <c r="I52" i="3"/>
  <c r="B52" i="3"/>
  <c r="I51" i="3"/>
  <c r="B51" i="3"/>
  <c r="I50" i="3"/>
  <c r="B50" i="3"/>
  <c r="I49" i="3"/>
  <c r="B49" i="3"/>
  <c r="I48" i="3"/>
  <c r="B48" i="3"/>
  <c r="I47" i="3"/>
  <c r="B47" i="3"/>
  <c r="I46" i="3"/>
  <c r="B46" i="3"/>
  <c r="I45" i="3"/>
  <c r="B45" i="3"/>
  <c r="I44" i="3"/>
  <c r="B44" i="3"/>
  <c r="I43" i="3"/>
  <c r="B43" i="3"/>
  <c r="I42" i="3"/>
  <c r="B42" i="3"/>
  <c r="I41" i="3"/>
  <c r="B41" i="3"/>
  <c r="I40" i="3"/>
  <c r="B40" i="3"/>
  <c r="I39" i="3"/>
  <c r="B39" i="3"/>
  <c r="I38" i="3"/>
  <c r="B38" i="3"/>
  <c r="I37" i="3"/>
  <c r="B37" i="3"/>
  <c r="I36" i="3"/>
  <c r="B36" i="3"/>
  <c r="I35" i="3"/>
  <c r="B35" i="3"/>
  <c r="I34" i="3"/>
  <c r="B34" i="3"/>
  <c r="I33" i="3"/>
  <c r="B33" i="3"/>
  <c r="I32" i="3"/>
  <c r="B32" i="3"/>
  <c r="I31" i="3"/>
  <c r="B31" i="3"/>
  <c r="I30" i="3"/>
  <c r="B30" i="3"/>
  <c r="I29" i="3"/>
  <c r="B29" i="3"/>
  <c r="I28" i="3"/>
  <c r="B28" i="3"/>
  <c r="I27" i="3"/>
  <c r="B27" i="3"/>
  <c r="I26" i="3"/>
  <c r="B26" i="3"/>
  <c r="I25" i="3"/>
  <c r="B25" i="3"/>
  <c r="I24" i="3"/>
  <c r="B24" i="3"/>
  <c r="I23" i="3"/>
  <c r="B23" i="3"/>
  <c r="I22" i="3"/>
  <c r="B22" i="3"/>
  <c r="I21" i="3"/>
  <c r="B21" i="3"/>
  <c r="I20" i="3"/>
  <c r="B20" i="3"/>
  <c r="I19" i="3"/>
  <c r="B19" i="3"/>
  <c r="I18" i="3"/>
  <c r="B18" i="3"/>
  <c r="I17" i="3"/>
  <c r="B17" i="3"/>
  <c r="I16" i="3"/>
  <c r="B16" i="3"/>
  <c r="I15" i="3"/>
  <c r="B15" i="3"/>
  <c r="I14" i="3"/>
  <c r="B14" i="3"/>
  <c r="I13" i="3"/>
  <c r="B13" i="3"/>
  <c r="I12" i="3"/>
  <c r="B12" i="3"/>
  <c r="I11" i="3"/>
  <c r="B11" i="3"/>
  <c r="I10" i="3"/>
  <c r="B10" i="3"/>
  <c r="I9" i="3"/>
  <c r="B9" i="3"/>
  <c r="I8" i="3"/>
  <c r="B8" i="3"/>
  <c r="H5" i="3"/>
  <c r="E5" i="3"/>
  <c r="B5" i="3"/>
  <c r="AA120" i="2"/>
  <c r="Y120" i="2"/>
  <c r="U120" i="2"/>
  <c r="T120" i="2"/>
  <c r="S120" i="2"/>
  <c r="R120" i="2"/>
  <c r="P120" i="2"/>
  <c r="N120" i="2"/>
  <c r="J120" i="2"/>
  <c r="H120" i="2"/>
  <c r="I120" i="2" s="1"/>
  <c r="D120" i="2"/>
  <c r="C120" i="2"/>
  <c r="AA119" i="2"/>
  <c r="Y119" i="2"/>
  <c r="U119" i="2"/>
  <c r="T119" i="2"/>
  <c r="S119" i="2"/>
  <c r="R119" i="2"/>
  <c r="P119" i="2"/>
  <c r="N119" i="2"/>
  <c r="J119" i="2"/>
  <c r="H119" i="2"/>
  <c r="I119" i="2" s="1"/>
  <c r="D119" i="2"/>
  <c r="C119" i="2"/>
  <c r="AA118" i="2"/>
  <c r="Y118" i="2"/>
  <c r="U118" i="2"/>
  <c r="T118" i="2"/>
  <c r="V118" i="2" s="1"/>
  <c r="S118" i="2"/>
  <c r="R118" i="2"/>
  <c r="P118" i="2"/>
  <c r="N118" i="2"/>
  <c r="J118" i="2"/>
  <c r="H118" i="2"/>
  <c r="I118" i="2" s="1"/>
  <c r="D118" i="2"/>
  <c r="C118" i="2"/>
  <c r="AA117" i="2"/>
  <c r="Y117" i="2"/>
  <c r="U117" i="2"/>
  <c r="T117" i="2"/>
  <c r="S117" i="2"/>
  <c r="R117" i="2"/>
  <c r="P117" i="2"/>
  <c r="N117" i="2"/>
  <c r="J117" i="2"/>
  <c r="H117" i="2"/>
  <c r="I117" i="2" s="1"/>
  <c r="D117" i="2"/>
  <c r="C117" i="2"/>
  <c r="AA116" i="2"/>
  <c r="Y116" i="2"/>
  <c r="U116" i="2"/>
  <c r="T116" i="2"/>
  <c r="S116" i="2"/>
  <c r="R116" i="2"/>
  <c r="P116" i="2"/>
  <c r="N116" i="2"/>
  <c r="J116" i="2"/>
  <c r="H116" i="2"/>
  <c r="I116" i="2" s="1"/>
  <c r="D116" i="2"/>
  <c r="C116" i="2"/>
  <c r="AA115" i="2"/>
  <c r="Y115" i="2"/>
  <c r="U115" i="2"/>
  <c r="T115" i="2"/>
  <c r="S115" i="2"/>
  <c r="R115" i="2"/>
  <c r="P115" i="2"/>
  <c r="N115" i="2"/>
  <c r="J115" i="2"/>
  <c r="H115" i="2"/>
  <c r="I115" i="2" s="1"/>
  <c r="D115" i="2"/>
  <c r="C115" i="2"/>
  <c r="AA114" i="2"/>
  <c r="Y114" i="2"/>
  <c r="U114" i="2"/>
  <c r="T114" i="2"/>
  <c r="S114" i="2"/>
  <c r="R114" i="2"/>
  <c r="P114" i="2"/>
  <c r="N114" i="2"/>
  <c r="J114" i="2"/>
  <c r="H114" i="2"/>
  <c r="I114" i="2" s="1"/>
  <c r="D114" i="2"/>
  <c r="C114" i="2"/>
  <c r="AA113" i="2"/>
  <c r="Y113" i="2"/>
  <c r="U113" i="2"/>
  <c r="T113" i="2"/>
  <c r="S113" i="2"/>
  <c r="R113" i="2"/>
  <c r="P113" i="2"/>
  <c r="N113" i="2"/>
  <c r="J113" i="2"/>
  <c r="H113" i="2"/>
  <c r="I113" i="2" s="1"/>
  <c r="D113" i="2"/>
  <c r="C113" i="2"/>
  <c r="AA112" i="2"/>
  <c r="Y112" i="2"/>
  <c r="U112" i="2"/>
  <c r="T112" i="2"/>
  <c r="S112" i="2"/>
  <c r="R112" i="2"/>
  <c r="P112" i="2"/>
  <c r="N112" i="2"/>
  <c r="J112" i="2"/>
  <c r="H112" i="2"/>
  <c r="I112" i="2" s="1"/>
  <c r="D112" i="2"/>
  <c r="C112" i="2"/>
  <c r="AA111" i="2"/>
  <c r="Y111" i="2"/>
  <c r="U111" i="2"/>
  <c r="T111" i="2"/>
  <c r="S111" i="2"/>
  <c r="R111" i="2"/>
  <c r="P111" i="2"/>
  <c r="N111" i="2"/>
  <c r="J111" i="2"/>
  <c r="H111" i="2"/>
  <c r="I111" i="2" s="1"/>
  <c r="D111" i="2"/>
  <c r="C111" i="2"/>
  <c r="AA110" i="2"/>
  <c r="Y110" i="2"/>
  <c r="U110" i="2"/>
  <c r="T110" i="2"/>
  <c r="S110" i="2"/>
  <c r="R110" i="2"/>
  <c r="P110" i="2"/>
  <c r="N110" i="2"/>
  <c r="J110" i="2"/>
  <c r="H110" i="2"/>
  <c r="I110" i="2" s="1"/>
  <c r="D110" i="2"/>
  <c r="C110" i="2"/>
  <c r="AA109" i="2"/>
  <c r="Y109" i="2"/>
  <c r="U109" i="2"/>
  <c r="T109" i="2"/>
  <c r="S109" i="2"/>
  <c r="R109" i="2"/>
  <c r="P109" i="2"/>
  <c r="N109" i="2"/>
  <c r="J109" i="2"/>
  <c r="H109" i="2"/>
  <c r="I109" i="2" s="1"/>
  <c r="D109" i="2"/>
  <c r="C109" i="2"/>
  <c r="AA108" i="2"/>
  <c r="Y108" i="2"/>
  <c r="U108" i="2"/>
  <c r="T108" i="2"/>
  <c r="S108" i="2"/>
  <c r="R108" i="2"/>
  <c r="P108" i="2"/>
  <c r="N108" i="2"/>
  <c r="J108" i="2"/>
  <c r="H108" i="2"/>
  <c r="I108" i="2" s="1"/>
  <c r="D108" i="2"/>
  <c r="C108" i="2"/>
  <c r="AA107" i="2"/>
  <c r="Y107" i="2"/>
  <c r="U107" i="2"/>
  <c r="T107" i="2"/>
  <c r="S107" i="2"/>
  <c r="R107" i="2"/>
  <c r="P107" i="2"/>
  <c r="N107" i="2"/>
  <c r="J107" i="2"/>
  <c r="H107" i="2"/>
  <c r="I107" i="2" s="1"/>
  <c r="D107" i="2"/>
  <c r="C107" i="2"/>
  <c r="AA106" i="2"/>
  <c r="Y106" i="2"/>
  <c r="U106" i="2"/>
  <c r="T106" i="2"/>
  <c r="S106" i="2"/>
  <c r="R106" i="2"/>
  <c r="P106" i="2"/>
  <c r="N106" i="2"/>
  <c r="J106" i="2"/>
  <c r="H106" i="2"/>
  <c r="I106" i="2" s="1"/>
  <c r="D106" i="2"/>
  <c r="C106" i="2"/>
  <c r="AA105" i="2"/>
  <c r="Y105" i="2"/>
  <c r="U105" i="2"/>
  <c r="T105" i="2"/>
  <c r="S105" i="2"/>
  <c r="R105" i="2"/>
  <c r="P105" i="2"/>
  <c r="N105" i="2"/>
  <c r="J105" i="2"/>
  <c r="H105" i="2"/>
  <c r="I105" i="2" s="1"/>
  <c r="D105" i="2"/>
  <c r="C105" i="2"/>
  <c r="AA104" i="2"/>
  <c r="Y104" i="2"/>
  <c r="U104" i="2"/>
  <c r="T104" i="2"/>
  <c r="S104" i="2"/>
  <c r="R104" i="2"/>
  <c r="P104" i="2"/>
  <c r="N104" i="2"/>
  <c r="J104" i="2"/>
  <c r="H104" i="2"/>
  <c r="I104" i="2" s="1"/>
  <c r="D104" i="2"/>
  <c r="C104" i="2"/>
  <c r="AA103" i="2"/>
  <c r="Y103" i="2"/>
  <c r="U103" i="2"/>
  <c r="T103" i="2"/>
  <c r="V103" i="2" s="1"/>
  <c r="S103" i="2"/>
  <c r="R103" i="2"/>
  <c r="P103" i="2"/>
  <c r="N103" i="2"/>
  <c r="J103" i="2"/>
  <c r="H103" i="2"/>
  <c r="I103" i="2" s="1"/>
  <c r="D103" i="2"/>
  <c r="C103" i="2"/>
  <c r="AA102" i="2"/>
  <c r="Y102" i="2"/>
  <c r="U102" i="2"/>
  <c r="T102" i="2"/>
  <c r="S102" i="2"/>
  <c r="R102" i="2"/>
  <c r="P102" i="2"/>
  <c r="N102" i="2"/>
  <c r="J102" i="2"/>
  <c r="V102" i="2" s="1"/>
  <c r="H102" i="2"/>
  <c r="I102" i="2" s="1"/>
  <c r="D102" i="2"/>
  <c r="C102" i="2"/>
  <c r="AA101" i="2"/>
  <c r="Y101" i="2"/>
  <c r="U101" i="2"/>
  <c r="T101" i="2"/>
  <c r="S101" i="2"/>
  <c r="R101" i="2"/>
  <c r="P101" i="2"/>
  <c r="N101" i="2"/>
  <c r="J101" i="2"/>
  <c r="H101" i="2"/>
  <c r="I101" i="2" s="1"/>
  <c r="D101" i="2"/>
  <c r="C101" i="2"/>
  <c r="AA100" i="2"/>
  <c r="Y100" i="2"/>
  <c r="U100" i="2"/>
  <c r="T100" i="2"/>
  <c r="S100" i="2"/>
  <c r="R100" i="2"/>
  <c r="P100" i="2"/>
  <c r="N100" i="2"/>
  <c r="J100" i="2"/>
  <c r="H100" i="2"/>
  <c r="I100" i="2" s="1"/>
  <c r="D100" i="2"/>
  <c r="C100" i="2"/>
  <c r="AA99" i="2"/>
  <c r="Y99" i="2"/>
  <c r="U99" i="2"/>
  <c r="T99" i="2"/>
  <c r="S99" i="2"/>
  <c r="R99" i="2"/>
  <c r="P99" i="2"/>
  <c r="N99" i="2"/>
  <c r="J99" i="2"/>
  <c r="H99" i="2"/>
  <c r="I99" i="2" s="1"/>
  <c r="D99" i="2"/>
  <c r="C99" i="2"/>
  <c r="AA98" i="2"/>
  <c r="Y98" i="2"/>
  <c r="U98" i="2"/>
  <c r="T98" i="2"/>
  <c r="S98" i="2"/>
  <c r="R98" i="2"/>
  <c r="P98" i="2"/>
  <c r="N98" i="2"/>
  <c r="J98" i="2"/>
  <c r="H98" i="2"/>
  <c r="I98" i="2" s="1"/>
  <c r="D98" i="2"/>
  <c r="C98" i="2"/>
  <c r="AA97" i="2"/>
  <c r="Y97" i="2"/>
  <c r="U97" i="2"/>
  <c r="T97" i="2"/>
  <c r="S97" i="2"/>
  <c r="R97" i="2"/>
  <c r="P97" i="2"/>
  <c r="N97" i="2"/>
  <c r="J97" i="2"/>
  <c r="H97" i="2"/>
  <c r="I97" i="2" s="1"/>
  <c r="D97" i="2"/>
  <c r="C97" i="2"/>
  <c r="AA96" i="2"/>
  <c r="Y96" i="2"/>
  <c r="U96" i="2"/>
  <c r="T96" i="2"/>
  <c r="S96" i="2"/>
  <c r="R96" i="2"/>
  <c r="P96" i="2"/>
  <c r="N96" i="2"/>
  <c r="J96" i="2"/>
  <c r="H96" i="2"/>
  <c r="I96" i="2" s="1"/>
  <c r="D96" i="2"/>
  <c r="C96" i="2"/>
  <c r="AA95" i="2"/>
  <c r="Y95" i="2"/>
  <c r="U95" i="2"/>
  <c r="T95" i="2"/>
  <c r="S95" i="2"/>
  <c r="R95" i="2"/>
  <c r="P95" i="2"/>
  <c r="N95" i="2"/>
  <c r="J95" i="2"/>
  <c r="H95" i="2"/>
  <c r="I95" i="2" s="1"/>
  <c r="D95" i="2"/>
  <c r="C95" i="2"/>
  <c r="AA94" i="2"/>
  <c r="Y94" i="2"/>
  <c r="U94" i="2"/>
  <c r="T94" i="2"/>
  <c r="S94" i="2"/>
  <c r="R94" i="2"/>
  <c r="P94" i="2"/>
  <c r="N94" i="2"/>
  <c r="J94" i="2"/>
  <c r="H94" i="2"/>
  <c r="I94" i="2" s="1"/>
  <c r="D94" i="2"/>
  <c r="C94" i="2"/>
  <c r="AA93" i="2"/>
  <c r="Y93" i="2"/>
  <c r="U93" i="2"/>
  <c r="T93" i="2"/>
  <c r="V93" i="2" s="1"/>
  <c r="S93" i="2"/>
  <c r="R93" i="2"/>
  <c r="P93" i="2"/>
  <c r="N93" i="2"/>
  <c r="J93" i="2"/>
  <c r="H93" i="2"/>
  <c r="I93" i="2" s="1"/>
  <c r="D93" i="2"/>
  <c r="C93" i="2"/>
  <c r="AA92" i="2"/>
  <c r="Y92" i="2"/>
  <c r="U92" i="2"/>
  <c r="T92" i="2"/>
  <c r="S92" i="2"/>
  <c r="R92" i="2"/>
  <c r="P92" i="2"/>
  <c r="N92" i="2"/>
  <c r="J92" i="2"/>
  <c r="H92" i="2"/>
  <c r="I92" i="2" s="1"/>
  <c r="D92" i="2"/>
  <c r="C92" i="2"/>
  <c r="AA91" i="2"/>
  <c r="Y91" i="2"/>
  <c r="U91" i="2"/>
  <c r="T91" i="2"/>
  <c r="S91" i="2"/>
  <c r="R91" i="2"/>
  <c r="P91" i="2"/>
  <c r="N91" i="2"/>
  <c r="J91" i="2"/>
  <c r="H91" i="2"/>
  <c r="I91" i="2" s="1"/>
  <c r="D91" i="2"/>
  <c r="C91" i="2"/>
  <c r="AA90" i="2"/>
  <c r="Y90" i="2"/>
  <c r="U90" i="2"/>
  <c r="T90" i="2"/>
  <c r="S90" i="2"/>
  <c r="R90" i="2"/>
  <c r="P90" i="2"/>
  <c r="N90" i="2"/>
  <c r="J90" i="2"/>
  <c r="H90" i="2"/>
  <c r="I90" i="2" s="1"/>
  <c r="D90" i="2"/>
  <c r="C90" i="2"/>
  <c r="AA89" i="2"/>
  <c r="Y89" i="2"/>
  <c r="U89" i="2"/>
  <c r="T89" i="2"/>
  <c r="S89" i="2"/>
  <c r="R89" i="2"/>
  <c r="P89" i="2"/>
  <c r="N89" i="2"/>
  <c r="J89" i="2"/>
  <c r="H89" i="2"/>
  <c r="I89" i="2" s="1"/>
  <c r="D89" i="2"/>
  <c r="C89" i="2"/>
  <c r="AA88" i="2"/>
  <c r="Y88" i="2"/>
  <c r="U88" i="2"/>
  <c r="T88" i="2"/>
  <c r="S88" i="2"/>
  <c r="R88" i="2"/>
  <c r="P88" i="2"/>
  <c r="N88" i="2"/>
  <c r="J88" i="2"/>
  <c r="H88" i="2"/>
  <c r="I88" i="2" s="1"/>
  <c r="D88" i="2"/>
  <c r="C88" i="2"/>
  <c r="AA87" i="2"/>
  <c r="Y87" i="2"/>
  <c r="U87" i="2"/>
  <c r="T87" i="2"/>
  <c r="S87" i="2"/>
  <c r="R87" i="2"/>
  <c r="P87" i="2"/>
  <c r="N87" i="2"/>
  <c r="J87" i="2"/>
  <c r="H87" i="2"/>
  <c r="I87" i="2" s="1"/>
  <c r="D87" i="2"/>
  <c r="C87" i="2"/>
  <c r="AA86" i="2"/>
  <c r="Y86" i="2"/>
  <c r="U86" i="2"/>
  <c r="T86" i="2"/>
  <c r="S86" i="2"/>
  <c r="R86" i="2"/>
  <c r="P86" i="2"/>
  <c r="N86" i="2"/>
  <c r="J86" i="2"/>
  <c r="H86" i="2"/>
  <c r="I86" i="2" s="1"/>
  <c r="D86" i="2"/>
  <c r="C86" i="2"/>
  <c r="AA85" i="2"/>
  <c r="Y85" i="2"/>
  <c r="U85" i="2"/>
  <c r="T85" i="2"/>
  <c r="S85" i="2"/>
  <c r="R85" i="2"/>
  <c r="P85" i="2"/>
  <c r="N85" i="2"/>
  <c r="J85" i="2"/>
  <c r="H85" i="2"/>
  <c r="I85" i="2" s="1"/>
  <c r="D85" i="2"/>
  <c r="C85" i="2"/>
  <c r="AA84" i="2"/>
  <c r="Y84" i="2"/>
  <c r="U84" i="2"/>
  <c r="T84" i="2"/>
  <c r="S84" i="2"/>
  <c r="R84" i="2"/>
  <c r="P84" i="2"/>
  <c r="N84" i="2"/>
  <c r="J84" i="2"/>
  <c r="H84" i="2"/>
  <c r="I84" i="2" s="1"/>
  <c r="D84" i="2"/>
  <c r="C84" i="2"/>
  <c r="AA83" i="2"/>
  <c r="Y83" i="2"/>
  <c r="U83" i="2"/>
  <c r="T83" i="2"/>
  <c r="S83" i="2"/>
  <c r="R83" i="2"/>
  <c r="P83" i="2"/>
  <c r="N83" i="2"/>
  <c r="J83" i="2"/>
  <c r="H83" i="2"/>
  <c r="I83" i="2" s="1"/>
  <c r="D83" i="2"/>
  <c r="C83" i="2"/>
  <c r="AA82" i="2"/>
  <c r="Y82" i="2"/>
  <c r="U82" i="2"/>
  <c r="T82" i="2"/>
  <c r="S82" i="2"/>
  <c r="R82" i="2"/>
  <c r="P82" i="2"/>
  <c r="N82" i="2"/>
  <c r="J82" i="2"/>
  <c r="H82" i="2"/>
  <c r="I82" i="2" s="1"/>
  <c r="D82" i="2"/>
  <c r="C82" i="2"/>
  <c r="AA81" i="2"/>
  <c r="Y81" i="2"/>
  <c r="U81" i="2"/>
  <c r="T81" i="2"/>
  <c r="S81" i="2"/>
  <c r="R81" i="2"/>
  <c r="P81" i="2"/>
  <c r="N81" i="2"/>
  <c r="J81" i="2"/>
  <c r="H81" i="2"/>
  <c r="I81" i="2" s="1"/>
  <c r="D81" i="2"/>
  <c r="C81" i="2"/>
  <c r="AA80" i="2"/>
  <c r="Y80" i="2"/>
  <c r="U80" i="2"/>
  <c r="T80" i="2"/>
  <c r="V80" i="2" s="1"/>
  <c r="S80" i="2"/>
  <c r="R80" i="2"/>
  <c r="P80" i="2"/>
  <c r="N80" i="2"/>
  <c r="J80" i="2"/>
  <c r="H80" i="2"/>
  <c r="I80" i="2" s="1"/>
  <c r="D80" i="2"/>
  <c r="C80" i="2"/>
  <c r="AA79" i="2"/>
  <c r="Y79" i="2"/>
  <c r="U79" i="2"/>
  <c r="T79" i="2"/>
  <c r="S79" i="2"/>
  <c r="R79" i="2"/>
  <c r="P79" i="2"/>
  <c r="N79" i="2"/>
  <c r="J79" i="2"/>
  <c r="H79" i="2"/>
  <c r="I79" i="2" s="1"/>
  <c r="D79" i="2"/>
  <c r="C79" i="2"/>
  <c r="AA78" i="2"/>
  <c r="Y78" i="2"/>
  <c r="U78" i="2"/>
  <c r="T78" i="2"/>
  <c r="S78" i="2"/>
  <c r="R78" i="2"/>
  <c r="P78" i="2"/>
  <c r="N78" i="2"/>
  <c r="J78" i="2"/>
  <c r="H78" i="2"/>
  <c r="I78" i="2" s="1"/>
  <c r="D78" i="2"/>
  <c r="C78" i="2"/>
  <c r="AA77" i="2"/>
  <c r="Y77" i="2"/>
  <c r="U77" i="2"/>
  <c r="T77" i="2"/>
  <c r="S77" i="2"/>
  <c r="R77" i="2"/>
  <c r="P77" i="2"/>
  <c r="N77" i="2"/>
  <c r="J77" i="2"/>
  <c r="H77" i="2"/>
  <c r="I77" i="2" s="1"/>
  <c r="D77" i="2"/>
  <c r="C77" i="2"/>
  <c r="AA76" i="2"/>
  <c r="Y76" i="2"/>
  <c r="U76" i="2"/>
  <c r="T76" i="2"/>
  <c r="S76" i="2"/>
  <c r="R76" i="2"/>
  <c r="P76" i="2"/>
  <c r="N76" i="2"/>
  <c r="J76" i="2"/>
  <c r="H76" i="2"/>
  <c r="I76" i="2" s="1"/>
  <c r="D76" i="2"/>
  <c r="C76" i="2"/>
  <c r="AA75" i="2"/>
  <c r="Y75" i="2"/>
  <c r="U75" i="2"/>
  <c r="T75" i="2"/>
  <c r="S75" i="2"/>
  <c r="R75" i="2"/>
  <c r="P75" i="2"/>
  <c r="N75" i="2"/>
  <c r="J75" i="2"/>
  <c r="H75" i="2"/>
  <c r="I75" i="2" s="1"/>
  <c r="D75" i="2"/>
  <c r="C75" i="2"/>
  <c r="AA74" i="2"/>
  <c r="Y74" i="2"/>
  <c r="U74" i="2"/>
  <c r="T74" i="2"/>
  <c r="S74" i="2"/>
  <c r="R74" i="2"/>
  <c r="P74" i="2"/>
  <c r="N74" i="2"/>
  <c r="J74" i="2"/>
  <c r="H74" i="2"/>
  <c r="I74" i="2" s="1"/>
  <c r="D74" i="2"/>
  <c r="C74" i="2"/>
  <c r="AA73" i="2"/>
  <c r="Y73" i="2"/>
  <c r="U73" i="2"/>
  <c r="T73" i="2"/>
  <c r="S73" i="2"/>
  <c r="R73" i="2"/>
  <c r="P73" i="2"/>
  <c r="N73" i="2"/>
  <c r="J73" i="2"/>
  <c r="H73" i="2"/>
  <c r="I73" i="2" s="1"/>
  <c r="D73" i="2"/>
  <c r="C73" i="2"/>
  <c r="AA72" i="2"/>
  <c r="Y72" i="2"/>
  <c r="U72" i="2"/>
  <c r="T72" i="2"/>
  <c r="S72" i="2"/>
  <c r="R72" i="2"/>
  <c r="P72" i="2"/>
  <c r="N72" i="2"/>
  <c r="J72" i="2"/>
  <c r="H72" i="2"/>
  <c r="I72" i="2" s="1"/>
  <c r="D72" i="2"/>
  <c r="C72" i="2"/>
  <c r="AA71" i="2"/>
  <c r="Y71" i="2"/>
  <c r="U71" i="2"/>
  <c r="T71" i="2"/>
  <c r="S71" i="2"/>
  <c r="R71" i="2"/>
  <c r="P71" i="2"/>
  <c r="N71" i="2"/>
  <c r="J71" i="2"/>
  <c r="H71" i="2"/>
  <c r="I71" i="2" s="1"/>
  <c r="D71" i="2"/>
  <c r="C71" i="2"/>
  <c r="AA70" i="2"/>
  <c r="Y70" i="2"/>
  <c r="U70" i="2"/>
  <c r="T70" i="2"/>
  <c r="S70" i="2"/>
  <c r="R70" i="2"/>
  <c r="P70" i="2"/>
  <c r="N70" i="2"/>
  <c r="J70" i="2"/>
  <c r="H70" i="2"/>
  <c r="I70" i="2" s="1"/>
  <c r="D70" i="2"/>
  <c r="C70" i="2"/>
  <c r="AA69" i="2"/>
  <c r="Y69" i="2"/>
  <c r="U69" i="2"/>
  <c r="T69" i="2"/>
  <c r="S69" i="2"/>
  <c r="R69" i="2"/>
  <c r="P69" i="2"/>
  <c r="N69" i="2"/>
  <c r="J69" i="2"/>
  <c r="H69" i="2"/>
  <c r="I69" i="2" s="1"/>
  <c r="D69" i="2"/>
  <c r="C69" i="2"/>
  <c r="AA68" i="2"/>
  <c r="Y68" i="2"/>
  <c r="U68" i="2"/>
  <c r="T68" i="2"/>
  <c r="S68" i="2"/>
  <c r="R68" i="2"/>
  <c r="P68" i="2"/>
  <c r="N68" i="2"/>
  <c r="J68" i="2"/>
  <c r="H68" i="2"/>
  <c r="I68" i="2" s="1"/>
  <c r="D68" i="2"/>
  <c r="C68" i="2"/>
  <c r="AA67" i="2"/>
  <c r="Y67" i="2"/>
  <c r="U67" i="2"/>
  <c r="T67" i="2"/>
  <c r="S67" i="2"/>
  <c r="R67" i="2"/>
  <c r="P67" i="2"/>
  <c r="N67" i="2"/>
  <c r="J67" i="2"/>
  <c r="V67" i="2" s="1"/>
  <c r="H67" i="2"/>
  <c r="I67" i="2" s="1"/>
  <c r="D67" i="2"/>
  <c r="C67" i="2"/>
  <c r="AA66" i="2"/>
  <c r="Y66" i="2"/>
  <c r="U66" i="2"/>
  <c r="T66" i="2"/>
  <c r="S66" i="2"/>
  <c r="R66" i="2"/>
  <c r="P66" i="2"/>
  <c r="N66" i="2"/>
  <c r="J66" i="2"/>
  <c r="H66" i="2"/>
  <c r="I66" i="2" s="1"/>
  <c r="D66" i="2"/>
  <c r="C66" i="2"/>
  <c r="AA65" i="2"/>
  <c r="Y65" i="2"/>
  <c r="U65" i="2"/>
  <c r="T65" i="2"/>
  <c r="S65" i="2"/>
  <c r="R65" i="2"/>
  <c r="P65" i="2"/>
  <c r="N65" i="2"/>
  <c r="J65" i="2"/>
  <c r="H65" i="2"/>
  <c r="I65" i="2" s="1"/>
  <c r="D65" i="2"/>
  <c r="C65" i="2"/>
  <c r="AA64" i="2"/>
  <c r="Y64" i="2"/>
  <c r="U64" i="2"/>
  <c r="T64" i="2"/>
  <c r="S64" i="2"/>
  <c r="R64" i="2"/>
  <c r="P64" i="2"/>
  <c r="N64" i="2"/>
  <c r="J64" i="2"/>
  <c r="V64" i="2" s="1"/>
  <c r="H64" i="2"/>
  <c r="I64" i="2" s="1"/>
  <c r="D64" i="2"/>
  <c r="C64" i="2"/>
  <c r="AA63" i="2"/>
  <c r="Y63" i="2"/>
  <c r="U63" i="2"/>
  <c r="T63" i="2"/>
  <c r="S63" i="2"/>
  <c r="R63" i="2"/>
  <c r="P63" i="2"/>
  <c r="N63" i="2"/>
  <c r="J63" i="2"/>
  <c r="H63" i="2"/>
  <c r="I63" i="2" s="1"/>
  <c r="D63" i="2"/>
  <c r="C63" i="2"/>
  <c r="AA62" i="2"/>
  <c r="Y62" i="2"/>
  <c r="U62" i="2"/>
  <c r="T62" i="2"/>
  <c r="S62" i="2"/>
  <c r="R62" i="2"/>
  <c r="P62" i="2"/>
  <c r="N62" i="2"/>
  <c r="J62" i="2"/>
  <c r="H62" i="2"/>
  <c r="I62" i="2" s="1"/>
  <c r="D62" i="2"/>
  <c r="C62" i="2"/>
  <c r="AA61" i="2"/>
  <c r="Y61" i="2"/>
  <c r="U61" i="2"/>
  <c r="T61" i="2"/>
  <c r="S61" i="2"/>
  <c r="R61" i="2"/>
  <c r="P61" i="2"/>
  <c r="N61" i="2"/>
  <c r="J61" i="2"/>
  <c r="V61" i="2" s="1"/>
  <c r="H61" i="2"/>
  <c r="I61" i="2" s="1"/>
  <c r="D61" i="2"/>
  <c r="C61" i="2"/>
  <c r="AA60" i="2"/>
  <c r="Y60" i="2"/>
  <c r="U60" i="2"/>
  <c r="T60" i="2"/>
  <c r="V60" i="2" s="1"/>
  <c r="S60" i="2"/>
  <c r="R60" i="2"/>
  <c r="P60" i="2"/>
  <c r="N60" i="2"/>
  <c r="J60" i="2"/>
  <c r="H60" i="2"/>
  <c r="I60" i="2" s="1"/>
  <c r="D60" i="2"/>
  <c r="C60" i="2"/>
  <c r="AA59" i="2"/>
  <c r="Y59" i="2"/>
  <c r="U59" i="2"/>
  <c r="T59" i="2"/>
  <c r="S59" i="2"/>
  <c r="R59" i="2"/>
  <c r="P59" i="2"/>
  <c r="N59" i="2"/>
  <c r="J59" i="2"/>
  <c r="H59" i="2"/>
  <c r="I59" i="2" s="1"/>
  <c r="D59" i="2"/>
  <c r="C59" i="2"/>
  <c r="AA58" i="2"/>
  <c r="Y58" i="2"/>
  <c r="U58" i="2"/>
  <c r="T58" i="2"/>
  <c r="S58" i="2"/>
  <c r="R58" i="2"/>
  <c r="P58" i="2"/>
  <c r="N58" i="2"/>
  <c r="J58" i="2"/>
  <c r="H58" i="2"/>
  <c r="I58" i="2" s="1"/>
  <c r="D58" i="2"/>
  <c r="C58" i="2"/>
  <c r="AA57" i="2"/>
  <c r="Y57" i="2"/>
  <c r="U57" i="2"/>
  <c r="T57" i="2"/>
  <c r="S57" i="2"/>
  <c r="R57" i="2"/>
  <c r="P57" i="2"/>
  <c r="N57" i="2"/>
  <c r="J57" i="2"/>
  <c r="H57" i="2"/>
  <c r="I57" i="2" s="1"/>
  <c r="D57" i="2"/>
  <c r="C57" i="2"/>
  <c r="AA56" i="2"/>
  <c r="Y56" i="2"/>
  <c r="U56" i="2"/>
  <c r="T56" i="2"/>
  <c r="S56" i="2"/>
  <c r="R56" i="2"/>
  <c r="P56" i="2"/>
  <c r="N56" i="2"/>
  <c r="J56" i="2"/>
  <c r="H56" i="2"/>
  <c r="I56" i="2" s="1"/>
  <c r="D56" i="2"/>
  <c r="C56" i="2"/>
  <c r="AA55" i="2"/>
  <c r="Y55" i="2"/>
  <c r="U55" i="2"/>
  <c r="T55" i="2"/>
  <c r="S55" i="2"/>
  <c r="R55" i="2"/>
  <c r="P55" i="2"/>
  <c r="N55" i="2"/>
  <c r="J55" i="2"/>
  <c r="H55" i="2"/>
  <c r="I55" i="2" s="1"/>
  <c r="D55" i="2"/>
  <c r="C55" i="2"/>
  <c r="AA54" i="2"/>
  <c r="Y54" i="2"/>
  <c r="U54" i="2"/>
  <c r="T54" i="2"/>
  <c r="S54" i="2"/>
  <c r="R54" i="2"/>
  <c r="P54" i="2"/>
  <c r="N54" i="2"/>
  <c r="J54" i="2"/>
  <c r="H54" i="2"/>
  <c r="I54" i="2" s="1"/>
  <c r="D54" i="2"/>
  <c r="C54" i="2"/>
  <c r="AA53" i="2"/>
  <c r="Y53" i="2"/>
  <c r="U53" i="2"/>
  <c r="T53" i="2"/>
  <c r="S53" i="2"/>
  <c r="R53" i="2"/>
  <c r="P53" i="2"/>
  <c r="N53" i="2"/>
  <c r="J53" i="2"/>
  <c r="H53" i="2"/>
  <c r="I53" i="2" s="1"/>
  <c r="D53" i="2"/>
  <c r="C53" i="2"/>
  <c r="AA52" i="2"/>
  <c r="Y52" i="2"/>
  <c r="U52" i="2"/>
  <c r="T52" i="2"/>
  <c r="S52" i="2"/>
  <c r="R52" i="2"/>
  <c r="P52" i="2"/>
  <c r="N52" i="2"/>
  <c r="J52" i="2"/>
  <c r="H52" i="2"/>
  <c r="I52" i="2" s="1"/>
  <c r="D52" i="2"/>
  <c r="C52" i="2"/>
  <c r="AA51" i="2"/>
  <c r="Y51" i="2"/>
  <c r="U51" i="2"/>
  <c r="T51" i="2"/>
  <c r="S51" i="2"/>
  <c r="R51" i="2"/>
  <c r="P51" i="2"/>
  <c r="N51" i="2"/>
  <c r="J51" i="2"/>
  <c r="H51" i="2"/>
  <c r="I51" i="2" s="1"/>
  <c r="D51" i="2"/>
  <c r="C51" i="2"/>
  <c r="AA50" i="2"/>
  <c r="Y50" i="2"/>
  <c r="U50" i="2"/>
  <c r="T50" i="2"/>
  <c r="S50" i="2"/>
  <c r="R50" i="2"/>
  <c r="P50" i="2"/>
  <c r="N50" i="2"/>
  <c r="J50" i="2"/>
  <c r="H50" i="2"/>
  <c r="I50" i="2" s="1"/>
  <c r="D50" i="2"/>
  <c r="C50" i="2"/>
  <c r="AA49" i="2"/>
  <c r="Y49" i="2"/>
  <c r="U49" i="2"/>
  <c r="T49" i="2"/>
  <c r="S49" i="2"/>
  <c r="R49" i="2"/>
  <c r="P49" i="2"/>
  <c r="N49" i="2"/>
  <c r="J49" i="2"/>
  <c r="H49" i="2"/>
  <c r="I49" i="2" s="1"/>
  <c r="D49" i="2"/>
  <c r="C49" i="2"/>
  <c r="AA48" i="2"/>
  <c r="Y48" i="2"/>
  <c r="U48" i="2"/>
  <c r="T48" i="2"/>
  <c r="S48" i="2"/>
  <c r="R48" i="2"/>
  <c r="P48" i="2"/>
  <c r="N48" i="2"/>
  <c r="J48" i="2"/>
  <c r="H48" i="2"/>
  <c r="I48" i="2" s="1"/>
  <c r="D48" i="2"/>
  <c r="C48" i="2"/>
  <c r="AA47" i="2"/>
  <c r="Y47" i="2"/>
  <c r="U47" i="2"/>
  <c r="T47" i="2"/>
  <c r="S47" i="2"/>
  <c r="R47" i="2"/>
  <c r="P47" i="2"/>
  <c r="N47" i="2"/>
  <c r="J47" i="2"/>
  <c r="V47" i="2" s="1"/>
  <c r="H47" i="2"/>
  <c r="I47" i="2" s="1"/>
  <c r="D47" i="2"/>
  <c r="C47" i="2"/>
  <c r="AA46" i="2"/>
  <c r="Y46" i="2"/>
  <c r="U46" i="2"/>
  <c r="T46" i="2"/>
  <c r="S46" i="2"/>
  <c r="R46" i="2"/>
  <c r="P46" i="2"/>
  <c r="N46" i="2"/>
  <c r="J46" i="2"/>
  <c r="H46" i="2"/>
  <c r="I46" i="2" s="1"/>
  <c r="D46" i="2"/>
  <c r="C46" i="2"/>
  <c r="AA45" i="2"/>
  <c r="Y45" i="2"/>
  <c r="U45" i="2"/>
  <c r="T45" i="2"/>
  <c r="S45" i="2"/>
  <c r="R45" i="2"/>
  <c r="P45" i="2"/>
  <c r="N45" i="2"/>
  <c r="J45" i="2"/>
  <c r="H45" i="2"/>
  <c r="I45" i="2" s="1"/>
  <c r="D45" i="2"/>
  <c r="C45" i="2"/>
  <c r="AA44" i="2"/>
  <c r="Y44" i="2"/>
  <c r="U44" i="2"/>
  <c r="T44" i="2"/>
  <c r="S44" i="2"/>
  <c r="R44" i="2"/>
  <c r="P44" i="2"/>
  <c r="N44" i="2"/>
  <c r="J44" i="2"/>
  <c r="V44" i="2" s="1"/>
  <c r="H44" i="2"/>
  <c r="I44" i="2" s="1"/>
  <c r="D44" i="2"/>
  <c r="C44" i="2"/>
  <c r="AA43" i="2"/>
  <c r="Y43" i="2"/>
  <c r="U43" i="2"/>
  <c r="T43" i="2"/>
  <c r="S43" i="2"/>
  <c r="R43" i="2"/>
  <c r="P43" i="2"/>
  <c r="N43" i="2"/>
  <c r="J43" i="2"/>
  <c r="H43" i="2"/>
  <c r="I43" i="2" s="1"/>
  <c r="D43" i="2"/>
  <c r="C43" i="2"/>
  <c r="AA42" i="2"/>
  <c r="Y42" i="2"/>
  <c r="U42" i="2"/>
  <c r="T42" i="2"/>
  <c r="S42" i="2"/>
  <c r="R42" i="2"/>
  <c r="P42" i="2"/>
  <c r="N42" i="2"/>
  <c r="J42" i="2"/>
  <c r="H42" i="2"/>
  <c r="I42" i="2" s="1"/>
  <c r="D42" i="2"/>
  <c r="C42" i="2"/>
  <c r="AA41" i="2"/>
  <c r="Y41" i="2"/>
  <c r="U41" i="2"/>
  <c r="T41" i="2"/>
  <c r="S41" i="2"/>
  <c r="R41" i="2"/>
  <c r="P41" i="2"/>
  <c r="N41" i="2"/>
  <c r="J41" i="2"/>
  <c r="V41" i="2" s="1"/>
  <c r="H41" i="2"/>
  <c r="I41" i="2" s="1"/>
  <c r="D41" i="2"/>
  <c r="C41" i="2"/>
  <c r="AA40" i="2"/>
  <c r="Y40" i="2"/>
  <c r="U40" i="2"/>
  <c r="T40" i="2"/>
  <c r="V40" i="2" s="1"/>
  <c r="S40" i="2"/>
  <c r="R40" i="2"/>
  <c r="P40" i="2"/>
  <c r="N40" i="2"/>
  <c r="J40" i="2"/>
  <c r="H40" i="2"/>
  <c r="I40" i="2" s="1"/>
  <c r="D40" i="2"/>
  <c r="C40" i="2"/>
  <c r="AA39" i="2"/>
  <c r="Y39" i="2"/>
  <c r="U39" i="2"/>
  <c r="T39" i="2"/>
  <c r="S39" i="2"/>
  <c r="R39" i="2"/>
  <c r="P39" i="2"/>
  <c r="N39" i="2"/>
  <c r="J39" i="2"/>
  <c r="H39" i="2"/>
  <c r="I39" i="2" s="1"/>
  <c r="D39" i="2"/>
  <c r="C39" i="2"/>
  <c r="AA38" i="2"/>
  <c r="Y38" i="2"/>
  <c r="U38" i="2"/>
  <c r="T38" i="2"/>
  <c r="S38" i="2"/>
  <c r="R38" i="2"/>
  <c r="P38" i="2"/>
  <c r="N38" i="2"/>
  <c r="J38" i="2"/>
  <c r="H38" i="2"/>
  <c r="I38" i="2" s="1"/>
  <c r="D38" i="2"/>
  <c r="C38" i="2"/>
  <c r="AA37" i="2"/>
  <c r="Y37" i="2"/>
  <c r="U37" i="2"/>
  <c r="T37" i="2"/>
  <c r="S37" i="2"/>
  <c r="R37" i="2"/>
  <c r="P37" i="2"/>
  <c r="N37" i="2"/>
  <c r="J37" i="2"/>
  <c r="H37" i="2"/>
  <c r="I37" i="2" s="1"/>
  <c r="D37" i="2"/>
  <c r="C37" i="2"/>
  <c r="AA36" i="2"/>
  <c r="Y36" i="2"/>
  <c r="U36" i="2"/>
  <c r="T36" i="2"/>
  <c r="S36" i="2"/>
  <c r="R36" i="2"/>
  <c r="P36" i="2"/>
  <c r="N36" i="2"/>
  <c r="J36" i="2"/>
  <c r="H36" i="2"/>
  <c r="I36" i="2" s="1"/>
  <c r="D36" i="2"/>
  <c r="C36" i="2"/>
  <c r="AA35" i="2"/>
  <c r="Y35" i="2"/>
  <c r="U35" i="2"/>
  <c r="T35" i="2"/>
  <c r="S35" i="2"/>
  <c r="R35" i="2"/>
  <c r="P35" i="2"/>
  <c r="N35" i="2"/>
  <c r="J35" i="2"/>
  <c r="H35" i="2"/>
  <c r="I35" i="2" s="1"/>
  <c r="D35" i="2"/>
  <c r="C35" i="2"/>
  <c r="AA34" i="2"/>
  <c r="Y34" i="2"/>
  <c r="U34" i="2"/>
  <c r="T34" i="2"/>
  <c r="S34" i="2"/>
  <c r="R34" i="2"/>
  <c r="P34" i="2"/>
  <c r="N34" i="2"/>
  <c r="J34" i="2"/>
  <c r="H34" i="2"/>
  <c r="I34" i="2" s="1"/>
  <c r="D34" i="2"/>
  <c r="C34" i="2"/>
  <c r="AA33" i="2"/>
  <c r="Y33" i="2"/>
  <c r="U33" i="2"/>
  <c r="T33" i="2"/>
  <c r="S33" i="2"/>
  <c r="R33" i="2"/>
  <c r="P33" i="2"/>
  <c r="N33" i="2"/>
  <c r="J33" i="2"/>
  <c r="H33" i="2"/>
  <c r="I33" i="2" s="1"/>
  <c r="D33" i="2"/>
  <c r="C33" i="2"/>
  <c r="AA32" i="2"/>
  <c r="Y32" i="2"/>
  <c r="U32" i="2"/>
  <c r="T32" i="2"/>
  <c r="S32" i="2"/>
  <c r="R32" i="2"/>
  <c r="P32" i="2"/>
  <c r="N32" i="2"/>
  <c r="J32" i="2"/>
  <c r="V32" i="2" s="1"/>
  <c r="H32" i="2"/>
  <c r="I32" i="2" s="1"/>
  <c r="D32" i="2"/>
  <c r="C32" i="2"/>
  <c r="AA31" i="2"/>
  <c r="Y31" i="2"/>
  <c r="U31" i="2"/>
  <c r="T31" i="2"/>
  <c r="S31" i="2"/>
  <c r="R31" i="2"/>
  <c r="P31" i="2"/>
  <c r="N31" i="2"/>
  <c r="J31" i="2"/>
  <c r="H31" i="2"/>
  <c r="I31" i="2" s="1"/>
  <c r="D31" i="2"/>
  <c r="C31" i="2"/>
  <c r="AA30" i="2"/>
  <c r="Y30" i="2"/>
  <c r="U30" i="2"/>
  <c r="T30" i="2"/>
  <c r="S30" i="2"/>
  <c r="R30" i="2"/>
  <c r="P30" i="2"/>
  <c r="N30" i="2"/>
  <c r="J30" i="2"/>
  <c r="H30" i="2"/>
  <c r="I30" i="2" s="1"/>
  <c r="D30" i="2"/>
  <c r="C30" i="2"/>
  <c r="AA29" i="2"/>
  <c r="Y29" i="2"/>
  <c r="U29" i="2"/>
  <c r="T29" i="2"/>
  <c r="S29" i="2"/>
  <c r="R29" i="2"/>
  <c r="P29" i="2"/>
  <c r="N29" i="2"/>
  <c r="J29" i="2"/>
  <c r="H29" i="2"/>
  <c r="I29" i="2" s="1"/>
  <c r="D29" i="2"/>
  <c r="C29" i="2"/>
  <c r="AA28" i="2"/>
  <c r="Y28" i="2"/>
  <c r="U28" i="2"/>
  <c r="T28" i="2"/>
  <c r="S28" i="2"/>
  <c r="R28" i="2"/>
  <c r="P28" i="2"/>
  <c r="N28" i="2"/>
  <c r="J28" i="2"/>
  <c r="H28" i="2"/>
  <c r="I28" i="2" s="1"/>
  <c r="D28" i="2"/>
  <c r="C28" i="2"/>
  <c r="S27" i="2"/>
  <c r="P27" i="2"/>
  <c r="N27" i="2"/>
  <c r="H27" i="2"/>
  <c r="I27" i="2" s="1"/>
  <c r="J27" i="2" s="1"/>
  <c r="D27" i="2"/>
  <c r="C27" i="2"/>
  <c r="S26" i="2"/>
  <c r="P26" i="2"/>
  <c r="N26" i="2"/>
  <c r="R26" i="2" s="1"/>
  <c r="T26" i="2" s="1"/>
  <c r="H26" i="2"/>
  <c r="I26" i="2" s="1"/>
  <c r="J26" i="2" s="1"/>
  <c r="D26" i="2"/>
  <c r="C26" i="2"/>
  <c r="S25" i="2"/>
  <c r="P25" i="2"/>
  <c r="N25" i="2"/>
  <c r="R25" i="2" s="1"/>
  <c r="T25" i="2" s="1"/>
  <c r="H25" i="2"/>
  <c r="I25" i="2" s="1"/>
  <c r="J25" i="2" s="1"/>
  <c r="D25" i="2"/>
  <c r="C25" i="2"/>
  <c r="S24" i="2"/>
  <c r="P24" i="2"/>
  <c r="N24" i="2"/>
  <c r="R24" i="2" s="1"/>
  <c r="T24" i="2" s="1"/>
  <c r="H24" i="2"/>
  <c r="I24" i="2" s="1"/>
  <c r="J24" i="2" s="1"/>
  <c r="D24" i="2"/>
  <c r="C24" i="2"/>
  <c r="S23" i="2"/>
  <c r="P23" i="2"/>
  <c r="N23" i="2"/>
  <c r="R23" i="2" s="1"/>
  <c r="H13" i="4" s="1"/>
  <c r="H23" i="2"/>
  <c r="I23" i="2" s="1"/>
  <c r="J23" i="2" s="1"/>
  <c r="D23" i="2"/>
  <c r="C23" i="2"/>
  <c r="S22" i="2"/>
  <c r="P22" i="2"/>
  <c r="N22" i="2"/>
  <c r="H22" i="2"/>
  <c r="I22" i="2" s="1"/>
  <c r="J22" i="2" s="1"/>
  <c r="D22" i="2"/>
  <c r="C22" i="2"/>
  <c r="S21" i="2"/>
  <c r="P21" i="2"/>
  <c r="N21" i="2"/>
  <c r="R21" i="2" s="1"/>
  <c r="H7" i="4" s="1"/>
  <c r="H21" i="2"/>
  <c r="I21" i="2" s="1"/>
  <c r="J21" i="2" s="1"/>
  <c r="D21" i="2"/>
  <c r="C21" i="2"/>
  <c r="S20" i="2"/>
  <c r="P20" i="2"/>
  <c r="N20" i="2"/>
  <c r="H20" i="2"/>
  <c r="I20" i="2" s="1"/>
  <c r="J20" i="2" s="1"/>
  <c r="D20" i="2"/>
  <c r="C20" i="2"/>
  <c r="S19" i="2"/>
  <c r="P19" i="2"/>
  <c r="N19" i="2"/>
  <c r="H19" i="2"/>
  <c r="I19" i="2" s="1"/>
  <c r="J19" i="2" s="1"/>
  <c r="D19" i="2"/>
  <c r="C19" i="2"/>
  <c r="S18" i="2"/>
  <c r="P18" i="2"/>
  <c r="N18" i="2"/>
  <c r="H18" i="2"/>
  <c r="I18" i="2" s="1"/>
  <c r="J18" i="2" s="1"/>
  <c r="D18" i="2"/>
  <c r="C18" i="2"/>
  <c r="S17" i="2"/>
  <c r="P17" i="2"/>
  <c r="N17" i="2"/>
  <c r="H17" i="2"/>
  <c r="I17" i="2" s="1"/>
  <c r="J17" i="2" s="1"/>
  <c r="D17" i="2"/>
  <c r="C17" i="2"/>
  <c r="S16" i="2"/>
  <c r="P16" i="2"/>
  <c r="N16" i="2"/>
  <c r="R16" i="2" s="1"/>
  <c r="H16" i="2"/>
  <c r="I16" i="2" s="1"/>
  <c r="J16" i="2" s="1"/>
  <c r="D16" i="2"/>
  <c r="C16" i="2"/>
  <c r="S15" i="2"/>
  <c r="P15" i="2"/>
  <c r="N15" i="2"/>
  <c r="R15" i="2" s="1"/>
  <c r="H15" i="2"/>
  <c r="I15" i="2" s="1"/>
  <c r="J15" i="2" s="1"/>
  <c r="D15" i="2"/>
  <c r="C15" i="2"/>
  <c r="S14" i="2"/>
  <c r="P14" i="2"/>
  <c r="N14" i="2"/>
  <c r="H14" i="2"/>
  <c r="I14" i="2" s="1"/>
  <c r="J14" i="2" s="1"/>
  <c r="D14" i="2"/>
  <c r="C14" i="2"/>
  <c r="S13" i="2"/>
  <c r="P13" i="2"/>
  <c r="N13" i="2"/>
  <c r="H13" i="2"/>
  <c r="I13" i="2" s="1"/>
  <c r="J13" i="2" s="1"/>
  <c r="D13" i="2"/>
  <c r="C13" i="2"/>
  <c r="S12" i="2"/>
  <c r="P12" i="2"/>
  <c r="N12" i="2"/>
  <c r="H12" i="2"/>
  <c r="I12" i="2" s="1"/>
  <c r="J12" i="2" s="1"/>
  <c r="D12" i="2"/>
  <c r="C12" i="2"/>
  <c r="S11" i="2"/>
  <c r="P11" i="2"/>
  <c r="N11" i="2"/>
  <c r="H11" i="2"/>
  <c r="I11" i="2" s="1"/>
  <c r="J11" i="2" s="1"/>
  <c r="D11" i="2"/>
  <c r="C11" i="2"/>
  <c r="S10" i="2"/>
  <c r="P10" i="2"/>
  <c r="N10" i="2"/>
  <c r="H10" i="2"/>
  <c r="I10" i="2" s="1"/>
  <c r="J10" i="2" s="1"/>
  <c r="D10" i="2"/>
  <c r="C10" i="2"/>
  <c r="S9" i="2"/>
  <c r="P9" i="2"/>
  <c r="N9" i="2"/>
  <c r="H9" i="2"/>
  <c r="I9" i="2" s="1"/>
  <c r="J9" i="2" s="1"/>
  <c r="D9" i="2"/>
  <c r="C9" i="2"/>
  <c r="S8" i="2"/>
  <c r="P8" i="2"/>
  <c r="N8" i="2"/>
  <c r="H8" i="2"/>
  <c r="I8" i="2" s="1"/>
  <c r="J8" i="2" s="1"/>
  <c r="D8" i="2"/>
  <c r="C8" i="2"/>
  <c r="B5" i="2"/>
  <c r="F39" i="1"/>
  <c r="E39" i="1"/>
  <c r="D39" i="1"/>
  <c r="C39" i="1"/>
  <c r="F38" i="1"/>
  <c r="E38" i="1"/>
  <c r="D38" i="1"/>
  <c r="C38" i="1"/>
  <c r="F37" i="1"/>
  <c r="E37" i="1"/>
  <c r="D37" i="1"/>
  <c r="C37" i="1"/>
  <c r="F36" i="1"/>
  <c r="E36" i="1"/>
  <c r="D36" i="1"/>
  <c r="C36" i="1"/>
  <c r="F35" i="1"/>
  <c r="E35" i="1"/>
  <c r="D35" i="1"/>
  <c r="C35" i="1"/>
  <c r="F34" i="1"/>
  <c r="E34" i="1"/>
  <c r="D34" i="1"/>
  <c r="C34" i="1"/>
  <c r="F33" i="1"/>
  <c r="E33" i="1"/>
  <c r="D33" i="1"/>
  <c r="C33" i="1"/>
  <c r="F32" i="1"/>
  <c r="E32" i="1"/>
  <c r="D32" i="1"/>
  <c r="C32" i="1"/>
  <c r="E31" i="1"/>
  <c r="D31" i="1"/>
  <c r="E30" i="1"/>
  <c r="D30" i="1"/>
  <c r="E29" i="1"/>
  <c r="D29" i="1"/>
  <c r="E28" i="1"/>
  <c r="D28" i="1"/>
  <c r="B7" i="1"/>
  <c r="R12" i="2" l="1"/>
  <c r="R22" i="2"/>
  <c r="V105" i="2"/>
  <c r="V92" i="2"/>
  <c r="V33" i="2"/>
  <c r="V53" i="2"/>
  <c r="V73" i="2"/>
  <c r="V29" i="2"/>
  <c r="V34" i="2"/>
  <c r="V49" i="2"/>
  <c r="V54" i="2"/>
  <c r="V112" i="2"/>
  <c r="V117" i="2"/>
  <c r="V89" i="2"/>
  <c r="V46" i="2"/>
  <c r="V51" i="2"/>
  <c r="V66" i="2"/>
  <c r="V81" i="2"/>
  <c r="V86" i="2"/>
  <c r="V109" i="2"/>
  <c r="V35" i="2"/>
  <c r="V45" i="2"/>
  <c r="V55" i="2"/>
  <c r="V91" i="2"/>
  <c r="V57" i="2"/>
  <c r="V62" i="2"/>
  <c r="V72" i="2"/>
  <c r="V77" i="2"/>
  <c r="V82" i="2"/>
  <c r="V87" i="2"/>
  <c r="V110" i="2"/>
  <c r="V84" i="2"/>
  <c r="V31" i="2"/>
  <c r="V71" i="2"/>
  <c r="V94" i="2"/>
  <c r="V38" i="2"/>
  <c r="V43" i="2"/>
  <c r="V65" i="2"/>
  <c r="V69" i="2"/>
  <c r="V74" i="2"/>
  <c r="V97" i="2"/>
  <c r="R18" i="2"/>
  <c r="T18" i="2" s="1"/>
  <c r="U18" i="2" s="1"/>
  <c r="V58" i="2"/>
  <c r="V63" i="2"/>
  <c r="V75" i="2"/>
  <c r="V85" i="2"/>
  <c r="V113" i="2"/>
  <c r="V37" i="2"/>
  <c r="V42" i="2"/>
  <c r="V52" i="2"/>
  <c r="V107" i="2"/>
  <c r="V104" i="2"/>
  <c r="V114" i="2"/>
  <c r="V83" i="2"/>
  <c r="V101" i="2"/>
  <c r="V106" i="2"/>
  <c r="V111" i="2"/>
  <c r="V116" i="2"/>
  <c r="R19" i="2"/>
  <c r="T19" i="2" s="1"/>
  <c r="U19" i="2" s="1"/>
  <c r="V88" i="2"/>
  <c r="V39" i="2"/>
  <c r="V59" i="2"/>
  <c r="V36" i="2"/>
  <c r="V56" i="2"/>
  <c r="V79" i="2"/>
  <c r="V108" i="2"/>
  <c r="R10" i="2"/>
  <c r="H5" i="4" s="1"/>
  <c r="R20" i="2"/>
  <c r="T20" i="2" s="1"/>
  <c r="V20" i="2" s="1"/>
  <c r="V76" i="2"/>
  <c r="V68" i="2"/>
  <c r="V70" i="2"/>
  <c r="V99" i="2"/>
  <c r="V30" i="2"/>
  <c r="V50" i="2"/>
  <c r="R17" i="2"/>
  <c r="T17" i="2" s="1"/>
  <c r="V17" i="2" s="1"/>
  <c r="V96" i="2"/>
  <c r="R14" i="2"/>
  <c r="H11" i="4" s="1"/>
  <c r="V90" i="2"/>
  <c r="V119" i="2"/>
  <c r="V120" i="2"/>
  <c r="R13" i="2"/>
  <c r="R11" i="2"/>
  <c r="C29" i="1" s="1"/>
  <c r="V78" i="2"/>
  <c r="V115" i="2"/>
  <c r="V100" i="2"/>
  <c r="V48" i="2"/>
  <c r="R9" i="2"/>
  <c r="T9" i="2" s="1"/>
  <c r="V28" i="2"/>
  <c r="V95" i="2"/>
  <c r="R27" i="2"/>
  <c r="T27" i="2" s="1"/>
  <c r="R8" i="2"/>
  <c r="T8" i="2" s="1"/>
  <c r="V98" i="2"/>
  <c r="H10" i="4"/>
  <c r="T15" i="2"/>
  <c r="H9" i="4"/>
  <c r="T12" i="2"/>
  <c r="Y25" i="2"/>
  <c r="V25" i="2"/>
  <c r="U25" i="2"/>
  <c r="V26" i="2"/>
  <c r="U26" i="2"/>
  <c r="Y26" i="2"/>
  <c r="T13" i="2"/>
  <c r="H8" i="4"/>
  <c r="T16" i="2"/>
  <c r="H12" i="4"/>
  <c r="Y24" i="2"/>
  <c r="V24" i="2"/>
  <c r="U24" i="2"/>
  <c r="Y27" i="2"/>
  <c r="V27" i="2"/>
  <c r="U27" i="2"/>
  <c r="C31" i="1"/>
  <c r="T22" i="2"/>
  <c r="H4" i="4"/>
  <c r="T21" i="2"/>
  <c r="T23" i="2"/>
  <c r="V19" i="2" l="1"/>
  <c r="Y19" i="2"/>
  <c r="C30" i="1"/>
  <c r="T10" i="2"/>
  <c r="H6" i="4"/>
  <c r="H3" i="4"/>
  <c r="T11" i="2"/>
  <c r="Y11" i="2" s="1"/>
  <c r="T14" i="2"/>
  <c r="AA24" i="2"/>
  <c r="C28" i="1"/>
  <c r="V18" i="2"/>
  <c r="Y18" i="2"/>
  <c r="Y17" i="2"/>
  <c r="AA18" i="2"/>
  <c r="AA17" i="2"/>
  <c r="Y20" i="2"/>
  <c r="U20" i="2"/>
  <c r="K11" i="1"/>
  <c r="U17" i="2"/>
  <c r="AA19" i="2"/>
  <c r="AA13" i="2"/>
  <c r="Y13" i="2"/>
  <c r="V13" i="2"/>
  <c r="U13" i="2"/>
  <c r="I8" i="4"/>
  <c r="L8" i="4" s="1"/>
  <c r="Y8" i="2"/>
  <c r="AA8" i="2"/>
  <c r="I3" i="4"/>
  <c r="L3" i="4" s="1"/>
  <c r="V8" i="2"/>
  <c r="U8" i="2"/>
  <c r="F28" i="1"/>
  <c r="AA26" i="2"/>
  <c r="AA23" i="2"/>
  <c r="Y23" i="2"/>
  <c r="I13" i="4"/>
  <c r="L13" i="4" s="1"/>
  <c r="V23" i="2"/>
  <c r="U23" i="2"/>
  <c r="AA21" i="2"/>
  <c r="Y21" i="2"/>
  <c r="V21" i="2"/>
  <c r="U21" i="2"/>
  <c r="F31" i="1"/>
  <c r="I7" i="4"/>
  <c r="L7" i="4" s="1"/>
  <c r="Y22" i="2"/>
  <c r="V22" i="2"/>
  <c r="U22" i="2"/>
  <c r="AA10" i="2"/>
  <c r="V10" i="2"/>
  <c r="I5" i="4"/>
  <c r="L5" i="4" s="1"/>
  <c r="U10" i="2"/>
  <c r="Y10" i="2"/>
  <c r="AA25" i="2"/>
  <c r="U12" i="2"/>
  <c r="I9" i="4"/>
  <c r="L9" i="4" s="1"/>
  <c r="AA12" i="2"/>
  <c r="Y12" i="2"/>
  <c r="V12" i="2"/>
  <c r="I6" i="4"/>
  <c r="L6" i="4" s="1"/>
  <c r="AA11" i="2"/>
  <c r="F29" i="1"/>
  <c r="F30" i="1"/>
  <c r="AA14" i="2"/>
  <c r="Y14" i="2"/>
  <c r="I11" i="4"/>
  <c r="L11" i="4" s="1"/>
  <c r="V14" i="2"/>
  <c r="U14" i="2"/>
  <c r="Y9" i="2"/>
  <c r="U9" i="2"/>
  <c r="I4" i="4"/>
  <c r="L4" i="4" s="1"/>
  <c r="AA9" i="2"/>
  <c r="V9" i="2"/>
  <c r="V16" i="2"/>
  <c r="U16" i="2"/>
  <c r="I12" i="4"/>
  <c r="L12" i="4" s="1"/>
  <c r="AA16" i="2"/>
  <c r="Y16" i="2"/>
  <c r="I10" i="4"/>
  <c r="L10" i="4" s="1"/>
  <c r="Y15" i="2"/>
  <c r="V15" i="2"/>
  <c r="U15" i="2"/>
  <c r="AA27" i="2"/>
  <c r="AA22" i="2" l="1"/>
  <c r="AA20" i="2"/>
  <c r="V11" i="2"/>
  <c r="E5" i="2"/>
  <c r="E7" i="1"/>
  <c r="U11" i="2"/>
  <c r="E11" i="1" s="1"/>
  <c r="AA15" i="2"/>
  <c r="H29" i="1"/>
  <c r="H28" i="1"/>
  <c r="H31" i="1"/>
  <c r="H33" i="1"/>
  <c r="H30" i="1"/>
  <c r="H32" i="1"/>
  <c r="H20" i="1"/>
  <c r="H23" i="1"/>
  <c r="H17" i="1"/>
  <c r="H22" i="1"/>
  <c r="H19" i="1"/>
  <c r="H21" i="1"/>
  <c r="H16" i="1"/>
  <c r="H18" i="1"/>
  <c r="D18" i="1"/>
  <c r="H7" i="1"/>
  <c r="K5" i="2"/>
  <c r="D20" i="1"/>
  <c r="H5" i="2"/>
  <c r="E21" i="1"/>
  <c r="E17" i="1"/>
  <c r="E19" i="1"/>
  <c r="E16" i="1"/>
  <c r="H11" i="1"/>
  <c r="C18" i="1"/>
  <c r="D17" i="1"/>
  <c r="C17" i="1"/>
  <c r="C21" i="1"/>
  <c r="E18" i="1"/>
  <c r="E20" i="1"/>
  <c r="B11" i="1"/>
  <c r="C20" i="1"/>
  <c r="D19" i="1"/>
  <c r="C19" i="1"/>
  <c r="C16" i="1"/>
  <c r="D21" i="1"/>
  <c r="D16" i="1"/>
  <c r="K7" i="1" l="1"/>
  <c r="K18" i="1"/>
  <c r="I18" i="1"/>
  <c r="L18" i="1"/>
  <c r="J18" i="1"/>
  <c r="K21" i="1"/>
  <c r="L21" i="1"/>
  <c r="J21" i="1"/>
  <c r="I21" i="1"/>
  <c r="L17" i="1"/>
  <c r="J17" i="1"/>
  <c r="K17" i="1"/>
  <c r="I17" i="1"/>
  <c r="K16" i="1"/>
  <c r="L16" i="1"/>
  <c r="J16" i="1"/>
  <c r="I16" i="1"/>
  <c r="L19" i="1"/>
  <c r="K19" i="1"/>
  <c r="J19" i="1"/>
  <c r="I19" i="1"/>
  <c r="K22" i="1"/>
  <c r="J22" i="1"/>
  <c r="I22" i="1"/>
  <c r="L22" i="1"/>
  <c r="L23" i="1"/>
  <c r="J23" i="1"/>
  <c r="K23" i="1"/>
  <c r="I23" i="1"/>
  <c r="J20" i="1"/>
  <c r="K20" i="1"/>
  <c r="L20" i="1"/>
  <c r="I20" i="1"/>
  <c r="K32" i="1"/>
  <c r="I32" i="1"/>
  <c r="J32" i="1"/>
  <c r="J30" i="1"/>
  <c r="K30" i="1"/>
  <c r="I30" i="1"/>
  <c r="K33" i="1"/>
  <c r="J33" i="1"/>
  <c r="I33" i="1"/>
  <c r="K31" i="1"/>
  <c r="J31" i="1"/>
  <c r="I31" i="1"/>
  <c r="K28" i="1"/>
  <c r="J28" i="1"/>
  <c r="I28" i="1"/>
  <c r="K29" i="1"/>
  <c r="I29" i="1"/>
  <c r="J2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7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Añade nuevas facturas a partir de la primera fila libre. Si quieres ampliar más allá de la fila 300, copia la última fila con fórmulas.</t>
        </r>
      </text>
    </comment>
  </commentList>
</comments>
</file>

<file path=xl/sharedStrings.xml><?xml version="1.0" encoding="utf-8"?>
<sst xmlns="http://schemas.openxmlformats.org/spreadsheetml/2006/main" count="401" uniqueCount="265">
  <si>
    <t>Panel de control - facturas proveedores</t>
  </si>
  <si>
    <t>La hoja usa una fecha de corte editable. Cambia F3 para recalcular prioridades, vencimientos y próximos pagos.</t>
  </si>
  <si>
    <t>Empresa ejemplo</t>
  </si>
  <si>
    <t>Aurora Sonora Studio S.L.</t>
  </si>
  <si>
    <t>Fecha de corte</t>
  </si>
  <si>
    <t>Moneda</t>
  </si>
  <si>
    <t>EUR (€)</t>
  </si>
  <si>
    <t>Total facturas</t>
  </si>
  <si>
    <t>Saldo pendiente</t>
  </si>
  <si>
    <t>Vencidas</t>
  </si>
  <si>
    <t>Próximas 7 días</t>
  </si>
  <si>
    <t>Cómo usarla</t>
  </si>
  <si>
    <t>1) Alta facturas en la hoja Facturas.
2) Registra pagos reales o programados en Pagos.
3) Cambia la fecha de corte en F3 para revisar cierres o previsiones.
4) Los colores ayudan: azul = dato editable; gris = cálculo; rojo suave = riesgo.</t>
  </si>
  <si>
    <t>Pagadas</t>
  </si>
  <si>
    <t>Pago parcial</t>
  </si>
  <si>
    <t>Importe vencido</t>
  </si>
  <si>
    <t>Ticket medio</t>
  </si>
  <si>
    <t>Resumen por estado</t>
  </si>
  <si>
    <t>Agenda de pagos abierta</t>
  </si>
  <si>
    <t>Estado</t>
  </si>
  <si>
    <t>Facturas</t>
  </si>
  <si>
    <t>Importe total</t>
  </si>
  <si>
    <t>Saldo actual</t>
  </si>
  <si>
    <t>Vence</t>
  </si>
  <si>
    <t>Proveedor</t>
  </si>
  <si>
    <t>Factura</t>
  </si>
  <si>
    <t>Saldo</t>
  </si>
  <si>
    <t>Pagada</t>
  </si>
  <si>
    <t>Pendiente</t>
  </si>
  <si>
    <t>Próxima</t>
  </si>
  <si>
    <t>Vencida</t>
  </si>
  <si>
    <t>Parcial vencida</t>
  </si>
  <si>
    <t>Seguimiento mensual</t>
  </si>
  <si>
    <t>Top proveedores por saldo</t>
  </si>
  <si>
    <t>Mes</t>
  </si>
  <si>
    <t>Facturado</t>
  </si>
  <si>
    <t>Pagado aplicado</t>
  </si>
  <si>
    <t>Programado</t>
  </si>
  <si>
    <t>Saldo emitido</t>
  </si>
  <si>
    <t>Facturado YTD</t>
  </si>
  <si>
    <t>Contacto</t>
  </si>
  <si>
    <t>Control de facturas de proveedores</t>
  </si>
  <si>
    <t>Escribe los datos azules. Las columnas calculadas se actualizan solas y admiten pagos parciales desde la hoja Pagos.</t>
  </si>
  <si>
    <t>Facturas registradas</t>
  </si>
  <si>
    <t>ID factura</t>
  </si>
  <si>
    <t>NIF proveedor</t>
  </si>
  <si>
    <t>Categoría</t>
  </si>
  <si>
    <t>Centro de coste</t>
  </si>
  <si>
    <t>Fecha recepción</t>
  </si>
  <si>
    <t>Fecha factura</t>
  </si>
  <si>
    <t>Condición pago</t>
  </si>
  <si>
    <t>Plazo (días)</t>
  </si>
  <si>
    <t>Fecha vencimiento</t>
  </si>
  <si>
    <t>Concepto</t>
  </si>
  <si>
    <t>Base imponible</t>
  </si>
  <si>
    <t>% IVA</t>
  </si>
  <si>
    <t>Cuota IVA</t>
  </si>
  <si>
    <t>% Ret.</t>
  </si>
  <si>
    <t>Retención</t>
  </si>
  <si>
    <t>Descuento</t>
  </si>
  <si>
    <t>Total factura</t>
  </si>
  <si>
    <t>Pagado acumulado</t>
  </si>
  <si>
    <t>Días vencidos</t>
  </si>
  <si>
    <t>Responsable</t>
  </si>
  <si>
    <t>Pedido/Contrato</t>
  </si>
  <si>
    <t>Prioridad</t>
  </si>
  <si>
    <t>Observaciones</t>
  </si>
  <si>
    <t>Orden agenda</t>
  </si>
  <si>
    <t>FPR-26001</t>
  </si>
  <si>
    <t>Nebula Audio Services S.L.</t>
  </si>
  <si>
    <t>Producción</t>
  </si>
  <si>
    <t>Mantenimiento trimestral de mesas de sonido</t>
  </si>
  <si>
    <t>Ana Torres</t>
  </si>
  <si>
    <t>OC-2418</t>
  </si>
  <si>
    <t>Revisión completada</t>
  </si>
  <si>
    <t>FPR-26002</t>
  </si>
  <si>
    <t>Pixel Bruma Creativa S.L.</t>
  </si>
  <si>
    <t>Marketing</t>
  </si>
  <si>
    <t>Campaña teaser de primavera para redes</t>
  </si>
  <si>
    <t>Clara Ros</t>
  </si>
  <si>
    <t>OC-2423</t>
  </si>
  <si>
    <t>Entrega en dos fases</t>
  </si>
  <si>
    <t>FPR-26003</t>
  </si>
  <si>
    <t>Ruta Clara Mensajería S.L.</t>
  </si>
  <si>
    <t>Operaciones</t>
  </si>
  <si>
    <t>Mensajería mensual de kits promocionales</t>
  </si>
  <si>
    <t>Diego Mena</t>
  </si>
  <si>
    <t>OC-2430</t>
  </si>
  <si>
    <t>Sin incidencias</t>
  </si>
  <si>
    <t>FPR-26004</t>
  </si>
  <si>
    <t>Grano Norte Coffee Supply S.L.</t>
  </si>
  <si>
    <t>Administración</t>
  </si>
  <si>
    <t>Suministro café e infusiones febrero</t>
  </si>
  <si>
    <t>Mireia Sol</t>
  </si>
  <si>
    <t>OC-2438</t>
  </si>
  <si>
    <t>Consumo oficina</t>
  </si>
  <si>
    <t>FPR-26005</t>
  </si>
  <si>
    <t>Aster Cloud Hosting S.L.</t>
  </si>
  <si>
    <t>Tecnología</t>
  </si>
  <si>
    <t>Licencia anual de copias de seguridad</t>
  </si>
  <si>
    <t>Julián Ferrer</t>
  </si>
  <si>
    <t>OC-2441</t>
  </si>
  <si>
    <t>Pago domiciliado</t>
  </si>
  <si>
    <t>FPR-26006</t>
  </si>
  <si>
    <t>Prisma Legal Advisory S.L.P.</t>
  </si>
  <si>
    <t>Revisión contractual con patrocinadores</t>
  </si>
  <si>
    <t>OC-2449</t>
  </si>
  <si>
    <t>Servicio profesional con retención</t>
  </si>
  <si>
    <t>FPR-26007</t>
  </si>
  <si>
    <t>Órbita Limpieza Técnica S.L.</t>
  </si>
  <si>
    <t>Limpieza técnica de plató principal</t>
  </si>
  <si>
    <t>OC-2456</t>
  </si>
  <si>
    <t>Pendiente validación interna</t>
  </si>
  <si>
    <t>FPR-26008</t>
  </si>
  <si>
    <t>Faro Seguridad Integral S.L.</t>
  </si>
  <si>
    <t>Monitorización y vigilancia Q2</t>
  </si>
  <si>
    <t>OC-2460</t>
  </si>
  <si>
    <t>Servicio recurrente</t>
  </si>
  <si>
    <t>FPR-26009</t>
  </si>
  <si>
    <t>Taller Vía Dos S.L.</t>
  </si>
  <si>
    <t>Carpintería para set de entrevistas</t>
  </si>
  <si>
    <t>OC-2464</t>
  </si>
  <si>
    <t>Descuento acordado por volumen</t>
  </si>
  <si>
    <t>FPR-26010</t>
  </si>
  <si>
    <t>Reposición de micrófonos de ambiente</t>
  </si>
  <si>
    <t>OC-2466</t>
  </si>
  <si>
    <t>Recibido completo</t>
  </si>
  <si>
    <t>FPR-26011</t>
  </si>
  <si>
    <t>Piezas visuales para serie de abril</t>
  </si>
  <si>
    <t>OC-2471</t>
  </si>
  <si>
    <t>Se acordó anticipo parcial</t>
  </si>
  <si>
    <t>FPR-26012</t>
  </si>
  <si>
    <t>Eventos</t>
  </si>
  <si>
    <t>Catering jornada de lanzamiento</t>
  </si>
  <si>
    <t>OC-2478</t>
  </si>
  <si>
    <t>Evento de 120 asistentes</t>
  </si>
  <si>
    <t>FPR-26013</t>
  </si>
  <si>
    <t>Ampliación de licencias de edición</t>
  </si>
  <si>
    <t>OC-2480</t>
  </si>
  <si>
    <t>Incremento de 3 usuarios</t>
  </si>
  <si>
    <t>FPR-26014</t>
  </si>
  <si>
    <t>Foco y Trama Escenografía S.L.</t>
  </si>
  <si>
    <t>Impresión de fondos y señalética</t>
  </si>
  <si>
    <t>OC-2486</t>
  </si>
  <si>
    <t>Entrega prevista 29/04</t>
  </si>
  <si>
    <t>FPR-26015</t>
  </si>
  <si>
    <t>Servicio semanal de limpieza técnica</t>
  </si>
  <si>
    <t>OC-2489</t>
  </si>
  <si>
    <t>FPR-26016</t>
  </si>
  <si>
    <t>Pulso Formación Técnica S.L.</t>
  </si>
  <si>
    <t>Formación de automatización para equipo técnico</t>
  </si>
  <si>
    <t>OC-2494</t>
  </si>
  <si>
    <t>Pago previsto tras la sesión</t>
  </si>
  <si>
    <t>FPR-26017</t>
  </si>
  <si>
    <t>Recogida y retorno de material tras evento</t>
  </si>
  <si>
    <t>OC-2495</t>
  </si>
  <si>
    <t>Servicio puntual</t>
  </si>
  <si>
    <t>FPR-26018</t>
  </si>
  <si>
    <t>Coffee break para masterclass invitada</t>
  </si>
  <si>
    <t>OC-2498</t>
  </si>
  <si>
    <t>Pago a 15 días</t>
  </si>
  <si>
    <t>FPR-26019</t>
  </si>
  <si>
    <t>Trámite de protección de marca</t>
  </si>
  <si>
    <t>OC-2501</t>
  </si>
  <si>
    <t>Pendiente documentación final</t>
  </si>
  <si>
    <t>FPR-26020</t>
  </si>
  <si>
    <t>Refuerzo de CDN para streaming en directo</t>
  </si>
  <si>
    <t>OC-2504</t>
  </si>
  <si>
    <t>Cargo variable del mes</t>
  </si>
  <si>
    <t>Registro de pagos y previsiones</t>
  </si>
  <si>
    <t>Usa Estado pago = Aplicado para descontar saldo. Programado sirve para dejar previsiones sin afectar el saldo pendiente.</t>
  </si>
  <si>
    <t>Pagado programado</t>
  </si>
  <si>
    <t>Movimientos</t>
  </si>
  <si>
    <t>Fecha pago</t>
  </si>
  <si>
    <t>Importe pago</t>
  </si>
  <si>
    <t>Método</t>
  </si>
  <si>
    <t>Estado pago</t>
  </si>
  <si>
    <t>Referencia</t>
  </si>
  <si>
    <t>Mes pago</t>
  </si>
  <si>
    <t>Transferencia</t>
  </si>
  <si>
    <t>Aplicado</t>
  </si>
  <si>
    <t>TRX-820145</t>
  </si>
  <si>
    <t>Pago único</t>
  </si>
  <si>
    <t>TRX-820821</t>
  </si>
  <si>
    <t>Anticipo fase 1</t>
  </si>
  <si>
    <t>PRG-260422</t>
  </si>
  <si>
    <t>Liquidación prevista</t>
  </si>
  <si>
    <t>Domiciliación</t>
  </si>
  <si>
    <t>DOM-0306</t>
  </si>
  <si>
    <t>Cargo automático</t>
  </si>
  <si>
    <t>TRX-831114</t>
  </si>
  <si>
    <t>Pago según retención</t>
  </si>
  <si>
    <t>TRX-840771</t>
  </si>
  <si>
    <t>Primer pago por hito</t>
  </si>
  <si>
    <t>TRX-840952</t>
  </si>
  <si>
    <t>Pago completo</t>
  </si>
  <si>
    <t>Tarjeta corporativa</t>
  </si>
  <si>
    <t>TC-4410</t>
  </si>
  <si>
    <t>Anticipo campaña</t>
  </si>
  <si>
    <t>PRG-260429</t>
  </si>
  <si>
    <t>Señal prevista</t>
  </si>
  <si>
    <t>PRG-260422-2</t>
  </si>
  <si>
    <t>Pago al cierre de formación</t>
  </si>
  <si>
    <t>Proveedores</t>
  </si>
  <si>
    <t>NIF</t>
  </si>
  <si>
    <t>Condición por defecto</t>
  </si>
  <si>
    <t>Método preferido</t>
  </si>
  <si>
    <t>Email</t>
  </si>
  <si>
    <t>Condición</t>
  </si>
  <si>
    <t>Días</t>
  </si>
  <si>
    <t>Clave ranking</t>
  </si>
  <si>
    <t>Centros de coste</t>
  </si>
  <si>
    <t>% Retención</t>
  </si>
  <si>
    <t>Método de pago</t>
  </si>
  <si>
    <t>B18345671</t>
  </si>
  <si>
    <t>Mantenimiento técnico</t>
  </si>
  <si>
    <t>30 días</t>
  </si>
  <si>
    <t>Marta Pineda</t>
  </si>
  <si>
    <t>martap@nebula-audio.example</t>
  </si>
  <si>
    <t>Contado</t>
  </si>
  <si>
    <t>B29456182</t>
  </si>
  <si>
    <t>Servicios creativos</t>
  </si>
  <si>
    <t>Víctor Lago</t>
  </si>
  <si>
    <t>victor@pixelbruma.example</t>
  </si>
  <si>
    <t>15 días</t>
  </si>
  <si>
    <t>B37561294</t>
  </si>
  <si>
    <t>Logística</t>
  </si>
  <si>
    <t>Elena Sol</t>
  </si>
  <si>
    <t>elena@rutaclara.example</t>
  </si>
  <si>
    <t>Anulado</t>
  </si>
  <si>
    <t>B48672315</t>
  </si>
  <si>
    <t>Catering y office</t>
  </si>
  <si>
    <t>Nora Vidal</t>
  </si>
  <si>
    <t>nora@granonorte.example</t>
  </si>
  <si>
    <t>45 días</t>
  </si>
  <si>
    <t>Confirming</t>
  </si>
  <si>
    <t>B51783426</t>
  </si>
  <si>
    <t>Producción escénica</t>
  </si>
  <si>
    <t>Saúl Mena</t>
  </si>
  <si>
    <t>saul@focoytrama.example</t>
  </si>
  <si>
    <t>60 días</t>
  </si>
  <si>
    <t>B62894537</t>
  </si>
  <si>
    <t>Asesoría legal</t>
  </si>
  <si>
    <t>Irene Cobo</t>
  </si>
  <si>
    <t>irene@prismalegal.example</t>
  </si>
  <si>
    <t>B73905648</t>
  </si>
  <si>
    <t>Software y cloud</t>
  </si>
  <si>
    <t>Óscar Rey</t>
  </si>
  <si>
    <t>oscar@astercloud.example</t>
  </si>
  <si>
    <t>B84016759</t>
  </si>
  <si>
    <t>Seguridad</t>
  </si>
  <si>
    <t>Lucía Naharro</t>
  </si>
  <si>
    <t>lucia@faroseguridad.example</t>
  </si>
  <si>
    <t>B95127860</t>
  </si>
  <si>
    <t>Limpieza</t>
  </si>
  <si>
    <t>Pablo Riu</t>
  </si>
  <si>
    <t>pablo@orbitalimpieza.example</t>
  </si>
  <si>
    <t>B16238971</t>
  </si>
  <si>
    <t>Carpintería y sets</t>
  </si>
  <si>
    <t>Rocío Alba</t>
  </si>
  <si>
    <t>rocio@tallerviados.example</t>
  </si>
  <si>
    <t>B27349082</t>
  </si>
  <si>
    <t>Formación</t>
  </si>
  <si>
    <t>Héctor Albiol</t>
  </si>
  <si>
    <t>hector@pulsoformacion.example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</si>
</sst>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C0A];[Red]\(#,##0.00\)\ [$€-C0A];\-"/>
  </numFmts>
  <fonts count="15" x14ac:knownFonts="1">
    <font>
      <sz val="11"/>
      <color theme="1"/>
      <name val="Calibri"/>
      <family val="2"/>
      <scheme val="minor"/>
    </font>
    <font>
      <b/>
      <sz val="11"/>
      <color rgb="FF1F2937"/>
      <name val="Calibri"/>
    </font>
    <font>
      <b/>
      <sz val="16"/>
      <color rgb="FFFFFFFF"/>
      <name val="Calibri"/>
    </font>
    <font>
      <i/>
      <sz val="11"/>
      <color rgb="FF1F2937"/>
      <name val="Calibri"/>
    </font>
    <font>
      <b/>
      <sz val="11"/>
      <color rgb="FF1F2937"/>
      <name val="Calibri"/>
    </font>
    <font>
      <b/>
      <sz val="13"/>
      <name val="Calibri"/>
    </font>
    <font>
      <b/>
      <sz val="10"/>
      <color rgb="FFFFFFFF"/>
      <name val="Calibri"/>
    </font>
    <font>
      <sz val="11"/>
      <color rgb="FF0000FF"/>
      <name val="Calibri"/>
    </font>
    <font>
      <sz val="11"/>
      <color rgb="FF000000"/>
      <name val="Calibri"/>
    </font>
    <font>
      <b/>
      <sz val="11"/>
      <color rgb="FFFFFFFF"/>
      <name val="Calibri"/>
    </font>
    <font>
      <b/>
      <sz val="18"/>
      <color rgb="FFFFFFFF"/>
      <name val="Calibri"/>
    </font>
    <font>
      <b/>
      <sz val="11"/>
      <color rgb="FF7030A0"/>
      <name val="Calibri"/>
    </font>
    <font>
      <b/>
      <sz val="11"/>
      <color rgb="FF0000FF"/>
      <name val="Calibri"/>
    </font>
    <font>
      <b/>
      <sz val="15"/>
      <color rgb="FF1F2937"/>
      <name val="Calibri"/>
    </font>
    <font>
      <b/>
      <sz val="12"/>
      <color rgb="FFFFFFFF"/>
      <name val="Calibri"/>
    </font>
  </fonts>
  <fills count="14">
    <fill>
      <patternFill patternType="none"/>
    </fill>
    <fill>
      <patternFill patternType="gray125"/>
    </fill>
    <fill>
      <patternFill patternType="solid">
        <fgColor rgb="FFF4F6F8"/>
      </patternFill>
    </fill>
    <fill>
      <patternFill patternType="solid">
        <fgColor rgb="FFEFE7FF"/>
      </patternFill>
    </fill>
    <fill>
      <patternFill patternType="solid">
        <fgColor rgb="FF1F3A5F"/>
      </patternFill>
    </fill>
    <fill>
      <patternFill patternType="solid">
        <fgColor rgb="FFDCEFF2"/>
      </patternFill>
    </fill>
    <fill>
      <patternFill patternType="solid">
        <fgColor rgb="FFEAF2FF"/>
      </patternFill>
    </fill>
    <fill>
      <patternFill patternType="solid">
        <fgColor rgb="FFFFFFFF"/>
      </patternFill>
    </fill>
    <fill>
      <patternFill patternType="solid">
        <fgColor rgb="FFFFF3E0"/>
      </patternFill>
    </fill>
    <fill>
      <patternFill patternType="solid">
        <fgColor rgb="FFFDECEC"/>
      </patternFill>
    </fill>
    <fill>
      <patternFill patternType="solid">
        <fgColor rgb="FFE6F4EA"/>
      </patternFill>
    </fill>
    <fill>
      <patternFill patternType="solid">
        <fgColor rgb="FF1F7A8C"/>
      </patternFill>
    </fill>
    <fill>
      <patternFill patternType="solid">
        <fgColor rgb="FFECFDF3"/>
      </patternFill>
    </fill>
    <fill>
      <patternFill patternType="solid">
        <fgColor rgb="FFFFF7ED"/>
      </patternFill>
    </fill>
  </fills>
  <borders count="14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medium">
        <color rgb="FF1F3A5F"/>
      </left>
      <right style="medium">
        <color rgb="FF1F3A5F"/>
      </right>
      <top style="medium">
        <color rgb="FF1F3A5F"/>
      </top>
      <bottom style="medium">
        <color rgb="FF1F3A5F"/>
      </bottom>
      <diagonal/>
    </border>
    <border>
      <left/>
      <right/>
      <top style="medium">
        <color rgb="FF1F3A5F"/>
      </top>
      <bottom style="medium">
        <color rgb="FF1F3A5F"/>
      </bottom>
      <diagonal/>
    </border>
    <border>
      <left/>
      <right/>
      <top/>
      <bottom style="hair">
        <color rgb="FFE5E7EB"/>
      </bottom>
      <diagonal/>
    </border>
    <border>
      <left/>
      <right/>
      <top style="medium">
        <color rgb="FF1F3A5F"/>
      </top>
      <bottom/>
      <diagonal/>
    </border>
    <border>
      <left/>
      <right style="medium">
        <color rgb="FF1F3A5F"/>
      </right>
      <top style="medium">
        <color rgb="FF1F3A5F"/>
      </top>
      <bottom/>
      <diagonal/>
    </border>
    <border>
      <left/>
      <right style="medium">
        <color rgb="FF1F3A5F"/>
      </right>
      <top style="medium">
        <color rgb="FF1F3A5F"/>
      </top>
      <bottom style="medium">
        <color rgb="FF1F3A5F"/>
      </bottom>
      <diagonal/>
    </border>
    <border>
      <left style="medium">
        <color rgb="FF1F3A5F"/>
      </left>
      <right/>
      <top/>
      <bottom/>
      <diagonal/>
    </border>
    <border>
      <left/>
      <right style="medium">
        <color rgb="FF1F3A5F"/>
      </right>
      <top/>
      <bottom/>
      <diagonal/>
    </border>
    <border>
      <left style="medium">
        <color rgb="FF1F3A5F"/>
      </left>
      <right/>
      <top/>
      <bottom style="medium">
        <color rgb="FF1F3A5F"/>
      </bottom>
      <diagonal/>
    </border>
    <border>
      <left/>
      <right style="medium">
        <color rgb="FF1F3A5F"/>
      </right>
      <top/>
      <bottom style="medium">
        <color rgb="FF1F3A5F"/>
      </bottom>
      <diagonal/>
    </border>
    <border>
      <left/>
      <right/>
      <top/>
      <bottom style="medium">
        <color rgb="FF1F3A5F"/>
      </bottom>
      <diagonal/>
    </border>
    <border>
      <left/>
      <right/>
      <top style="medium">
        <color rgb="FF1F3A5F"/>
      </top>
      <bottom style="medium">
        <color rgb="FF1F3A5F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1" fillId="3" borderId="0" xfId="0" applyFont="1" applyFill="1" applyAlignment="1">
      <alignment horizontal="center"/>
    </xf>
    <xf numFmtId="0" fontId="12" fillId="0" borderId="1" xfId="0" applyFont="1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0" fontId="9" fillId="11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7" fontId="0" fillId="0" borderId="1" xfId="0" applyNumberFormat="1" applyBorder="1" applyAlignment="1">
      <alignment horizontal="center" vertical="center"/>
    </xf>
    <xf numFmtId="0" fontId="6" fillId="11" borderId="3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14" fontId="7" fillId="7" borderId="4" xfId="0" applyNumberFormat="1" applyFont="1" applyFill="1" applyBorder="1" applyAlignment="1">
      <alignment horizontal="center"/>
    </xf>
    <xf numFmtId="3" fontId="8" fillId="2" borderId="4" xfId="0" applyNumberFormat="1" applyFont="1" applyFill="1" applyBorder="1" applyAlignment="1">
      <alignment horizontal="center"/>
    </xf>
    <xf numFmtId="14" fontId="0" fillId="0" borderId="4" xfId="0" applyNumberFormat="1" applyBorder="1" applyAlignment="1">
      <alignment horizontal="center"/>
    </xf>
    <xf numFmtId="164" fontId="7" fillId="7" borderId="4" xfId="0" applyNumberFormat="1" applyFont="1" applyFill="1" applyBorder="1" applyAlignment="1">
      <alignment horizontal="right"/>
    </xf>
    <xf numFmtId="9" fontId="7" fillId="7" borderId="4" xfId="0" applyNumberFormat="1" applyFont="1" applyFill="1" applyBorder="1" applyAlignment="1">
      <alignment horizontal="center"/>
    </xf>
    <xf numFmtId="164" fontId="8" fillId="2" borderId="4" xfId="0" applyNumberFormat="1" applyFont="1" applyFill="1" applyBorder="1" applyAlignment="1">
      <alignment horizontal="right"/>
    </xf>
    <xf numFmtId="164" fontId="8" fillId="12" borderId="4" xfId="0" applyNumberFormat="1" applyFont="1" applyFill="1" applyBorder="1" applyAlignment="1">
      <alignment horizontal="right"/>
    </xf>
    <xf numFmtId="164" fontId="8" fillId="13" borderId="4" xfId="0" applyNumberFormat="1" applyFont="1" applyFill="1" applyBorder="1" applyAlignment="1">
      <alignment horizontal="right"/>
    </xf>
    <xf numFmtId="14" fontId="8" fillId="2" borderId="4" xfId="0" applyNumberFormat="1" applyFont="1" applyFill="1" applyBorder="1" applyAlignment="1">
      <alignment horizontal="left" vertical="center"/>
    </xf>
    <xf numFmtId="0" fontId="9" fillId="11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14" fontId="7" fillId="0" borderId="4" xfId="0" applyNumberFormat="1" applyFont="1" applyBorder="1" applyAlignment="1">
      <alignment horizontal="center"/>
    </xf>
    <xf numFmtId="164" fontId="7" fillId="0" borderId="4" xfId="0" applyNumberFormat="1" applyFont="1" applyBorder="1" applyAlignment="1">
      <alignment horizontal="right"/>
    </xf>
    <xf numFmtId="17" fontId="8" fillId="2" borderId="4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64" fontId="0" fillId="0" borderId="0" xfId="0" applyNumberFormat="1"/>
    <xf numFmtId="9" fontId="1" fillId="3" borderId="1" xfId="0" applyNumberFormat="1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0" fillId="0" borderId="7" xfId="0" applyBorder="1"/>
    <xf numFmtId="3" fontId="13" fillId="0" borderId="2" xfId="0" applyNumberFormat="1" applyFont="1" applyBorder="1" applyAlignment="1">
      <alignment horizontal="center" vertical="center"/>
    </xf>
    <xf numFmtId="0" fontId="0" fillId="0" borderId="6" xfId="0" applyBorder="1"/>
    <xf numFmtId="0" fontId="0" fillId="0" borderId="10" xfId="0" applyBorder="1"/>
    <xf numFmtId="0" fontId="0" fillId="0" borderId="11" xfId="0" applyBorder="1"/>
    <xf numFmtId="0" fontId="4" fillId="8" borderId="2" xfId="0" applyFont="1" applyFill="1" applyBorder="1" applyAlignment="1">
      <alignment horizontal="center" vertical="center"/>
    </xf>
    <xf numFmtId="0" fontId="14" fillId="4" borderId="0" xfId="0" applyFont="1" applyFill="1"/>
    <xf numFmtId="0" fontId="0" fillId="0" borderId="0" xfId="0"/>
    <xf numFmtId="164" fontId="13" fillId="0" borderId="2" xfId="0" applyNumberFormat="1" applyFont="1" applyBorder="1" applyAlignment="1">
      <alignment horizontal="center" vertical="center"/>
    </xf>
    <xf numFmtId="0" fontId="0" fillId="7" borderId="2" xfId="0" applyFill="1" applyBorder="1" applyAlignment="1">
      <alignment vertical="top" wrapText="1"/>
    </xf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2" xfId="0" applyBorder="1"/>
    <xf numFmtId="0" fontId="3" fillId="5" borderId="0" xfId="0" applyFont="1" applyFill="1"/>
    <xf numFmtId="0" fontId="10" fillId="4" borderId="0" xfId="0" applyFont="1" applyFill="1" applyAlignment="1">
      <alignment horizontal="left"/>
    </xf>
    <xf numFmtId="0" fontId="4" fillId="6" borderId="2" xfId="0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/>
    </xf>
    <xf numFmtId="0" fontId="9" fillId="4" borderId="2" xfId="0" applyFont="1" applyFill="1" applyBorder="1"/>
    <xf numFmtId="0" fontId="0" fillId="0" borderId="13" xfId="0" applyBorder="1"/>
    <xf numFmtId="0" fontId="4" fillId="8" borderId="2" xfId="0" applyFont="1" applyFill="1" applyBorder="1" applyAlignment="1">
      <alignment horizontal="center"/>
    </xf>
    <xf numFmtId="3" fontId="5" fillId="7" borderId="2" xfId="0" applyNumberFormat="1" applyFont="1" applyFill="1" applyBorder="1" applyAlignment="1">
      <alignment horizontal="center"/>
    </xf>
    <xf numFmtId="0" fontId="3" fillId="5" borderId="0" xfId="0" applyFont="1" applyFill="1" applyAlignment="1">
      <alignment horizontal="left" vertical="center"/>
    </xf>
    <xf numFmtId="164" fontId="5" fillId="7" borderId="2" xfId="0" applyNumberFormat="1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0" fontId="4" fillId="10" borderId="2" xfId="0" applyFont="1" applyFill="1" applyBorder="1" applyAlignment="1">
      <alignment horizontal="center"/>
    </xf>
    <xf numFmtId="0" fontId="2" fillId="4" borderId="0" xfId="0" applyFont="1" applyFill="1" applyAlignment="1">
      <alignment horizontal="left" vertical="center"/>
    </xf>
    <xf numFmtId="0" fontId="4" fillId="6" borderId="2" xfId="0" applyFont="1" applyFill="1" applyBorder="1" applyAlignment="1">
      <alignment horizontal="center"/>
    </xf>
    <xf numFmtId="3" fontId="5" fillId="7" borderId="0" xfId="0" applyNumberFormat="1" applyFont="1" applyFill="1" applyAlignment="1">
      <alignment horizontal="center"/>
    </xf>
    <xf numFmtId="0" fontId="4" fillId="8" borderId="0" xfId="0" applyFont="1" applyFill="1" applyAlignment="1">
      <alignment horizontal="center"/>
    </xf>
    <xf numFmtId="164" fontId="5" fillId="7" borderId="0" xfId="0" applyNumberFormat="1" applyFont="1" applyFill="1" applyAlignment="1">
      <alignment horizontal="center"/>
    </xf>
    <xf numFmtId="0" fontId="2" fillId="4" borderId="0" xfId="0" applyFont="1" applyFill="1" applyAlignment="1">
      <alignment horizontal="left"/>
    </xf>
    <xf numFmtId="0" fontId="4" fillId="10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</cellXfs>
  <cellStyles count="1">
    <cellStyle name="Standard" xfId="0" builtinId="0"/>
  </cellStyles>
  <dxfs count="13">
    <dxf>
      <fill>
        <patternFill patternType="solid">
          <fgColor rgb="FFFECACA"/>
        </patternFill>
      </fill>
    </dxf>
    <dxf>
      <fill>
        <patternFill patternType="solid">
          <fgColor rgb="FFFEF3C7"/>
        </patternFill>
      </fill>
    </dxf>
    <dxf>
      <fill>
        <patternFill patternType="solid">
          <fgColor rgb="FFDCFCE7"/>
        </patternFill>
      </fill>
    </dxf>
    <dxf>
      <fill>
        <patternFill patternType="solid">
          <fgColor rgb="FFDBEAFE"/>
        </patternFill>
      </fill>
    </dxf>
    <dxf>
      <fill>
        <patternFill patternType="solid">
          <fgColor rgb="FFD1FAE5"/>
        </patternFill>
      </fill>
    </dxf>
    <dxf>
      <fill>
        <patternFill patternType="solid">
          <fgColor rgb="FFFED7AA"/>
        </patternFill>
      </fill>
    </dxf>
    <dxf>
      <fill>
        <patternFill patternType="solid">
          <fgColor rgb="FFFECACA"/>
        </patternFill>
      </fill>
    </dxf>
    <dxf>
      <fill>
        <patternFill patternType="solid">
          <fgColor rgb="FFFFF7ED"/>
        </patternFill>
      </fill>
    </dxf>
    <dxf>
      <fill>
        <patternFill patternType="solid">
          <fgColor rgb="FFFEE2E2"/>
        </patternFill>
      </fill>
    </dxf>
    <dxf>
      <fill>
        <patternFill patternType="solid">
          <fgColor rgb="FFD1FAE5"/>
        </patternFill>
      </fill>
    </dxf>
    <dxf>
      <fill>
        <patternFill patternType="solid">
          <fgColor rgb="FFFED7AA"/>
        </patternFill>
      </fill>
    </dxf>
    <dxf>
      <fill>
        <patternFill patternType="solid">
          <fgColor rgb="FFFECACA"/>
        </patternFill>
      </fill>
    </dxf>
    <dxf>
      <fill>
        <patternFill patternType="solid">
          <fgColor rgb="FFFFF7ED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9"/>
  <sheetViews>
    <sheetView showGridLines="0" tabSelected="1" zoomScale="80" zoomScaleNormal="80" workbookViewId="0">
      <selection activeCell="P28" sqref="P28"/>
    </sheetView>
  </sheetViews>
  <sheetFormatPr baseColWidth="10" defaultColWidth="8.88671875" defaultRowHeight="14.4" x14ac:dyDescent="0.3"/>
  <cols>
    <col min="1" max="1" width="2" customWidth="1"/>
    <col min="2" max="6" width="16" customWidth="1"/>
    <col min="7" max="7" width="4" customWidth="1"/>
    <col min="8" max="8" width="28" customWidth="1"/>
    <col min="9" max="10" width="14" customWidth="1"/>
    <col min="11" max="11" width="16" customWidth="1"/>
    <col min="12" max="12" width="14" customWidth="1"/>
    <col min="13" max="13" width="4" customWidth="1"/>
    <col min="14" max="14" width="17" customWidth="1"/>
    <col min="15" max="18" width="16" customWidth="1"/>
  </cols>
  <sheetData>
    <row r="1" spans="2:18" ht="28.05" customHeight="1" x14ac:dyDescent="0.45">
      <c r="B1" s="48" t="s">
        <v>0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2:18" x14ac:dyDescent="0.3">
      <c r="B2" s="47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</row>
    <row r="3" spans="2:18" x14ac:dyDescent="0.3">
      <c r="B3" s="1" t="s">
        <v>2</v>
      </c>
      <c r="C3" s="2" t="s">
        <v>3</v>
      </c>
      <c r="E3" s="1" t="s">
        <v>4</v>
      </c>
      <c r="F3" s="3">
        <v>46132</v>
      </c>
      <c r="H3" s="1" t="s">
        <v>5</v>
      </c>
      <c r="I3" s="2" t="s">
        <v>6</v>
      </c>
    </row>
    <row r="6" spans="2:18" x14ac:dyDescent="0.3">
      <c r="B6" s="49" t="s">
        <v>7</v>
      </c>
      <c r="C6" s="33"/>
      <c r="E6" s="38" t="s">
        <v>8</v>
      </c>
      <c r="F6" s="33"/>
      <c r="H6" s="32" t="s">
        <v>9</v>
      </c>
      <c r="I6" s="33"/>
      <c r="K6" s="50" t="s">
        <v>10</v>
      </c>
      <c r="L6" s="33"/>
      <c r="N6" s="51" t="s">
        <v>11</v>
      </c>
      <c r="O6" s="52"/>
      <c r="P6" s="52"/>
      <c r="Q6" s="52"/>
      <c r="R6" s="33"/>
    </row>
    <row r="7" spans="2:18" x14ac:dyDescent="0.3">
      <c r="B7" s="34">
        <f>COUNTIF(Facturas!$A$8:$A$300,"&lt;&gt;")</f>
        <v>20</v>
      </c>
      <c r="C7" s="35"/>
      <c r="E7" s="41">
        <f>SUM(Facturas!$T$8:$T$300)</f>
        <v>11354.949999999999</v>
      </c>
      <c r="F7" s="35"/>
      <c r="H7" s="34">
        <f>COUNTIF(Facturas!$U$8:$U$300,"Vencida")+COUNTIF(Facturas!$U$8:$U$300,"Parcial vencida")</f>
        <v>7</v>
      </c>
      <c r="I7" s="35"/>
      <c r="K7" s="34">
        <f>COUNTIF(Facturas!$U$8:$U$300,"Próxima")</f>
        <v>2</v>
      </c>
      <c r="L7" s="35"/>
      <c r="N7" s="42" t="s">
        <v>12</v>
      </c>
      <c r="O7" s="43"/>
      <c r="P7" s="43"/>
      <c r="Q7" s="43"/>
      <c r="R7" s="35"/>
    </row>
    <row r="8" spans="2:18" x14ac:dyDescent="0.3">
      <c r="B8" s="36"/>
      <c r="C8" s="37"/>
      <c r="E8" s="36"/>
      <c r="F8" s="37"/>
      <c r="H8" s="36"/>
      <c r="I8" s="37"/>
      <c r="K8" s="36"/>
      <c r="L8" s="37"/>
      <c r="N8" s="44"/>
      <c r="O8" s="40"/>
      <c r="P8" s="40"/>
      <c r="Q8" s="40"/>
      <c r="R8" s="45"/>
    </row>
    <row r="9" spans="2:18" x14ac:dyDescent="0.3">
      <c r="N9" s="44"/>
      <c r="O9" s="40"/>
      <c r="P9" s="40"/>
      <c r="Q9" s="40"/>
      <c r="R9" s="45"/>
    </row>
    <row r="10" spans="2:18" x14ac:dyDescent="0.3">
      <c r="B10" s="49" t="s">
        <v>13</v>
      </c>
      <c r="C10" s="33"/>
      <c r="E10" s="38" t="s">
        <v>14</v>
      </c>
      <c r="F10" s="33"/>
      <c r="H10" s="32" t="s">
        <v>15</v>
      </c>
      <c r="I10" s="33"/>
      <c r="K10" s="50" t="s">
        <v>16</v>
      </c>
      <c r="L10" s="33"/>
      <c r="N10" s="44"/>
      <c r="O10" s="40"/>
      <c r="P10" s="40"/>
      <c r="Q10" s="40"/>
      <c r="R10" s="45"/>
    </row>
    <row r="11" spans="2:18" x14ac:dyDescent="0.3">
      <c r="B11" s="34">
        <f>COUNTIF(Facturas!$U$8:$U$300,"Pagada")</f>
        <v>4</v>
      </c>
      <c r="C11" s="35"/>
      <c r="E11" s="34">
        <f>COUNTIF(Facturas!$U$8:$U$300,"Pago parcial")+COUNTIF(Facturas!$U$8:$U$300,"Parcial vencida")</f>
        <v>3</v>
      </c>
      <c r="F11" s="35"/>
      <c r="H11" s="41">
        <f>SUMIFS(Facturas!$T$8:$T$300,Facturas!$U$8:$U$300,"Vencida")+SUMIFS(Facturas!$T$8:$T$300,Facturas!$U$8:$U$300,"Parcial vencida")</f>
        <v>5339</v>
      </c>
      <c r="I11" s="35"/>
      <c r="K11" s="41">
        <f>AVERAGEIF(Facturas!$R$8:$R$300,"&gt;0",Facturas!$R$8:$R$300)</f>
        <v>949.04750000000024</v>
      </c>
      <c r="L11" s="35"/>
      <c r="N11" s="44"/>
      <c r="O11" s="40"/>
      <c r="P11" s="40"/>
      <c r="Q11" s="40"/>
      <c r="R11" s="45"/>
    </row>
    <row r="12" spans="2:18" x14ac:dyDescent="0.3">
      <c r="B12" s="36"/>
      <c r="C12" s="37"/>
      <c r="E12" s="36"/>
      <c r="F12" s="37"/>
      <c r="H12" s="36"/>
      <c r="I12" s="37"/>
      <c r="K12" s="36"/>
      <c r="L12" s="37"/>
      <c r="N12" s="44"/>
      <c r="O12" s="40"/>
      <c r="P12" s="40"/>
      <c r="Q12" s="40"/>
      <c r="R12" s="45"/>
    </row>
    <row r="13" spans="2:18" x14ac:dyDescent="0.3">
      <c r="N13" s="36"/>
      <c r="O13" s="46"/>
      <c r="P13" s="46"/>
      <c r="Q13" s="46"/>
      <c r="R13" s="37"/>
    </row>
    <row r="14" spans="2:18" ht="15.6" x14ac:dyDescent="0.3">
      <c r="B14" s="39" t="s">
        <v>17</v>
      </c>
      <c r="C14" s="40"/>
      <c r="D14" s="40"/>
      <c r="E14" s="40"/>
      <c r="H14" s="39" t="s">
        <v>18</v>
      </c>
      <c r="I14" s="40"/>
      <c r="J14" s="40"/>
      <c r="K14" s="40"/>
      <c r="L14" s="40"/>
    </row>
    <row r="15" spans="2:18" x14ac:dyDescent="0.3">
      <c r="B15" s="4" t="s">
        <v>19</v>
      </c>
      <c r="C15" s="4" t="s">
        <v>20</v>
      </c>
      <c r="D15" s="4" t="s">
        <v>21</v>
      </c>
      <c r="E15" s="4" t="s">
        <v>22</v>
      </c>
      <c r="H15" s="4" t="s">
        <v>23</v>
      </c>
      <c r="I15" s="4" t="s">
        <v>24</v>
      </c>
      <c r="J15" s="4" t="s">
        <v>25</v>
      </c>
      <c r="K15" s="4" t="s">
        <v>19</v>
      </c>
      <c r="L15" s="4" t="s">
        <v>26</v>
      </c>
    </row>
    <row r="16" spans="2:18" x14ac:dyDescent="0.3">
      <c r="B16" s="5" t="s">
        <v>27</v>
      </c>
      <c r="C16" s="5">
        <f>COUNTIF(Facturas!$U$8:$U$300,$B16)</f>
        <v>4</v>
      </c>
      <c r="D16" s="6">
        <f>SUMIF(Facturas!$U$8:$U$300,$B16,Facturas!$R$8:$R$300)</f>
        <v>4826</v>
      </c>
      <c r="E16" s="6">
        <f>SUMIF(Facturas!$U$8:$U$300,$B16,Facturas!$T$8:$T$300)</f>
        <v>0</v>
      </c>
      <c r="H16" s="7">
        <f>IFERROR(INDEX(Facturas!$J$8:$J$300,MATCH(ROW(A1),Facturas!$AA$8:$AA$300,0)),"")</f>
        <v>46066</v>
      </c>
      <c r="I16" s="8" t="str">
        <f>IF($H16="","",INDEX(Facturas!$B$8:$B$300,MATCH(ROW(A1),Facturas!$AA$8:$AA$300,0)))</f>
        <v>Pixel Bruma Creativa S.L.</v>
      </c>
      <c r="J16" s="5" t="str">
        <f>IF($H16="","",INDEX(Facturas!$A$8:$A$300,MATCH(ROW(A1),Facturas!$AA$8:$AA$300,0)))</f>
        <v>FPR-26002</v>
      </c>
      <c r="K16" s="5" t="str">
        <f>IF($H16="","",INDEX(Facturas!$U$8:$U$300,MATCH(ROW(A1),Facturas!$AA$8:$AA$300,0)))</f>
        <v>Parcial vencida</v>
      </c>
      <c r="L16" s="6">
        <f>IF($H16="","",INDEX(Facturas!$T$8:$T$300,MATCH(ROW(A1),Facturas!$AA$8:$AA$300,0)))</f>
        <v>754.5</v>
      </c>
    </row>
    <row r="17" spans="2:12" x14ac:dyDescent="0.3">
      <c r="B17" s="5" t="s">
        <v>28</v>
      </c>
      <c r="C17" s="5">
        <f>COUNTIF(Facturas!$U$8:$U$300,$B17)</f>
        <v>7</v>
      </c>
      <c r="D17" s="6">
        <f>SUMIF(Facturas!$U$8:$U$300,$B17,Facturas!$R$8:$R$300)</f>
        <v>5021.5499999999993</v>
      </c>
      <c r="E17" s="6">
        <f>SUMIF(Facturas!$U$8:$U$300,$B17,Facturas!$T$8:$T$300)</f>
        <v>5021.5499999999993</v>
      </c>
      <c r="H17" s="7">
        <f>IFERROR(INDEX(Facturas!$J$8:$J$300,MATCH(ROW(A2),Facturas!$AA$8:$AA$300,0)),"")</f>
        <v>46071</v>
      </c>
      <c r="I17" s="8" t="str">
        <f>IF($H17="","",INDEX(Facturas!$B$8:$B$300,MATCH(ROW(A2),Facturas!$AA$8:$AA$300,0)))</f>
        <v>Grano Norte Coffee Supply S.L.</v>
      </c>
      <c r="J17" s="5" t="str">
        <f>IF($H17="","",INDEX(Facturas!$A$8:$A$300,MATCH(ROW(A2),Facturas!$AA$8:$AA$300,0)))</f>
        <v>FPR-26004</v>
      </c>
      <c r="K17" s="5" t="str">
        <f>IF($H17="","",INDEX(Facturas!$U$8:$U$300,MATCH(ROW(A2),Facturas!$AA$8:$AA$300,0)))</f>
        <v>Vencida</v>
      </c>
      <c r="L17" s="6">
        <f>IF($H17="","",INDEX(Facturas!$T$8:$T$300,MATCH(ROW(A2),Facturas!$AA$8:$AA$300,0)))</f>
        <v>594</v>
      </c>
    </row>
    <row r="18" spans="2:12" x14ac:dyDescent="0.3">
      <c r="B18" s="5" t="s">
        <v>29</v>
      </c>
      <c r="C18" s="5">
        <f>COUNTIF(Facturas!$U$8:$U$300,$B18)</f>
        <v>2</v>
      </c>
      <c r="D18" s="6">
        <f>SUMIF(Facturas!$U$8:$U$300,$B18,Facturas!$R$8:$R$300)</f>
        <v>994.4</v>
      </c>
      <c r="E18" s="6">
        <f>SUMIF(Facturas!$U$8:$U$300,$B18,Facturas!$T$8:$T$300)</f>
        <v>994.4</v>
      </c>
      <c r="H18" s="7">
        <f>IFERROR(INDEX(Facturas!$J$8:$J$300,MATCH(ROW(A3),Facturas!$AA$8:$AA$300,0)),"")</f>
        <v>46074</v>
      </c>
      <c r="I18" s="8" t="str">
        <f>IF($H18="","",INDEX(Facturas!$B$8:$B$300,MATCH(ROW(A3),Facturas!$AA$8:$AA$300,0)))</f>
        <v>Ruta Clara Mensajería S.L.</v>
      </c>
      <c r="J18" s="5" t="str">
        <f>IF($H18="","",INDEX(Facturas!$A$8:$A$300,MATCH(ROW(A3),Facturas!$AA$8:$AA$300,0)))</f>
        <v>FPR-26003</v>
      </c>
      <c r="K18" s="5" t="str">
        <f>IF($H18="","",INDEX(Facturas!$U$8:$U$300,MATCH(ROW(A3),Facturas!$AA$8:$AA$300,0)))</f>
        <v>Vencida</v>
      </c>
      <c r="L18" s="6">
        <f>IF($H18="","",INDEX(Facturas!$T$8:$T$300,MATCH(ROW(A3),Facturas!$AA$8:$AA$300,0)))</f>
        <v>387.2</v>
      </c>
    </row>
    <row r="19" spans="2:12" x14ac:dyDescent="0.3">
      <c r="B19" s="5" t="s">
        <v>30</v>
      </c>
      <c r="C19" s="5">
        <f>COUNTIF(Facturas!$U$8:$U$300,$B19)</f>
        <v>4</v>
      </c>
      <c r="D19" s="6">
        <f>SUMIF(Facturas!$U$8:$U$300,$B19,Facturas!$R$8:$R$300)</f>
        <v>2648.8</v>
      </c>
      <c r="E19" s="6">
        <f>SUMIF(Facturas!$U$8:$U$300,$B19,Facturas!$T$8:$T$300)</f>
        <v>2648.8</v>
      </c>
      <c r="H19" s="7">
        <f>IFERROR(INDEX(Facturas!$J$8:$J$300,MATCH(ROW(A4),Facturas!$AA$8:$AA$300,0)),"")</f>
        <v>46113</v>
      </c>
      <c r="I19" s="8" t="str">
        <f>IF($H19="","",INDEX(Facturas!$B$8:$B$300,MATCH(ROW(A4),Facturas!$AA$8:$AA$300,0)))</f>
        <v>Órbita Limpieza Técnica S.L.</v>
      </c>
      <c r="J19" s="5" t="str">
        <f>IF($H19="","",INDEX(Facturas!$A$8:$A$300,MATCH(ROW(A4),Facturas!$AA$8:$AA$300,0)))</f>
        <v>FPR-26007</v>
      </c>
      <c r="K19" s="5" t="str">
        <f>IF($H19="","",INDEX(Facturas!$U$8:$U$300,MATCH(ROW(A4),Facturas!$AA$8:$AA$300,0)))</f>
        <v>Vencida</v>
      </c>
      <c r="L19" s="6">
        <f>IF($H19="","",INDEX(Facturas!$T$8:$T$300,MATCH(ROW(A4),Facturas!$AA$8:$AA$300,0)))</f>
        <v>919.6</v>
      </c>
    </row>
    <row r="20" spans="2:12" x14ac:dyDescent="0.3">
      <c r="B20" s="5" t="s">
        <v>14</v>
      </c>
      <c r="C20" s="5">
        <f>COUNTIF(Facturas!$U$8:$U$300,$B20)</f>
        <v>0</v>
      </c>
      <c r="D20" s="6">
        <f>SUMIF(Facturas!$U$8:$U$300,$B20,Facturas!$R$8:$R$300)</f>
        <v>0</v>
      </c>
      <c r="E20" s="6">
        <f>SUMIF(Facturas!$U$8:$U$300,$B20,Facturas!$T$8:$T$300)</f>
        <v>0</v>
      </c>
      <c r="H20" s="7">
        <f>IFERROR(INDEX(Facturas!$J$8:$J$300,MATCH(ROW(A5),Facturas!$AA$8:$AA$300,0)),"")</f>
        <v>46120</v>
      </c>
      <c r="I20" s="8" t="str">
        <f>IF($H20="","",INDEX(Facturas!$B$8:$B$300,MATCH(ROW(A5),Facturas!$AA$8:$AA$300,0)))</f>
        <v>Taller Vía Dos S.L.</v>
      </c>
      <c r="J20" s="5" t="str">
        <f>IF($H20="","",INDEX(Facturas!$A$8:$A$300,MATCH(ROW(A5),Facturas!$AA$8:$AA$300,0)))</f>
        <v>FPR-26009</v>
      </c>
      <c r="K20" s="5" t="str">
        <f>IF($H20="","",INDEX(Facturas!$U$8:$U$300,MATCH(ROW(A5),Facturas!$AA$8:$AA$300,0)))</f>
        <v>Parcial vencida</v>
      </c>
      <c r="L20" s="6">
        <f>IF($H20="","",INDEX(Facturas!$T$8:$T$300,MATCH(ROW(A5),Facturas!$AA$8:$AA$300,0)))</f>
        <v>1183</v>
      </c>
    </row>
    <row r="21" spans="2:12" x14ac:dyDescent="0.3">
      <c r="B21" s="5" t="s">
        <v>31</v>
      </c>
      <c r="C21" s="5">
        <f>COUNTIF(Facturas!$U$8:$U$300,$B21)</f>
        <v>3</v>
      </c>
      <c r="D21" s="6">
        <f>SUMIF(Facturas!$U$8:$U$300,$B21,Facturas!$R$8:$R$300)</f>
        <v>5490.2</v>
      </c>
      <c r="E21" s="6">
        <f>SUMIF(Facturas!$U$8:$U$300,$B21,Facturas!$T$8:$T$300)</f>
        <v>2690.2</v>
      </c>
      <c r="H21" s="7">
        <f>IFERROR(INDEX(Facturas!$J$8:$J$300,MATCH(ROW(A6),Facturas!$AA$8:$AA$300,0)),"")</f>
        <v>46122</v>
      </c>
      <c r="I21" s="8" t="str">
        <f>IF($H21="","",INDEX(Facturas!$B$8:$B$300,MATCH(ROW(A6),Facturas!$AA$8:$AA$300,0)))</f>
        <v>Grano Norte Coffee Supply S.L.</v>
      </c>
      <c r="J21" s="5" t="str">
        <f>IF($H21="","",INDEX(Facturas!$A$8:$A$300,MATCH(ROW(A6),Facturas!$AA$8:$AA$300,0)))</f>
        <v>FPR-26012</v>
      </c>
      <c r="K21" s="5" t="str">
        <f>IF($H21="","",INDEX(Facturas!$U$8:$U$300,MATCH(ROW(A6),Facturas!$AA$8:$AA$300,0)))</f>
        <v>Vencida</v>
      </c>
      <c r="L21" s="6">
        <f>IF($H21="","",INDEX(Facturas!$T$8:$T$300,MATCH(ROW(A6),Facturas!$AA$8:$AA$300,0)))</f>
        <v>748</v>
      </c>
    </row>
    <row r="22" spans="2:12" x14ac:dyDescent="0.3">
      <c r="H22" s="7">
        <f>IFERROR(INDEX(Facturas!$J$8:$J$300,MATCH(ROW(A7),Facturas!$AA$8:$AA$300,0)),"")</f>
        <v>46129</v>
      </c>
      <c r="I22" s="8" t="str">
        <f>IF($H22="","",INDEX(Facturas!$B$8:$B$300,MATCH(ROW(A7),Facturas!$AA$8:$AA$300,0)))</f>
        <v>Pixel Bruma Creativa S.L.</v>
      </c>
      <c r="J22" s="5" t="str">
        <f>IF($H22="","",INDEX(Facturas!$A$8:$A$300,MATCH(ROW(A7),Facturas!$AA$8:$AA$300,0)))</f>
        <v>FPR-26011</v>
      </c>
      <c r="K22" s="5" t="str">
        <f>IF($H22="","",INDEX(Facturas!$U$8:$U$300,MATCH(ROW(A7),Facturas!$AA$8:$AA$300,0)))</f>
        <v>Parcial vencida</v>
      </c>
      <c r="L22" s="6">
        <f>IF($H22="","",INDEX(Facturas!$T$8:$T$300,MATCH(ROW(A7),Facturas!$AA$8:$AA$300,0)))</f>
        <v>752.7</v>
      </c>
    </row>
    <row r="23" spans="2:12" x14ac:dyDescent="0.3">
      <c r="H23" s="7">
        <f>IFERROR(INDEX(Facturas!$J$8:$J$300,MATCH(ROW(A8),Facturas!$AA$8:$AA$300,0)),"")</f>
        <v>46135</v>
      </c>
      <c r="I23" s="8" t="str">
        <f>IF($H23="","",INDEX(Facturas!$B$8:$B$300,MATCH(ROW(A8),Facturas!$AA$8:$AA$300,0)))</f>
        <v>Pulso Formación Técnica S.L.</v>
      </c>
      <c r="J23" s="5" t="str">
        <f>IF($H23="","",INDEX(Facturas!$A$8:$A$300,MATCH(ROW(A8),Facturas!$AA$8:$AA$300,0)))</f>
        <v>FPR-26016</v>
      </c>
      <c r="K23" s="5" t="str">
        <f>IF($H23="","",INDEX(Facturas!$U$8:$U$300,MATCH(ROW(A8),Facturas!$AA$8:$AA$300,0)))</f>
        <v>Próxima</v>
      </c>
      <c r="L23" s="6">
        <f>IF($H23="","",INDEX(Facturas!$T$8:$T$300,MATCH(ROW(A8),Facturas!$AA$8:$AA$300,0)))</f>
        <v>653.4</v>
      </c>
    </row>
    <row r="26" spans="2:12" ht="15.6" x14ac:dyDescent="0.3">
      <c r="B26" s="39" t="s">
        <v>32</v>
      </c>
      <c r="C26" s="40"/>
      <c r="D26" s="40"/>
      <c r="E26" s="40"/>
      <c r="F26" s="40"/>
      <c r="H26" s="39" t="s">
        <v>33</v>
      </c>
      <c r="I26" s="40"/>
      <c r="J26" s="40"/>
      <c r="K26" s="40"/>
    </row>
    <row r="27" spans="2:12" x14ac:dyDescent="0.3">
      <c r="B27" s="4" t="s">
        <v>34</v>
      </c>
      <c r="C27" s="4" t="s">
        <v>35</v>
      </c>
      <c r="D27" s="4" t="s">
        <v>36</v>
      </c>
      <c r="E27" s="4" t="s">
        <v>37</v>
      </c>
      <c r="F27" s="4" t="s">
        <v>38</v>
      </c>
      <c r="H27" s="4" t="s">
        <v>24</v>
      </c>
      <c r="I27" s="4" t="s">
        <v>22</v>
      </c>
      <c r="J27" s="4" t="s">
        <v>39</v>
      </c>
      <c r="K27" s="4" t="s">
        <v>40</v>
      </c>
    </row>
    <row r="28" spans="2:12" x14ac:dyDescent="0.3">
      <c r="B28" s="9">
        <v>46023</v>
      </c>
      <c r="C28" s="6">
        <f>SUMIFS(Facturas!$R$8:$R$300,Facturas!$G$8:$G$300,"&gt;="&amp;$B28,Facturas!$G$8:$G$300,"&lt;"&amp;EDATE($B28,1))</f>
        <v>3327.5</v>
      </c>
      <c r="D28" s="6">
        <f>SUMIFS(Pagos!$D$8:$D$300,Pagos!$C$8:$C$300,"&gt;="&amp;$B28,Pagos!$C$8:$C$300,"&lt;"&amp;EDATE($B28,1),Pagos!$F$8:$F$300,"Aplicado")</f>
        <v>0</v>
      </c>
      <c r="E28" s="6">
        <f>SUMIFS(Pagos!$D$8:$D$300,Pagos!$C$8:$C$300,"&gt;="&amp;$B28,Pagos!$C$8:$C$300,"&lt;"&amp;EDATE($B28,1),Pagos!$F$8:$F$300,"Programado")</f>
        <v>0</v>
      </c>
      <c r="F28" s="6">
        <f>SUMIFS(Facturas!$T$8:$T$300,Facturas!$G$8:$G$300,"&gt;="&amp;$B28,Facturas!$G$8:$G$300,"&lt;"&amp;EDATE($B28,1))</f>
        <v>1141.7</v>
      </c>
      <c r="H28" s="8" t="str">
        <f>IFERROR(INDEX(Listas!$A$3:$A$13,MATCH(LARGE(Listas!$L$3:$L$13,ROW(A1)),Listas!$L$3:$L$13,0)),"")</f>
        <v>Grano Norte Coffee Supply S.L.</v>
      </c>
      <c r="I28" s="6">
        <f>IF($H28="","",SUMIFS(Facturas!$T$8:$T$300,Facturas!$B$8:$B$300,$H28))</f>
        <v>1683</v>
      </c>
      <c r="J28" s="6">
        <f>IF($H28="","",SUMIFS(Facturas!$R$8:$R$300,Facturas!$B$8:$B$300,$H28))</f>
        <v>1683</v>
      </c>
      <c r="K28" s="8" t="str">
        <f>IF($H28="","",IFERROR(VLOOKUP($H28,Listas!$A$3:$F$13,6,FALSE),""))</f>
        <v>Nora Vidal</v>
      </c>
    </row>
    <row r="29" spans="2:12" x14ac:dyDescent="0.3">
      <c r="B29" s="9">
        <v>46054</v>
      </c>
      <c r="C29" s="6">
        <f>SUMIFS(Facturas!$R$8:$R$300,Facturas!$G$8:$G$300,"&gt;="&amp;$B29,Facturas!$G$8:$G$300,"&lt;"&amp;EDATE($B29,1))</f>
        <v>3726</v>
      </c>
      <c r="D29" s="6">
        <f>SUMIFS(Pagos!$D$8:$D$300,Pagos!$C$8:$C$300,"&gt;="&amp;$B29,Pagos!$C$8:$C$300,"&lt;"&amp;EDATE($B29,1),Pagos!$F$8:$F$300,"Aplicado")</f>
        <v>2185.8000000000002</v>
      </c>
      <c r="E29" s="6">
        <f>SUMIFS(Pagos!$D$8:$D$300,Pagos!$C$8:$C$300,"&gt;="&amp;$B29,Pagos!$C$8:$C$300,"&lt;"&amp;EDATE($B29,1),Pagos!$F$8:$F$300,"Programado")</f>
        <v>0</v>
      </c>
      <c r="F29" s="6">
        <f>SUMIFS(Facturas!$T$8:$T$300,Facturas!$G$8:$G$300,"&gt;="&amp;$B29,Facturas!$G$8:$G$300,"&lt;"&amp;EDATE($B29,1))</f>
        <v>594</v>
      </c>
      <c r="H29" s="8" t="str">
        <f>IFERROR(INDEX(Listas!$A$3:$A$13,MATCH(LARGE(Listas!$L$3:$L$13,ROW(A2)),Listas!$L$3:$L$13,0)),"")</f>
        <v>Pixel Bruma Creativa S.L.</v>
      </c>
      <c r="I29" s="6">
        <f>IF($H29="","",SUMIFS(Facturas!$T$8:$T$300,Facturas!$B$8:$B$300,$H29))</f>
        <v>1507.2</v>
      </c>
      <c r="J29" s="6">
        <f>IF($H29="","",SUMIFS(Facturas!$R$8:$R$300,Facturas!$B$8:$B$300,$H29))</f>
        <v>2807.2</v>
      </c>
      <c r="K29" s="8" t="str">
        <f>IF($H29="","",IFERROR(VLOOKUP($H29,Listas!$A$3:$F$13,6,FALSE),""))</f>
        <v>Víctor Lago</v>
      </c>
    </row>
    <row r="30" spans="2:12" x14ac:dyDescent="0.3">
      <c r="B30" s="9">
        <v>46082</v>
      </c>
      <c r="C30" s="6">
        <f>SUMIFS(Facturas!$R$8:$R$300,Facturas!$G$8:$G$300,"&gt;="&amp;$B30,Facturas!$G$8:$G$300,"&lt;"&amp;EDATE($B30,1))</f>
        <v>7169.9</v>
      </c>
      <c r="D30" s="6">
        <f>SUMIFS(Pagos!$D$8:$D$300,Pagos!$C$8:$C$300,"&gt;="&amp;$B30,Pagos!$C$8:$C$300,"&lt;"&amp;EDATE($B30,1),Pagos!$F$8:$F$300,"Aplicado")</f>
        <v>3132</v>
      </c>
      <c r="E30" s="6">
        <f>SUMIFS(Pagos!$D$8:$D$300,Pagos!$C$8:$C$300,"&gt;="&amp;$B30,Pagos!$C$8:$C$300,"&lt;"&amp;EDATE($B30,1),Pagos!$F$8:$F$300,"Programado")</f>
        <v>0</v>
      </c>
      <c r="F30" s="6">
        <f>SUMIFS(Facturas!$T$8:$T$300,Facturas!$G$8:$G$300,"&gt;="&amp;$B30,Facturas!$G$8:$G$300,"&lt;"&amp;EDATE($B30,1))</f>
        <v>4861.7</v>
      </c>
      <c r="H30" s="8" t="str">
        <f>IFERROR(INDEX(Listas!$A$3:$A$13,MATCH(LARGE(Listas!$L$3:$L$13,ROW(A3)),Listas!$L$3:$L$13,0)),"")</f>
        <v>Órbita Limpieza Técnica S.L.</v>
      </c>
      <c r="I30" s="6">
        <f>IF($H30="","",SUMIFS(Facturas!$T$8:$T$300,Facturas!$B$8:$B$300,$H30))</f>
        <v>1427.8</v>
      </c>
      <c r="J30" s="6">
        <f>IF($H30="","",SUMIFS(Facturas!$R$8:$R$300,Facturas!$B$8:$B$300,$H30))</f>
        <v>1427.8</v>
      </c>
      <c r="K30" s="8" t="str">
        <f>IF($H30="","",IFERROR(VLOOKUP($H30,Listas!$A$3:$F$13,6,FALSE),""))</f>
        <v>Pablo Riu</v>
      </c>
    </row>
    <row r="31" spans="2:12" x14ac:dyDescent="0.3">
      <c r="B31" s="9">
        <v>46113</v>
      </c>
      <c r="C31" s="6">
        <f>SUMIFS(Facturas!$R$8:$R$300,Facturas!$G$8:$G$300,"&gt;="&amp;$B31,Facturas!$G$8:$G$300,"&lt;"&amp;EDATE($B31,1))</f>
        <v>4757.5499999999993</v>
      </c>
      <c r="D31" s="6">
        <f>SUMIFS(Pagos!$D$8:$D$300,Pagos!$C$8:$C$300,"&gt;="&amp;$B31,Pagos!$C$8:$C$300,"&lt;"&amp;EDATE($B31,1),Pagos!$F$8:$F$300,"Aplicado")</f>
        <v>2308.1999999999998</v>
      </c>
      <c r="E31" s="6">
        <f>SUMIFS(Pagos!$D$8:$D$300,Pagos!$C$8:$C$300,"&gt;="&amp;$B31,Pagos!$C$8:$C$300,"&lt;"&amp;EDATE($B31,1),Pagos!$F$8:$F$300,"Programado")</f>
        <v>1907.9</v>
      </c>
      <c r="F31" s="6">
        <f>SUMIFS(Facturas!$T$8:$T$300,Facturas!$G$8:$G$300,"&gt;="&amp;$B31,Facturas!$G$8:$G$300,"&lt;"&amp;EDATE($B31,1))</f>
        <v>4757.5499999999993</v>
      </c>
      <c r="H31" s="8" t="str">
        <f>IFERROR(INDEX(Listas!$A$3:$A$13,MATCH(LARGE(Listas!$L$3:$L$13,ROW(A4)),Listas!$L$3:$L$13,0)),"")</f>
        <v>Foco y Trama Escenografía S.L.</v>
      </c>
      <c r="I31" s="6">
        <f>IF($H31="","",SUMIFS(Facturas!$T$8:$T$300,Facturas!$B$8:$B$300,$H31))</f>
        <v>1355.2</v>
      </c>
      <c r="J31" s="6">
        <f>IF($H31="","",SUMIFS(Facturas!$R$8:$R$300,Facturas!$B$8:$B$300,$H31))</f>
        <v>1355.2</v>
      </c>
      <c r="K31" s="8" t="str">
        <f>IF($H31="","",IFERROR(VLOOKUP($H31,Listas!$A$3:$F$13,6,FALSE),""))</f>
        <v>Saúl Mena</v>
      </c>
    </row>
    <row r="32" spans="2:12" x14ac:dyDescent="0.3">
      <c r="B32" s="9">
        <v>46143</v>
      </c>
      <c r="C32" s="6">
        <f>SUMIFS(Facturas!$R$8:$R$300,Facturas!$G$8:$G$300,"&gt;="&amp;$B32,Facturas!$G$8:$G$300,"&lt;"&amp;EDATE($B32,1))</f>
        <v>0</v>
      </c>
      <c r="D32" s="6">
        <f>SUMIFS(Pagos!$D$8:$D$300,Pagos!$C$8:$C$300,"&gt;="&amp;$B32,Pagos!$C$8:$C$300,"&lt;"&amp;EDATE($B32,1),Pagos!$F$8:$F$300,"Aplicado")</f>
        <v>0</v>
      </c>
      <c r="E32" s="6">
        <f>SUMIFS(Pagos!$D$8:$D$300,Pagos!$C$8:$C$300,"&gt;="&amp;$B32,Pagos!$C$8:$C$300,"&lt;"&amp;EDATE($B32,1),Pagos!$F$8:$F$300,"Programado")</f>
        <v>0</v>
      </c>
      <c r="F32" s="6">
        <f>SUMIFS(Facturas!$T$8:$T$300,Facturas!$G$8:$G$300,"&gt;="&amp;$B32,Facturas!$G$8:$G$300,"&lt;"&amp;EDATE($B32,1))</f>
        <v>0</v>
      </c>
      <c r="H32" s="8" t="str">
        <f>IFERROR(INDEX(Listas!$A$3:$A$13,MATCH(LARGE(Listas!$L$3:$L$13,ROW(A5)),Listas!$L$3:$L$13,0)),"")</f>
        <v>Prisma Legal Advisory S.L.P.</v>
      </c>
      <c r="I32" s="6">
        <f>IF($H32="","",SUMIFS(Facturas!$T$8:$T$300,Facturas!$B$8:$B$300,$H32))</f>
        <v>1325</v>
      </c>
      <c r="J32" s="6">
        <f>IF($H32="","",SUMIFS(Facturas!$R$8:$R$300,Facturas!$B$8:$B$300,$H32))</f>
        <v>2279</v>
      </c>
      <c r="K32" s="8" t="str">
        <f>IF($H32="","",IFERROR(VLOOKUP($H32,Listas!$A$3:$F$13,6,FALSE),""))</f>
        <v>Irene Cobo</v>
      </c>
    </row>
    <row r="33" spans="2:11" x14ac:dyDescent="0.3">
      <c r="B33" s="9">
        <v>46174</v>
      </c>
      <c r="C33" s="6">
        <f>SUMIFS(Facturas!$R$8:$R$300,Facturas!$G$8:$G$300,"&gt;="&amp;$B33,Facturas!$G$8:$G$300,"&lt;"&amp;EDATE($B33,1))</f>
        <v>0</v>
      </c>
      <c r="D33" s="6">
        <f>SUMIFS(Pagos!$D$8:$D$300,Pagos!$C$8:$C$300,"&gt;="&amp;$B33,Pagos!$C$8:$C$300,"&lt;"&amp;EDATE($B33,1),Pagos!$F$8:$F$300,"Aplicado")</f>
        <v>0</v>
      </c>
      <c r="E33" s="6">
        <f>SUMIFS(Pagos!$D$8:$D$300,Pagos!$C$8:$C$300,"&gt;="&amp;$B33,Pagos!$C$8:$C$300,"&lt;"&amp;EDATE($B33,1),Pagos!$F$8:$F$300,"Programado")</f>
        <v>0</v>
      </c>
      <c r="F33" s="6">
        <f>SUMIFS(Facturas!$T$8:$T$300,Facturas!$G$8:$G$300,"&gt;="&amp;$B33,Facturas!$G$8:$G$300,"&lt;"&amp;EDATE($B33,1))</f>
        <v>0</v>
      </c>
      <c r="H33" s="8" t="str">
        <f>IFERROR(INDEX(Listas!$A$3:$A$13,MATCH(LARGE(Listas!$L$3:$L$13,ROW(A6)),Listas!$L$3:$L$13,0)),"")</f>
        <v>Taller Vía Dos S.L.</v>
      </c>
      <c r="I33" s="6">
        <f>IF($H33="","",SUMIFS(Facturas!$T$8:$T$300,Facturas!$B$8:$B$300,$H33))</f>
        <v>1183</v>
      </c>
      <c r="J33" s="6">
        <f>IF($H33="","",SUMIFS(Facturas!$R$8:$R$300,Facturas!$B$8:$B$300,$H33))</f>
        <v>2683</v>
      </c>
      <c r="K33" s="8" t="str">
        <f>IF($H33="","",IFERROR(VLOOKUP($H33,Listas!$A$3:$F$13,6,FALSE),""))</f>
        <v>Rocío Alba</v>
      </c>
    </row>
    <row r="34" spans="2:11" x14ac:dyDescent="0.3">
      <c r="B34" s="9">
        <v>46204</v>
      </c>
      <c r="C34" s="6">
        <f>SUMIFS(Facturas!$R$8:$R$300,Facturas!$G$8:$G$300,"&gt;="&amp;$B34,Facturas!$G$8:$G$300,"&lt;"&amp;EDATE($B34,1))</f>
        <v>0</v>
      </c>
      <c r="D34" s="6">
        <f>SUMIFS(Pagos!$D$8:$D$300,Pagos!$C$8:$C$300,"&gt;="&amp;$B34,Pagos!$C$8:$C$300,"&lt;"&amp;EDATE($B34,1),Pagos!$F$8:$F$300,"Aplicado")</f>
        <v>0</v>
      </c>
      <c r="E34" s="6">
        <f>SUMIFS(Pagos!$D$8:$D$300,Pagos!$C$8:$C$300,"&gt;="&amp;$B34,Pagos!$C$8:$C$300,"&lt;"&amp;EDATE($B34,1),Pagos!$F$8:$F$300,"Programado")</f>
        <v>0</v>
      </c>
      <c r="F34" s="6">
        <f>SUMIFS(Facturas!$T$8:$T$300,Facturas!$G$8:$G$300,"&gt;="&amp;$B34,Facturas!$G$8:$G$300,"&lt;"&amp;EDATE($B34,1))</f>
        <v>0</v>
      </c>
    </row>
    <row r="35" spans="2:11" x14ac:dyDescent="0.3">
      <c r="B35" s="9">
        <v>46235</v>
      </c>
      <c r="C35" s="6">
        <f>SUMIFS(Facturas!$R$8:$R$300,Facturas!$G$8:$G$300,"&gt;="&amp;$B35,Facturas!$G$8:$G$300,"&lt;"&amp;EDATE($B35,1))</f>
        <v>0</v>
      </c>
      <c r="D35" s="6">
        <f>SUMIFS(Pagos!$D$8:$D$300,Pagos!$C$8:$C$300,"&gt;="&amp;$B35,Pagos!$C$8:$C$300,"&lt;"&amp;EDATE($B35,1),Pagos!$F$8:$F$300,"Aplicado")</f>
        <v>0</v>
      </c>
      <c r="E35" s="6">
        <f>SUMIFS(Pagos!$D$8:$D$300,Pagos!$C$8:$C$300,"&gt;="&amp;$B35,Pagos!$C$8:$C$300,"&lt;"&amp;EDATE($B35,1),Pagos!$F$8:$F$300,"Programado")</f>
        <v>0</v>
      </c>
      <c r="F35" s="6">
        <f>SUMIFS(Facturas!$T$8:$T$300,Facturas!$G$8:$G$300,"&gt;="&amp;$B35,Facturas!$G$8:$G$300,"&lt;"&amp;EDATE($B35,1))</f>
        <v>0</v>
      </c>
    </row>
    <row r="36" spans="2:11" x14ac:dyDescent="0.3">
      <c r="B36" s="9">
        <v>46266</v>
      </c>
      <c r="C36" s="6">
        <f>SUMIFS(Facturas!$R$8:$R$300,Facturas!$G$8:$G$300,"&gt;="&amp;$B36,Facturas!$G$8:$G$300,"&lt;"&amp;EDATE($B36,1))</f>
        <v>0</v>
      </c>
      <c r="D36" s="6">
        <f>SUMIFS(Pagos!$D$8:$D$300,Pagos!$C$8:$C$300,"&gt;="&amp;$B36,Pagos!$C$8:$C$300,"&lt;"&amp;EDATE($B36,1),Pagos!$F$8:$F$300,"Aplicado")</f>
        <v>0</v>
      </c>
      <c r="E36" s="6">
        <f>SUMIFS(Pagos!$D$8:$D$300,Pagos!$C$8:$C$300,"&gt;="&amp;$B36,Pagos!$C$8:$C$300,"&lt;"&amp;EDATE($B36,1),Pagos!$F$8:$F$300,"Programado")</f>
        <v>0</v>
      </c>
      <c r="F36" s="6">
        <f>SUMIFS(Facturas!$T$8:$T$300,Facturas!$G$8:$G$300,"&gt;="&amp;$B36,Facturas!$G$8:$G$300,"&lt;"&amp;EDATE($B36,1))</f>
        <v>0</v>
      </c>
    </row>
    <row r="37" spans="2:11" x14ac:dyDescent="0.3">
      <c r="B37" s="9">
        <v>46296</v>
      </c>
      <c r="C37" s="6">
        <f>SUMIFS(Facturas!$R$8:$R$300,Facturas!$G$8:$G$300,"&gt;="&amp;$B37,Facturas!$G$8:$G$300,"&lt;"&amp;EDATE($B37,1))</f>
        <v>0</v>
      </c>
      <c r="D37" s="6">
        <f>SUMIFS(Pagos!$D$8:$D$300,Pagos!$C$8:$C$300,"&gt;="&amp;$B37,Pagos!$C$8:$C$300,"&lt;"&amp;EDATE($B37,1),Pagos!$F$8:$F$300,"Aplicado")</f>
        <v>0</v>
      </c>
      <c r="E37" s="6">
        <f>SUMIFS(Pagos!$D$8:$D$300,Pagos!$C$8:$C$300,"&gt;="&amp;$B37,Pagos!$C$8:$C$300,"&lt;"&amp;EDATE($B37,1),Pagos!$F$8:$F$300,"Programado")</f>
        <v>0</v>
      </c>
      <c r="F37" s="6">
        <f>SUMIFS(Facturas!$T$8:$T$300,Facturas!$G$8:$G$300,"&gt;="&amp;$B37,Facturas!$G$8:$G$300,"&lt;"&amp;EDATE($B37,1))</f>
        <v>0</v>
      </c>
    </row>
    <row r="38" spans="2:11" x14ac:dyDescent="0.3">
      <c r="B38" s="9">
        <v>46327</v>
      </c>
      <c r="C38" s="6">
        <f>SUMIFS(Facturas!$R$8:$R$300,Facturas!$G$8:$G$300,"&gt;="&amp;$B38,Facturas!$G$8:$G$300,"&lt;"&amp;EDATE($B38,1))</f>
        <v>0</v>
      </c>
      <c r="D38" s="6">
        <f>SUMIFS(Pagos!$D$8:$D$300,Pagos!$C$8:$C$300,"&gt;="&amp;$B38,Pagos!$C$8:$C$300,"&lt;"&amp;EDATE($B38,1),Pagos!$F$8:$F$300,"Aplicado")</f>
        <v>0</v>
      </c>
      <c r="E38" s="6">
        <f>SUMIFS(Pagos!$D$8:$D$300,Pagos!$C$8:$C$300,"&gt;="&amp;$B38,Pagos!$C$8:$C$300,"&lt;"&amp;EDATE($B38,1),Pagos!$F$8:$F$300,"Programado")</f>
        <v>0</v>
      </c>
      <c r="F38" s="6">
        <f>SUMIFS(Facturas!$T$8:$T$300,Facturas!$G$8:$G$300,"&gt;="&amp;$B38,Facturas!$G$8:$G$300,"&lt;"&amp;EDATE($B38,1))</f>
        <v>0</v>
      </c>
    </row>
    <row r="39" spans="2:11" x14ac:dyDescent="0.3">
      <c r="B39" s="9">
        <v>46357</v>
      </c>
      <c r="C39" s="6">
        <f>SUMIFS(Facturas!$R$8:$R$300,Facturas!$G$8:$G$300,"&gt;="&amp;$B39,Facturas!$G$8:$G$300,"&lt;"&amp;EDATE($B39,1))</f>
        <v>0</v>
      </c>
      <c r="D39" s="6">
        <f>SUMIFS(Pagos!$D$8:$D$300,Pagos!$C$8:$C$300,"&gt;="&amp;$B39,Pagos!$C$8:$C$300,"&lt;"&amp;EDATE($B39,1),Pagos!$F$8:$F$300,"Aplicado")</f>
        <v>0</v>
      </c>
      <c r="E39" s="6">
        <f>SUMIFS(Pagos!$D$8:$D$300,Pagos!$C$8:$C$300,"&gt;="&amp;$B39,Pagos!$C$8:$C$300,"&lt;"&amp;EDATE($B39,1),Pagos!$F$8:$F$300,"Programado")</f>
        <v>0</v>
      </c>
      <c r="F39" s="6">
        <f>SUMIFS(Facturas!$T$8:$T$300,Facturas!$G$8:$G$300,"&gt;="&amp;$B39,Facturas!$G$8:$G$300,"&lt;"&amp;EDATE($B39,1))</f>
        <v>0</v>
      </c>
    </row>
  </sheetData>
  <mergeCells count="24">
    <mergeCell ref="B26:F26"/>
    <mergeCell ref="H26:K26"/>
    <mergeCell ref="E7:F8"/>
    <mergeCell ref="N7:R13"/>
    <mergeCell ref="B2:R2"/>
    <mergeCell ref="B1:R1"/>
    <mergeCell ref="E6:F6"/>
    <mergeCell ref="B7:C8"/>
    <mergeCell ref="B10:C10"/>
    <mergeCell ref="K6:L6"/>
    <mergeCell ref="H14:L14"/>
    <mergeCell ref="B14:E14"/>
    <mergeCell ref="B6:C6"/>
    <mergeCell ref="B11:C12"/>
    <mergeCell ref="K10:L10"/>
    <mergeCell ref="N6:R6"/>
    <mergeCell ref="H11:I12"/>
    <mergeCell ref="H10:I10"/>
    <mergeCell ref="H7:I8"/>
    <mergeCell ref="E11:F12"/>
    <mergeCell ref="H6:I6"/>
    <mergeCell ref="K7:L8"/>
    <mergeCell ref="E10:F10"/>
    <mergeCell ref="K11:L12"/>
  </mergeCells>
  <conditionalFormatting sqref="L16:L23">
    <cfRule type="cellIs" dxfId="12" priority="4" operator="greaterThan">
      <formula>0</formula>
    </cfRule>
  </conditionalFormatting>
  <conditionalFormatting sqref="K16:K23">
    <cfRule type="expression" dxfId="11" priority="7">
      <formula>$K16="Vencida"</formula>
    </cfRule>
    <cfRule type="expression" dxfId="10" priority="8">
      <formula>$K16="Parcial vencida"</formula>
    </cfRule>
    <cfRule type="expression" dxfId="9" priority="9">
      <formula>$K16="Próxima"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300"/>
  <sheetViews>
    <sheetView showGridLines="0" workbookViewId="0">
      <pane ySplit="7" topLeftCell="A8" activePane="bottomLeft" state="frozen"/>
      <selection pane="bottomLeft" sqref="A1:AA1"/>
    </sheetView>
  </sheetViews>
  <sheetFormatPr baseColWidth="10" defaultColWidth="8.88671875" defaultRowHeight="14.4" x14ac:dyDescent="0.3"/>
  <cols>
    <col min="1" max="1" width="13" customWidth="1"/>
    <col min="2" max="2" width="28" customWidth="1"/>
    <col min="3" max="3" width="14" customWidth="1"/>
    <col min="4" max="4" width="20" customWidth="1"/>
    <col min="5" max="5" width="15" customWidth="1"/>
    <col min="6" max="7" width="12" customWidth="1"/>
    <col min="8" max="8" width="14" customWidth="1"/>
    <col min="9" max="9" width="10" customWidth="1"/>
    <col min="10" max="10" width="12" customWidth="1"/>
    <col min="11" max="11" width="34" customWidth="1"/>
    <col min="12" max="12" width="13" customWidth="1"/>
    <col min="13" max="13" width="8" customWidth="1"/>
    <col min="14" max="14" width="12" customWidth="1"/>
    <col min="15" max="15" width="8" customWidth="1"/>
    <col min="16" max="16" width="12" customWidth="1"/>
    <col min="17" max="17" width="11" customWidth="1"/>
    <col min="18" max="20" width="13" customWidth="1"/>
    <col min="21" max="21" width="16" customWidth="1"/>
    <col min="22" max="22" width="11" customWidth="1"/>
    <col min="23" max="23" width="16" customWidth="1"/>
    <col min="24" max="24" width="15" customWidth="1"/>
    <col min="25" max="25" width="11" customWidth="1"/>
    <col min="26" max="26" width="22" customWidth="1"/>
    <col min="27" max="27" width="12" customWidth="1"/>
  </cols>
  <sheetData>
    <row r="1" spans="1:27" ht="25.95" customHeight="1" x14ac:dyDescent="0.3">
      <c r="A1" s="59" t="s">
        <v>41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</row>
    <row r="2" spans="1:27" x14ac:dyDescent="0.3">
      <c r="A2" s="55" t="s">
        <v>42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</row>
    <row r="4" spans="1:27" x14ac:dyDescent="0.3">
      <c r="B4" s="60" t="s">
        <v>43</v>
      </c>
      <c r="C4" s="33"/>
      <c r="E4" s="53" t="s">
        <v>8</v>
      </c>
      <c r="F4" s="33"/>
      <c r="H4" s="57" t="s">
        <v>9</v>
      </c>
      <c r="I4" s="33"/>
      <c r="K4" s="58" t="s">
        <v>10</v>
      </c>
      <c r="L4" s="33"/>
    </row>
    <row r="5" spans="1:27" ht="17.399999999999999" x14ac:dyDescent="0.35">
      <c r="B5" s="54">
        <f>COUNTIF($A$8:$A$300,"&lt;&gt;")</f>
        <v>20</v>
      </c>
      <c r="C5" s="33"/>
      <c r="E5" s="56">
        <f>SUM($T$8:$T$300)</f>
        <v>11354.949999999999</v>
      </c>
      <c r="F5" s="33"/>
      <c r="H5" s="54">
        <f>COUNTIF($U$8:$U$300,"Vencida")+COUNTIF($U$8:$U$300,"Parcial vencida")</f>
        <v>7</v>
      </c>
      <c r="I5" s="33"/>
      <c r="K5" s="54">
        <f>COUNTIF($U$8:$U$300,"Próxima")</f>
        <v>2</v>
      </c>
      <c r="L5" s="33"/>
    </row>
    <row r="7" spans="1:27" ht="34.049999999999997" customHeight="1" x14ac:dyDescent="0.3">
      <c r="A7" s="10" t="s">
        <v>44</v>
      </c>
      <c r="B7" s="10" t="s">
        <v>24</v>
      </c>
      <c r="C7" s="10" t="s">
        <v>45</v>
      </c>
      <c r="D7" s="10" t="s">
        <v>46</v>
      </c>
      <c r="E7" s="10" t="s">
        <v>47</v>
      </c>
      <c r="F7" s="10" t="s">
        <v>48</v>
      </c>
      <c r="G7" s="10" t="s">
        <v>49</v>
      </c>
      <c r="H7" s="10" t="s">
        <v>50</v>
      </c>
      <c r="I7" s="10" t="s">
        <v>51</v>
      </c>
      <c r="J7" s="10" t="s">
        <v>52</v>
      </c>
      <c r="K7" s="10" t="s">
        <v>53</v>
      </c>
      <c r="L7" s="10" t="s">
        <v>54</v>
      </c>
      <c r="M7" s="10" t="s">
        <v>55</v>
      </c>
      <c r="N7" s="10" t="s">
        <v>56</v>
      </c>
      <c r="O7" s="10" t="s">
        <v>57</v>
      </c>
      <c r="P7" s="10" t="s">
        <v>58</v>
      </c>
      <c r="Q7" s="10" t="s">
        <v>59</v>
      </c>
      <c r="R7" s="10" t="s">
        <v>60</v>
      </c>
      <c r="S7" s="10" t="s">
        <v>61</v>
      </c>
      <c r="T7" s="10" t="s">
        <v>8</v>
      </c>
      <c r="U7" s="10" t="s">
        <v>19</v>
      </c>
      <c r="V7" s="10" t="s">
        <v>62</v>
      </c>
      <c r="W7" s="10" t="s">
        <v>63</v>
      </c>
      <c r="X7" s="10" t="s">
        <v>64</v>
      </c>
      <c r="Y7" s="10" t="s">
        <v>65</v>
      </c>
      <c r="Z7" s="10" t="s">
        <v>66</v>
      </c>
      <c r="AA7" s="10" t="s">
        <v>67</v>
      </c>
    </row>
    <row r="8" spans="1:27" ht="21" customHeight="1" x14ac:dyDescent="0.3">
      <c r="A8" s="11" t="s">
        <v>68</v>
      </c>
      <c r="B8" s="11" t="s">
        <v>69</v>
      </c>
      <c r="C8" s="12" t="str">
        <f>IF($B8="","",IFERROR(VLOOKUP($B8,Listas!$A$3:$G$13,2,FALSE),""))</f>
        <v>B18345671</v>
      </c>
      <c r="D8" s="12" t="str">
        <f>IF($B8="","",IFERROR(VLOOKUP($B8,Listas!$A$3:$G$13,3,FALSE),""))</f>
        <v>Mantenimiento técnico</v>
      </c>
      <c r="E8" s="11" t="s">
        <v>70</v>
      </c>
      <c r="F8" s="13">
        <v>46034</v>
      </c>
      <c r="G8" s="13">
        <v>46034</v>
      </c>
      <c r="H8" s="12" t="str">
        <f>IF($B8="","",IFERROR(VLOOKUP($B8,Listas!$A$3:$G$13,4,FALSE),""))</f>
        <v>30 días</v>
      </c>
      <c r="I8" s="14">
        <f>IF($H8="","",IFERROR(VLOOKUP($H8,Listas!$J$3:$K$7,2,FALSE),""))</f>
        <v>30</v>
      </c>
      <c r="J8" s="15">
        <f t="shared" ref="J8:J39" si="0">IF($G8="","",$G8+$I8)</f>
        <v>46064</v>
      </c>
      <c r="K8" s="11" t="s">
        <v>71</v>
      </c>
      <c r="L8" s="16">
        <v>980</v>
      </c>
      <c r="M8" s="17">
        <v>0.21</v>
      </c>
      <c r="N8" s="18">
        <f t="shared" ref="N8:N39" si="1">IF($L8="","",$L8*$M8)</f>
        <v>205.79999999999998</v>
      </c>
      <c r="O8" s="17">
        <v>0</v>
      </c>
      <c r="P8" s="18">
        <f t="shared" ref="P8:P39" si="2">IF($L8="","",$L8*$O8)</f>
        <v>0</v>
      </c>
      <c r="Q8" s="16">
        <v>0</v>
      </c>
      <c r="R8" s="18">
        <f t="shared" ref="R8:R39" si="3">IF($L8="","",$L8+$N8-$P8-$Q8)</f>
        <v>1185.8</v>
      </c>
      <c r="S8" s="19">
        <f>IF($A8="","",SUMIFS(Pagos!$D$8:$D$300,Pagos!$A$8:$A$300,$A8,Pagos!$F$8:$F$300,"Aplicado"))</f>
        <v>1185.8</v>
      </c>
      <c r="T8" s="20">
        <f t="shared" ref="T8:T39" si="4">IF($A8="","",MAX(0,$R8-$S8))</f>
        <v>0</v>
      </c>
      <c r="U8" s="12" t="str">
        <f>IF($A8="","",IF($T8&lt;=0.005,"Pagada",IF($S8&gt;0,IF($J8&lt;Inicio!$F$3,"Parcial vencida","Pago parcial"),IF($J8&lt;Inicio!$F$3,"Vencida",IF($J8-Inicio!$F$3&lt;=7,"Próxima","Pendiente")))))</f>
        <v>Pagada</v>
      </c>
      <c r="V8" s="14">
        <f>IF(OR($A8="",$T8&lt;=0,$J8&gt;=Inicio!$F$3),0,Inicio!$F$3-$J8)</f>
        <v>0</v>
      </c>
      <c r="W8" s="11" t="s">
        <v>72</v>
      </c>
      <c r="X8" s="11" t="s">
        <v>73</v>
      </c>
      <c r="Y8" s="12" t="str">
        <f>IF($A8="","",IF($T8&lt;=0,"Cerrada",IF($J8&lt;Inicio!$F$3,"Alta",IF($J8-Inicio!$F$3&lt;=7,"Media","Normal"))))</f>
        <v>Cerrada</v>
      </c>
      <c r="Z8" s="11" t="s">
        <v>74</v>
      </c>
      <c r="AA8" s="21" t="str">
        <f t="shared" ref="AA8:AA39" si="5">IF($A8="","",IF($T8&gt;0,COUNTIFS($J$8:$J$300,"&lt;"&amp;$J8,$T$8:$T$300,"&gt;0")+COUNTIFS($J$8:$J$300,$J8,$A$8:$A$300,"&lt;"&amp;$A8,$T$8:$T$300,"&gt;0")+1,""))</f>
        <v/>
      </c>
    </row>
    <row r="9" spans="1:27" ht="21" customHeight="1" x14ac:dyDescent="0.3">
      <c r="A9" s="11" t="s">
        <v>75</v>
      </c>
      <c r="B9" s="11" t="s">
        <v>76</v>
      </c>
      <c r="C9" s="12" t="str">
        <f>IF($B9="","",IFERROR(VLOOKUP($B9,Listas!$A$3:$G$13,2,FALSE),""))</f>
        <v>B29456182</v>
      </c>
      <c r="D9" s="12" t="str">
        <f>IF($B9="","",IFERROR(VLOOKUP($B9,Listas!$A$3:$G$13,3,FALSE),""))</f>
        <v>Servicios creativos</v>
      </c>
      <c r="E9" s="11" t="s">
        <v>77</v>
      </c>
      <c r="F9" s="13">
        <v>46036</v>
      </c>
      <c r="G9" s="13">
        <v>46036</v>
      </c>
      <c r="H9" s="12" t="str">
        <f>IF($B9="","",IFERROR(VLOOKUP($B9,Listas!$A$3:$G$13,4,FALSE),""))</f>
        <v>30 días</v>
      </c>
      <c r="I9" s="14">
        <f>IF($H9="","",IFERROR(VLOOKUP($H9,Listas!$J$3:$K$7,2,FALSE),""))</f>
        <v>30</v>
      </c>
      <c r="J9" s="15">
        <f t="shared" si="0"/>
        <v>46066</v>
      </c>
      <c r="K9" s="11" t="s">
        <v>78</v>
      </c>
      <c r="L9" s="16">
        <v>1450</v>
      </c>
      <c r="M9" s="17">
        <v>0.21</v>
      </c>
      <c r="N9" s="18">
        <f t="shared" si="1"/>
        <v>304.5</v>
      </c>
      <c r="O9" s="17">
        <v>0</v>
      </c>
      <c r="P9" s="18">
        <f t="shared" si="2"/>
        <v>0</v>
      </c>
      <c r="Q9" s="16">
        <v>0</v>
      </c>
      <c r="R9" s="18">
        <f t="shared" si="3"/>
        <v>1754.5</v>
      </c>
      <c r="S9" s="19">
        <f>IF($A9="","",SUMIFS(Pagos!$D$8:$D$300,Pagos!$A$8:$A$300,$A9,Pagos!$F$8:$F$300,"Aplicado"))</f>
        <v>1000</v>
      </c>
      <c r="T9" s="20">
        <f t="shared" si="4"/>
        <v>754.5</v>
      </c>
      <c r="U9" s="12" t="str">
        <f>IF($A9="","",IF($T9&lt;=0.005,"Pagada",IF($S9&gt;0,IF($J9&lt;Inicio!$F$3,"Parcial vencida","Pago parcial"),IF($J9&lt;Inicio!$F$3,"Vencida",IF($J9-Inicio!$F$3&lt;=7,"Próxima","Pendiente")))))</f>
        <v>Parcial vencida</v>
      </c>
      <c r="V9" s="14">
        <f>IF(OR($A9="",$T9&lt;=0,$J9&gt;=Inicio!$F$3),0,Inicio!$F$3-$J9)</f>
        <v>66</v>
      </c>
      <c r="W9" s="11" t="s">
        <v>79</v>
      </c>
      <c r="X9" s="11" t="s">
        <v>80</v>
      </c>
      <c r="Y9" s="12" t="str">
        <f>IF($A9="","",IF($T9&lt;=0,"Cerrada",IF($J9&lt;Inicio!$F$3,"Alta",IF($J9-Inicio!$F$3&lt;=7,"Media","Normal"))))</f>
        <v>Alta</v>
      </c>
      <c r="Z9" s="11" t="s">
        <v>81</v>
      </c>
      <c r="AA9" s="21">
        <f t="shared" si="5"/>
        <v>1</v>
      </c>
    </row>
    <row r="10" spans="1:27" ht="21" customHeight="1" x14ac:dyDescent="0.3">
      <c r="A10" s="11" t="s">
        <v>82</v>
      </c>
      <c r="B10" s="11" t="s">
        <v>83</v>
      </c>
      <c r="C10" s="12" t="str">
        <f>IF($B10="","",IFERROR(VLOOKUP($B10,Listas!$A$3:$G$13,2,FALSE),""))</f>
        <v>B37561294</v>
      </c>
      <c r="D10" s="12" t="str">
        <f>IF($B10="","",IFERROR(VLOOKUP($B10,Listas!$A$3:$G$13,3,FALSE),""))</f>
        <v>Logística</v>
      </c>
      <c r="E10" s="11" t="s">
        <v>84</v>
      </c>
      <c r="F10" s="13">
        <v>46044</v>
      </c>
      <c r="G10" s="13">
        <v>46044</v>
      </c>
      <c r="H10" s="12" t="str">
        <f>IF($B10="","",IFERROR(VLOOKUP($B10,Listas!$A$3:$G$13,4,FALSE),""))</f>
        <v>30 días</v>
      </c>
      <c r="I10" s="14">
        <f>IF($H10="","",IFERROR(VLOOKUP($H10,Listas!$J$3:$K$7,2,FALSE),""))</f>
        <v>30</v>
      </c>
      <c r="J10" s="15">
        <f t="shared" si="0"/>
        <v>46074</v>
      </c>
      <c r="K10" s="11" t="s">
        <v>85</v>
      </c>
      <c r="L10" s="16">
        <v>320</v>
      </c>
      <c r="M10" s="17">
        <v>0.21</v>
      </c>
      <c r="N10" s="18">
        <f t="shared" si="1"/>
        <v>67.2</v>
      </c>
      <c r="O10" s="17">
        <v>0</v>
      </c>
      <c r="P10" s="18">
        <f t="shared" si="2"/>
        <v>0</v>
      </c>
      <c r="Q10" s="16">
        <v>0</v>
      </c>
      <c r="R10" s="18">
        <f t="shared" si="3"/>
        <v>387.2</v>
      </c>
      <c r="S10" s="19">
        <f>IF($A10="","",SUMIFS(Pagos!$D$8:$D$300,Pagos!$A$8:$A$300,$A10,Pagos!$F$8:$F$300,"Aplicado"))</f>
        <v>0</v>
      </c>
      <c r="T10" s="20">
        <f t="shared" si="4"/>
        <v>387.2</v>
      </c>
      <c r="U10" s="12" t="str">
        <f>IF($A10="","",IF($T10&lt;=0.005,"Pagada",IF($S10&gt;0,IF($J10&lt;Inicio!$F$3,"Parcial vencida","Pago parcial"),IF($J10&lt;Inicio!$F$3,"Vencida",IF($J10-Inicio!$F$3&lt;=7,"Próxima","Pendiente")))))</f>
        <v>Vencida</v>
      </c>
      <c r="V10" s="14">
        <f>IF(OR($A10="",$T10&lt;=0,$J10&gt;=Inicio!$F$3),0,Inicio!$F$3-$J10)</f>
        <v>58</v>
      </c>
      <c r="W10" s="11" t="s">
        <v>86</v>
      </c>
      <c r="X10" s="11" t="s">
        <v>87</v>
      </c>
      <c r="Y10" s="12" t="str">
        <f>IF($A10="","",IF($T10&lt;=0,"Cerrada",IF($J10&lt;Inicio!$F$3,"Alta",IF($J10-Inicio!$F$3&lt;=7,"Media","Normal"))))</f>
        <v>Alta</v>
      </c>
      <c r="Z10" s="11" t="s">
        <v>88</v>
      </c>
      <c r="AA10" s="21">
        <f t="shared" si="5"/>
        <v>3</v>
      </c>
    </row>
    <row r="11" spans="1:27" ht="21" customHeight="1" x14ac:dyDescent="0.3">
      <c r="A11" s="11" t="s">
        <v>89</v>
      </c>
      <c r="B11" s="11" t="s">
        <v>90</v>
      </c>
      <c r="C11" s="12" t="str">
        <f>IF($B11="","",IFERROR(VLOOKUP($B11,Listas!$A$3:$G$13,2,FALSE),""))</f>
        <v>B48672315</v>
      </c>
      <c r="D11" s="12" t="str">
        <f>IF($B11="","",IFERROR(VLOOKUP($B11,Listas!$A$3:$G$13,3,FALSE),""))</f>
        <v>Catering y office</v>
      </c>
      <c r="E11" s="11" t="s">
        <v>91</v>
      </c>
      <c r="F11" s="13">
        <v>46056</v>
      </c>
      <c r="G11" s="13">
        <v>46056</v>
      </c>
      <c r="H11" s="12" t="str">
        <f>IF($B11="","",IFERROR(VLOOKUP($B11,Listas!$A$3:$G$13,4,FALSE),""))</f>
        <v>15 días</v>
      </c>
      <c r="I11" s="14">
        <f>IF($H11="","",IFERROR(VLOOKUP($H11,Listas!$J$3:$K$7,2,FALSE),""))</f>
        <v>15</v>
      </c>
      <c r="J11" s="15">
        <f t="shared" si="0"/>
        <v>46071</v>
      </c>
      <c r="K11" s="11" t="s">
        <v>92</v>
      </c>
      <c r="L11" s="16">
        <v>540</v>
      </c>
      <c r="M11" s="17">
        <v>0.1</v>
      </c>
      <c r="N11" s="18">
        <f t="shared" si="1"/>
        <v>54</v>
      </c>
      <c r="O11" s="17">
        <v>0</v>
      </c>
      <c r="P11" s="18">
        <f t="shared" si="2"/>
        <v>0</v>
      </c>
      <c r="Q11" s="16">
        <v>0</v>
      </c>
      <c r="R11" s="18">
        <f t="shared" si="3"/>
        <v>594</v>
      </c>
      <c r="S11" s="19">
        <f>IF($A11="","",SUMIFS(Pagos!$D$8:$D$300,Pagos!$A$8:$A$300,$A11,Pagos!$F$8:$F$300,"Aplicado"))</f>
        <v>0</v>
      </c>
      <c r="T11" s="20">
        <f t="shared" si="4"/>
        <v>594</v>
      </c>
      <c r="U11" s="12" t="str">
        <f>IF($A11="","",IF($T11&lt;=0.005,"Pagada",IF($S11&gt;0,IF($J11&lt;Inicio!$F$3,"Parcial vencida","Pago parcial"),IF($J11&lt;Inicio!$F$3,"Vencida",IF($J11-Inicio!$F$3&lt;=7,"Próxima","Pendiente")))))</f>
        <v>Vencida</v>
      </c>
      <c r="V11" s="14">
        <f>IF(OR($A11="",$T11&lt;=0,$J11&gt;=Inicio!$F$3),0,Inicio!$F$3-$J11)</f>
        <v>61</v>
      </c>
      <c r="W11" s="11" t="s">
        <v>93</v>
      </c>
      <c r="X11" s="11" t="s">
        <v>94</v>
      </c>
      <c r="Y11" s="12" t="str">
        <f>IF($A11="","",IF($T11&lt;=0,"Cerrada",IF($J11&lt;Inicio!$F$3,"Alta",IF($J11-Inicio!$F$3&lt;=7,"Media","Normal"))))</f>
        <v>Alta</v>
      </c>
      <c r="Z11" s="11" t="s">
        <v>95</v>
      </c>
      <c r="AA11" s="21">
        <f t="shared" si="5"/>
        <v>2</v>
      </c>
    </row>
    <row r="12" spans="1:27" ht="21" customHeight="1" x14ac:dyDescent="0.3">
      <c r="A12" s="11" t="s">
        <v>96</v>
      </c>
      <c r="B12" s="11" t="s">
        <v>97</v>
      </c>
      <c r="C12" s="12" t="str">
        <f>IF($B12="","",IFERROR(VLOOKUP($B12,Listas!$A$3:$G$13,2,FALSE),""))</f>
        <v>B73905648</v>
      </c>
      <c r="D12" s="12" t="str">
        <f>IF($B12="","",IFERROR(VLOOKUP($B12,Listas!$A$3:$G$13,3,FALSE),""))</f>
        <v>Software y cloud</v>
      </c>
      <c r="E12" s="11" t="s">
        <v>98</v>
      </c>
      <c r="F12" s="13">
        <v>46058</v>
      </c>
      <c r="G12" s="13">
        <v>46058</v>
      </c>
      <c r="H12" s="12" t="str">
        <f>IF($B12="","",IFERROR(VLOOKUP($B12,Listas!$A$3:$G$13,4,FALSE),""))</f>
        <v>30 días</v>
      </c>
      <c r="I12" s="14">
        <f>IF($H12="","",IFERROR(VLOOKUP($H12,Listas!$J$3:$K$7,2,FALSE),""))</f>
        <v>30</v>
      </c>
      <c r="J12" s="15">
        <f t="shared" si="0"/>
        <v>46088</v>
      </c>
      <c r="K12" s="11" t="s">
        <v>99</v>
      </c>
      <c r="L12" s="16">
        <v>1800</v>
      </c>
      <c r="M12" s="17">
        <v>0.21</v>
      </c>
      <c r="N12" s="18">
        <f t="shared" si="1"/>
        <v>378</v>
      </c>
      <c r="O12" s="17">
        <v>0</v>
      </c>
      <c r="P12" s="18">
        <f t="shared" si="2"/>
        <v>0</v>
      </c>
      <c r="Q12" s="16">
        <v>0</v>
      </c>
      <c r="R12" s="18">
        <f t="shared" si="3"/>
        <v>2178</v>
      </c>
      <c r="S12" s="19">
        <f>IF($A12="","",SUMIFS(Pagos!$D$8:$D$300,Pagos!$A$8:$A$300,$A12,Pagos!$F$8:$F$300,"Aplicado"))</f>
        <v>2178</v>
      </c>
      <c r="T12" s="20">
        <f t="shared" si="4"/>
        <v>0</v>
      </c>
      <c r="U12" s="12" t="str">
        <f>IF($A12="","",IF($T12&lt;=0.005,"Pagada",IF($S12&gt;0,IF($J12&lt;Inicio!$F$3,"Parcial vencida","Pago parcial"),IF($J12&lt;Inicio!$F$3,"Vencida",IF($J12-Inicio!$F$3&lt;=7,"Próxima","Pendiente")))))</f>
        <v>Pagada</v>
      </c>
      <c r="V12" s="14">
        <f>IF(OR($A12="",$T12&lt;=0,$J12&gt;=Inicio!$F$3),0,Inicio!$F$3-$J12)</f>
        <v>0</v>
      </c>
      <c r="W12" s="11" t="s">
        <v>100</v>
      </c>
      <c r="X12" s="11" t="s">
        <v>101</v>
      </c>
      <c r="Y12" s="12" t="str">
        <f>IF($A12="","",IF($T12&lt;=0,"Cerrada",IF($J12&lt;Inicio!$F$3,"Alta",IF($J12-Inicio!$F$3&lt;=7,"Media","Normal"))))</f>
        <v>Cerrada</v>
      </c>
      <c r="Z12" s="11" t="s">
        <v>102</v>
      </c>
      <c r="AA12" s="21" t="str">
        <f t="shared" si="5"/>
        <v/>
      </c>
    </row>
    <row r="13" spans="1:27" ht="21" customHeight="1" x14ac:dyDescent="0.3">
      <c r="A13" s="11" t="s">
        <v>103</v>
      </c>
      <c r="B13" s="11" t="s">
        <v>104</v>
      </c>
      <c r="C13" s="12" t="str">
        <f>IF($B13="","",IFERROR(VLOOKUP($B13,Listas!$A$3:$G$13,2,FALSE),""))</f>
        <v>B62894537</v>
      </c>
      <c r="D13" s="12" t="str">
        <f>IF($B13="","",IFERROR(VLOOKUP($B13,Listas!$A$3:$G$13,3,FALSE),""))</f>
        <v>Asesoría legal</v>
      </c>
      <c r="E13" s="11" t="s">
        <v>91</v>
      </c>
      <c r="F13" s="13">
        <v>46072</v>
      </c>
      <c r="G13" s="13">
        <v>46072</v>
      </c>
      <c r="H13" s="12" t="str">
        <f>IF($B13="","",IFERROR(VLOOKUP($B13,Listas!$A$3:$G$13,4,FALSE),""))</f>
        <v>30 días</v>
      </c>
      <c r="I13" s="14">
        <f>IF($H13="","",IFERROR(VLOOKUP($H13,Listas!$J$3:$K$7,2,FALSE),""))</f>
        <v>30</v>
      </c>
      <c r="J13" s="15">
        <f t="shared" si="0"/>
        <v>46102</v>
      </c>
      <c r="K13" s="11" t="s">
        <v>105</v>
      </c>
      <c r="L13" s="16">
        <v>900</v>
      </c>
      <c r="M13" s="17">
        <v>0.21</v>
      </c>
      <c r="N13" s="18">
        <f t="shared" si="1"/>
        <v>189</v>
      </c>
      <c r="O13" s="17">
        <v>0.15</v>
      </c>
      <c r="P13" s="18">
        <f t="shared" si="2"/>
        <v>135</v>
      </c>
      <c r="Q13" s="16">
        <v>0</v>
      </c>
      <c r="R13" s="18">
        <f t="shared" si="3"/>
        <v>954</v>
      </c>
      <c r="S13" s="19">
        <f>IF($A13="","",SUMIFS(Pagos!$D$8:$D$300,Pagos!$A$8:$A$300,$A13,Pagos!$F$8:$F$300,"Aplicado"))</f>
        <v>954</v>
      </c>
      <c r="T13" s="20">
        <f t="shared" si="4"/>
        <v>0</v>
      </c>
      <c r="U13" s="12" t="str">
        <f>IF($A13="","",IF($T13&lt;=0.005,"Pagada",IF($S13&gt;0,IF($J13&lt;Inicio!$F$3,"Parcial vencida","Pago parcial"),IF($J13&lt;Inicio!$F$3,"Vencida",IF($J13-Inicio!$F$3&lt;=7,"Próxima","Pendiente")))))</f>
        <v>Pagada</v>
      </c>
      <c r="V13" s="14">
        <f>IF(OR($A13="",$T13&lt;=0,$J13&gt;=Inicio!$F$3),0,Inicio!$F$3-$J13)</f>
        <v>0</v>
      </c>
      <c r="W13" s="11" t="s">
        <v>72</v>
      </c>
      <c r="X13" s="11" t="s">
        <v>106</v>
      </c>
      <c r="Y13" s="12" t="str">
        <f>IF($A13="","",IF($T13&lt;=0,"Cerrada",IF($J13&lt;Inicio!$F$3,"Alta",IF($J13-Inicio!$F$3&lt;=7,"Media","Normal"))))</f>
        <v>Cerrada</v>
      </c>
      <c r="Z13" s="11" t="s">
        <v>107</v>
      </c>
      <c r="AA13" s="21" t="str">
        <f t="shared" si="5"/>
        <v/>
      </c>
    </row>
    <row r="14" spans="1:27" ht="21" customHeight="1" x14ac:dyDescent="0.3">
      <c r="A14" s="11" t="s">
        <v>108</v>
      </c>
      <c r="B14" s="11" t="s">
        <v>109</v>
      </c>
      <c r="C14" s="12" t="str">
        <f>IF($B14="","",IFERROR(VLOOKUP($B14,Listas!$A$3:$G$13,2,FALSE),""))</f>
        <v>B95127860</v>
      </c>
      <c r="D14" s="12" t="str">
        <f>IF($B14="","",IFERROR(VLOOKUP($B14,Listas!$A$3:$G$13,3,FALSE),""))</f>
        <v>Limpieza</v>
      </c>
      <c r="E14" s="11" t="s">
        <v>70</v>
      </c>
      <c r="F14" s="13">
        <v>46083</v>
      </c>
      <c r="G14" s="13">
        <v>46083</v>
      </c>
      <c r="H14" s="12" t="str">
        <f>IF($B14="","",IFERROR(VLOOKUP($B14,Listas!$A$3:$G$13,4,FALSE),""))</f>
        <v>30 días</v>
      </c>
      <c r="I14" s="14">
        <f>IF($H14="","",IFERROR(VLOOKUP($H14,Listas!$J$3:$K$7,2,FALSE),""))</f>
        <v>30</v>
      </c>
      <c r="J14" s="15">
        <f t="shared" si="0"/>
        <v>46113</v>
      </c>
      <c r="K14" s="11" t="s">
        <v>110</v>
      </c>
      <c r="L14" s="16">
        <v>760</v>
      </c>
      <c r="M14" s="17">
        <v>0.21</v>
      </c>
      <c r="N14" s="18">
        <f t="shared" si="1"/>
        <v>159.6</v>
      </c>
      <c r="O14" s="17">
        <v>0</v>
      </c>
      <c r="P14" s="18">
        <f t="shared" si="2"/>
        <v>0</v>
      </c>
      <c r="Q14" s="16">
        <v>0</v>
      </c>
      <c r="R14" s="18">
        <f t="shared" si="3"/>
        <v>919.6</v>
      </c>
      <c r="S14" s="19">
        <f>IF($A14="","",SUMIFS(Pagos!$D$8:$D$300,Pagos!$A$8:$A$300,$A14,Pagos!$F$8:$F$300,"Aplicado"))</f>
        <v>0</v>
      </c>
      <c r="T14" s="20">
        <f t="shared" si="4"/>
        <v>919.6</v>
      </c>
      <c r="U14" s="12" t="str">
        <f>IF($A14="","",IF($T14&lt;=0.005,"Pagada",IF($S14&gt;0,IF($J14&lt;Inicio!$F$3,"Parcial vencida","Pago parcial"),IF($J14&lt;Inicio!$F$3,"Vencida",IF($J14-Inicio!$F$3&lt;=7,"Próxima","Pendiente")))))</f>
        <v>Vencida</v>
      </c>
      <c r="V14" s="14">
        <f>IF(OR($A14="",$T14&lt;=0,$J14&gt;=Inicio!$F$3),0,Inicio!$F$3-$J14)</f>
        <v>19</v>
      </c>
      <c r="W14" s="11" t="s">
        <v>86</v>
      </c>
      <c r="X14" s="11" t="s">
        <v>111</v>
      </c>
      <c r="Y14" s="12" t="str">
        <f>IF($A14="","",IF($T14&lt;=0,"Cerrada",IF($J14&lt;Inicio!$F$3,"Alta",IF($J14-Inicio!$F$3&lt;=7,"Media","Normal"))))</f>
        <v>Alta</v>
      </c>
      <c r="Z14" s="11" t="s">
        <v>112</v>
      </c>
      <c r="AA14" s="21">
        <f t="shared" si="5"/>
        <v>4</v>
      </c>
    </row>
    <row r="15" spans="1:27" ht="21" customHeight="1" x14ac:dyDescent="0.3">
      <c r="A15" s="11" t="s">
        <v>113</v>
      </c>
      <c r="B15" s="11" t="s">
        <v>114</v>
      </c>
      <c r="C15" s="12" t="str">
        <f>IF($B15="","",IFERROR(VLOOKUP($B15,Listas!$A$3:$G$13,2,FALSE),""))</f>
        <v>B84016759</v>
      </c>
      <c r="D15" s="12" t="str">
        <f>IF($B15="","",IFERROR(VLOOKUP($B15,Listas!$A$3:$G$13,3,FALSE),""))</f>
        <v>Seguridad</v>
      </c>
      <c r="E15" s="11" t="s">
        <v>84</v>
      </c>
      <c r="F15" s="13">
        <v>46085</v>
      </c>
      <c r="G15" s="13">
        <v>46085</v>
      </c>
      <c r="H15" s="12" t="str">
        <f>IF($B15="","",IFERROR(VLOOKUP($B15,Listas!$A$3:$G$13,4,FALSE),""))</f>
        <v>60 días</v>
      </c>
      <c r="I15" s="14">
        <f>IF($H15="","",IFERROR(VLOOKUP($H15,Listas!$J$3:$K$7,2,FALSE),""))</f>
        <v>60</v>
      </c>
      <c r="J15" s="15">
        <f t="shared" si="0"/>
        <v>46145</v>
      </c>
      <c r="K15" s="11" t="s">
        <v>115</v>
      </c>
      <c r="L15" s="16">
        <v>650</v>
      </c>
      <c r="M15" s="17">
        <v>0.21</v>
      </c>
      <c r="N15" s="18">
        <f t="shared" si="1"/>
        <v>136.5</v>
      </c>
      <c r="O15" s="17">
        <v>0</v>
      </c>
      <c r="P15" s="18">
        <f t="shared" si="2"/>
        <v>0</v>
      </c>
      <c r="Q15" s="16">
        <v>0</v>
      </c>
      <c r="R15" s="18">
        <f t="shared" si="3"/>
        <v>786.5</v>
      </c>
      <c r="S15" s="19">
        <f>IF($A15="","",SUMIFS(Pagos!$D$8:$D$300,Pagos!$A$8:$A$300,$A15,Pagos!$F$8:$F$300,"Aplicado"))</f>
        <v>0</v>
      </c>
      <c r="T15" s="20">
        <f t="shared" si="4"/>
        <v>786.5</v>
      </c>
      <c r="U15" s="12" t="str">
        <f>IF($A15="","",IF($T15&lt;=0.005,"Pagada",IF($S15&gt;0,IF($J15&lt;Inicio!$F$3,"Parcial vencida","Pago parcial"),IF($J15&lt;Inicio!$F$3,"Vencida",IF($J15-Inicio!$F$3&lt;=7,"Próxima","Pendiente")))))</f>
        <v>Pendiente</v>
      </c>
      <c r="V15" s="14">
        <f>IF(OR($A15="",$T15&lt;=0,$J15&gt;=Inicio!$F$3),0,Inicio!$F$3-$J15)</f>
        <v>0</v>
      </c>
      <c r="W15" s="11" t="s">
        <v>93</v>
      </c>
      <c r="X15" s="11" t="s">
        <v>116</v>
      </c>
      <c r="Y15" s="12" t="str">
        <f>IF($A15="","",IF($T15&lt;=0,"Cerrada",IF($J15&lt;Inicio!$F$3,"Alta",IF($J15-Inicio!$F$3&lt;=7,"Media","Normal"))))</f>
        <v>Normal</v>
      </c>
      <c r="Z15" s="11" t="s">
        <v>117</v>
      </c>
      <c r="AA15" s="21">
        <f t="shared" si="5"/>
        <v>12</v>
      </c>
    </row>
    <row r="16" spans="1:27" ht="21" customHeight="1" x14ac:dyDescent="0.3">
      <c r="A16" s="11" t="s">
        <v>118</v>
      </c>
      <c r="B16" s="11" t="s">
        <v>119</v>
      </c>
      <c r="C16" s="12" t="str">
        <f>IF($B16="","",IFERROR(VLOOKUP($B16,Listas!$A$3:$G$13,2,FALSE),""))</f>
        <v>B16238971</v>
      </c>
      <c r="D16" s="12" t="str">
        <f>IF($B16="","",IFERROR(VLOOKUP($B16,Listas!$A$3:$G$13,3,FALSE),""))</f>
        <v>Carpintería y sets</v>
      </c>
      <c r="E16" s="11" t="s">
        <v>70</v>
      </c>
      <c r="F16" s="13">
        <v>46090</v>
      </c>
      <c r="G16" s="13">
        <v>46090</v>
      </c>
      <c r="H16" s="12" t="str">
        <f>IF($B16="","",IFERROR(VLOOKUP($B16,Listas!$A$3:$G$13,4,FALSE),""))</f>
        <v>30 días</v>
      </c>
      <c r="I16" s="14">
        <f>IF($H16="","",IFERROR(VLOOKUP($H16,Listas!$J$3:$K$7,2,FALSE),""))</f>
        <v>30</v>
      </c>
      <c r="J16" s="15">
        <f t="shared" si="0"/>
        <v>46120</v>
      </c>
      <c r="K16" s="11" t="s">
        <v>120</v>
      </c>
      <c r="L16" s="16">
        <v>2300</v>
      </c>
      <c r="M16" s="17">
        <v>0.21</v>
      </c>
      <c r="N16" s="18">
        <f t="shared" si="1"/>
        <v>483</v>
      </c>
      <c r="O16" s="17">
        <v>0</v>
      </c>
      <c r="P16" s="18">
        <f t="shared" si="2"/>
        <v>0</v>
      </c>
      <c r="Q16" s="16">
        <v>100</v>
      </c>
      <c r="R16" s="18">
        <f t="shared" si="3"/>
        <v>2683</v>
      </c>
      <c r="S16" s="19">
        <f>IF($A16="","",SUMIFS(Pagos!$D$8:$D$300,Pagos!$A$8:$A$300,$A16,Pagos!$F$8:$F$300,"Aplicado"))</f>
        <v>1500</v>
      </c>
      <c r="T16" s="20">
        <f t="shared" si="4"/>
        <v>1183</v>
      </c>
      <c r="U16" s="12" t="str">
        <f>IF($A16="","",IF($T16&lt;=0.005,"Pagada",IF($S16&gt;0,IF($J16&lt;Inicio!$F$3,"Parcial vencida","Pago parcial"),IF($J16&lt;Inicio!$F$3,"Vencida",IF($J16-Inicio!$F$3&lt;=7,"Próxima","Pendiente")))))</f>
        <v>Parcial vencida</v>
      </c>
      <c r="V16" s="14">
        <f>IF(OR($A16="",$T16&lt;=0,$J16&gt;=Inicio!$F$3),0,Inicio!$F$3-$J16)</f>
        <v>12</v>
      </c>
      <c r="W16" s="11" t="s">
        <v>72</v>
      </c>
      <c r="X16" s="11" t="s">
        <v>121</v>
      </c>
      <c r="Y16" s="12" t="str">
        <f>IF($A16="","",IF($T16&lt;=0,"Cerrada",IF($J16&lt;Inicio!$F$3,"Alta",IF($J16-Inicio!$F$3&lt;=7,"Media","Normal"))))</f>
        <v>Alta</v>
      </c>
      <c r="Z16" s="11" t="s">
        <v>122</v>
      </c>
      <c r="AA16" s="21">
        <f t="shared" si="5"/>
        <v>5</v>
      </c>
    </row>
    <row r="17" spans="1:27" ht="21" customHeight="1" x14ac:dyDescent="0.3">
      <c r="A17" s="11" t="s">
        <v>123</v>
      </c>
      <c r="B17" s="11" t="s">
        <v>69</v>
      </c>
      <c r="C17" s="12" t="str">
        <f>IF($B17="","",IFERROR(VLOOKUP($B17,Listas!$A$3:$G$13,2,FALSE),""))</f>
        <v>B18345671</v>
      </c>
      <c r="D17" s="12" t="str">
        <f>IF($B17="","",IFERROR(VLOOKUP($B17,Listas!$A$3:$G$13,3,FALSE),""))</f>
        <v>Mantenimiento técnico</v>
      </c>
      <c r="E17" s="11" t="s">
        <v>70</v>
      </c>
      <c r="F17" s="13">
        <v>46092</v>
      </c>
      <c r="G17" s="13">
        <v>46092</v>
      </c>
      <c r="H17" s="12" t="str">
        <f>IF($B17="","",IFERROR(VLOOKUP($B17,Listas!$A$3:$G$13,4,FALSE),""))</f>
        <v>30 días</v>
      </c>
      <c r="I17" s="14">
        <f>IF($H17="","",IFERROR(VLOOKUP($H17,Listas!$J$3:$K$7,2,FALSE),""))</f>
        <v>30</v>
      </c>
      <c r="J17" s="15">
        <f t="shared" si="0"/>
        <v>46122</v>
      </c>
      <c r="K17" s="11" t="s">
        <v>124</v>
      </c>
      <c r="L17" s="16">
        <v>420</v>
      </c>
      <c r="M17" s="17">
        <v>0.21</v>
      </c>
      <c r="N17" s="18">
        <f t="shared" si="1"/>
        <v>88.2</v>
      </c>
      <c r="O17" s="17">
        <v>0</v>
      </c>
      <c r="P17" s="18">
        <f t="shared" si="2"/>
        <v>0</v>
      </c>
      <c r="Q17" s="16">
        <v>0</v>
      </c>
      <c r="R17" s="18">
        <f t="shared" si="3"/>
        <v>508.2</v>
      </c>
      <c r="S17" s="19">
        <f>IF($A17="","",SUMIFS(Pagos!$D$8:$D$300,Pagos!$A$8:$A$300,$A17,Pagos!$F$8:$F$300,"Aplicado"))</f>
        <v>508.2</v>
      </c>
      <c r="T17" s="20">
        <f t="shared" si="4"/>
        <v>0</v>
      </c>
      <c r="U17" s="12" t="str">
        <f>IF($A17="","",IF($T17&lt;=0.005,"Pagada",IF($S17&gt;0,IF($J17&lt;Inicio!$F$3,"Parcial vencida","Pago parcial"),IF($J17&lt;Inicio!$F$3,"Vencida",IF($J17-Inicio!$F$3&lt;=7,"Próxima","Pendiente")))))</f>
        <v>Pagada</v>
      </c>
      <c r="V17" s="14">
        <f>IF(OR($A17="",$T17&lt;=0,$J17&gt;=Inicio!$F$3),0,Inicio!$F$3-$J17)</f>
        <v>0</v>
      </c>
      <c r="W17" s="11" t="s">
        <v>86</v>
      </c>
      <c r="X17" s="11" t="s">
        <v>125</v>
      </c>
      <c r="Y17" s="12" t="str">
        <f>IF($A17="","",IF($T17&lt;=0,"Cerrada",IF($J17&lt;Inicio!$F$3,"Alta",IF($J17-Inicio!$F$3&lt;=7,"Media","Normal"))))</f>
        <v>Cerrada</v>
      </c>
      <c r="Z17" s="11" t="s">
        <v>126</v>
      </c>
      <c r="AA17" s="21" t="str">
        <f t="shared" si="5"/>
        <v/>
      </c>
    </row>
    <row r="18" spans="1:27" ht="21" customHeight="1" x14ac:dyDescent="0.3">
      <c r="A18" s="11" t="s">
        <v>127</v>
      </c>
      <c r="B18" s="11" t="s">
        <v>76</v>
      </c>
      <c r="C18" s="12" t="str">
        <f>IF($B18="","",IFERROR(VLOOKUP($B18,Listas!$A$3:$G$13,2,FALSE),""))</f>
        <v>B29456182</v>
      </c>
      <c r="D18" s="12" t="str">
        <f>IF($B18="","",IFERROR(VLOOKUP($B18,Listas!$A$3:$G$13,3,FALSE),""))</f>
        <v>Servicios creativos</v>
      </c>
      <c r="E18" s="11" t="s">
        <v>77</v>
      </c>
      <c r="F18" s="13">
        <v>46099</v>
      </c>
      <c r="G18" s="13">
        <v>46099</v>
      </c>
      <c r="H18" s="12" t="str">
        <f>IF($B18="","",IFERROR(VLOOKUP($B18,Listas!$A$3:$G$13,4,FALSE),""))</f>
        <v>30 días</v>
      </c>
      <c r="I18" s="14">
        <f>IF($H18="","",IFERROR(VLOOKUP($H18,Listas!$J$3:$K$7,2,FALSE),""))</f>
        <v>30</v>
      </c>
      <c r="J18" s="15">
        <f t="shared" si="0"/>
        <v>46129</v>
      </c>
      <c r="K18" s="11" t="s">
        <v>128</v>
      </c>
      <c r="L18" s="16">
        <v>870</v>
      </c>
      <c r="M18" s="17">
        <v>0.21</v>
      </c>
      <c r="N18" s="18">
        <f t="shared" si="1"/>
        <v>182.7</v>
      </c>
      <c r="O18" s="17">
        <v>0</v>
      </c>
      <c r="P18" s="18">
        <f t="shared" si="2"/>
        <v>0</v>
      </c>
      <c r="Q18" s="16">
        <v>0</v>
      </c>
      <c r="R18" s="18">
        <f t="shared" si="3"/>
        <v>1052.7</v>
      </c>
      <c r="S18" s="19">
        <f>IF($A18="","",SUMIFS(Pagos!$D$8:$D$300,Pagos!$A$8:$A$300,$A18,Pagos!$F$8:$F$300,"Aplicado"))</f>
        <v>300</v>
      </c>
      <c r="T18" s="20">
        <f t="shared" si="4"/>
        <v>752.7</v>
      </c>
      <c r="U18" s="12" t="str">
        <f>IF($A18="","",IF($T18&lt;=0.005,"Pagada",IF($S18&gt;0,IF($J18&lt;Inicio!$F$3,"Parcial vencida","Pago parcial"),IF($J18&lt;Inicio!$F$3,"Vencida",IF($J18-Inicio!$F$3&lt;=7,"Próxima","Pendiente")))))</f>
        <v>Parcial vencida</v>
      </c>
      <c r="V18" s="14">
        <f>IF(OR($A18="",$T18&lt;=0,$J18&gt;=Inicio!$F$3),0,Inicio!$F$3-$J18)</f>
        <v>3</v>
      </c>
      <c r="W18" s="11" t="s">
        <v>79</v>
      </c>
      <c r="X18" s="11" t="s">
        <v>129</v>
      </c>
      <c r="Y18" s="12" t="str">
        <f>IF($A18="","",IF($T18&lt;=0,"Cerrada",IF($J18&lt;Inicio!$F$3,"Alta",IF($J18-Inicio!$F$3&lt;=7,"Media","Normal"))))</f>
        <v>Alta</v>
      </c>
      <c r="Z18" s="11" t="s">
        <v>130</v>
      </c>
      <c r="AA18" s="21">
        <f t="shared" si="5"/>
        <v>7</v>
      </c>
    </row>
    <row r="19" spans="1:27" ht="21" customHeight="1" x14ac:dyDescent="0.3">
      <c r="A19" s="11" t="s">
        <v>131</v>
      </c>
      <c r="B19" s="11" t="s">
        <v>90</v>
      </c>
      <c r="C19" s="12" t="str">
        <f>IF($B19="","",IFERROR(VLOOKUP($B19,Listas!$A$3:$G$13,2,FALSE),""))</f>
        <v>B48672315</v>
      </c>
      <c r="D19" s="12" t="str">
        <f>IF($B19="","",IFERROR(VLOOKUP($B19,Listas!$A$3:$G$13,3,FALSE),""))</f>
        <v>Catering y office</v>
      </c>
      <c r="E19" s="11" t="s">
        <v>132</v>
      </c>
      <c r="F19" s="13">
        <v>46107</v>
      </c>
      <c r="G19" s="13">
        <v>46107</v>
      </c>
      <c r="H19" s="12" t="str">
        <f>IF($B19="","",IFERROR(VLOOKUP($B19,Listas!$A$3:$G$13,4,FALSE),""))</f>
        <v>15 días</v>
      </c>
      <c r="I19" s="14">
        <f>IF($H19="","",IFERROR(VLOOKUP($H19,Listas!$J$3:$K$7,2,FALSE),""))</f>
        <v>15</v>
      </c>
      <c r="J19" s="15">
        <f t="shared" si="0"/>
        <v>46122</v>
      </c>
      <c r="K19" s="11" t="s">
        <v>133</v>
      </c>
      <c r="L19" s="16">
        <v>680</v>
      </c>
      <c r="M19" s="17">
        <v>0.1</v>
      </c>
      <c r="N19" s="18">
        <f t="shared" si="1"/>
        <v>68</v>
      </c>
      <c r="O19" s="17">
        <v>0</v>
      </c>
      <c r="P19" s="18">
        <f t="shared" si="2"/>
        <v>0</v>
      </c>
      <c r="Q19" s="16">
        <v>0</v>
      </c>
      <c r="R19" s="18">
        <f t="shared" si="3"/>
        <v>748</v>
      </c>
      <c r="S19" s="19">
        <f>IF($A19="","",SUMIFS(Pagos!$D$8:$D$300,Pagos!$A$8:$A$300,$A19,Pagos!$F$8:$F$300,"Aplicado"))</f>
        <v>0</v>
      </c>
      <c r="T19" s="20">
        <f t="shared" si="4"/>
        <v>748</v>
      </c>
      <c r="U19" s="12" t="str">
        <f>IF($A19="","",IF($T19&lt;=0.005,"Pagada",IF($S19&gt;0,IF($J19&lt;Inicio!$F$3,"Parcial vencida","Pago parcial"),IF($J19&lt;Inicio!$F$3,"Vencida",IF($J19-Inicio!$F$3&lt;=7,"Próxima","Pendiente")))))</f>
        <v>Vencida</v>
      </c>
      <c r="V19" s="14">
        <f>IF(OR($A19="",$T19&lt;=0,$J19&gt;=Inicio!$F$3),0,Inicio!$F$3-$J19)</f>
        <v>10</v>
      </c>
      <c r="W19" s="11" t="s">
        <v>93</v>
      </c>
      <c r="X19" s="11" t="s">
        <v>134</v>
      </c>
      <c r="Y19" s="12" t="str">
        <f>IF($A19="","",IF($T19&lt;=0,"Cerrada",IF($J19&lt;Inicio!$F$3,"Alta",IF($J19-Inicio!$F$3&lt;=7,"Media","Normal"))))</f>
        <v>Alta</v>
      </c>
      <c r="Z19" s="11" t="s">
        <v>135</v>
      </c>
      <c r="AA19" s="21">
        <f t="shared" si="5"/>
        <v>6</v>
      </c>
    </row>
    <row r="20" spans="1:27" ht="21" customHeight="1" x14ac:dyDescent="0.3">
      <c r="A20" s="11" t="s">
        <v>136</v>
      </c>
      <c r="B20" s="11" t="s">
        <v>97</v>
      </c>
      <c r="C20" s="12" t="str">
        <f>IF($B20="","",IFERROR(VLOOKUP($B20,Listas!$A$3:$G$13,2,FALSE),""))</f>
        <v>B73905648</v>
      </c>
      <c r="D20" s="12" t="str">
        <f>IF($B20="","",IFERROR(VLOOKUP($B20,Listas!$A$3:$G$13,3,FALSE),""))</f>
        <v>Software y cloud</v>
      </c>
      <c r="E20" s="11" t="s">
        <v>98</v>
      </c>
      <c r="F20" s="13">
        <v>46112</v>
      </c>
      <c r="G20" s="13">
        <v>46112</v>
      </c>
      <c r="H20" s="12" t="str">
        <f>IF($B20="","",IFERROR(VLOOKUP($B20,Listas!$A$3:$G$13,4,FALSE),""))</f>
        <v>30 días</v>
      </c>
      <c r="I20" s="14">
        <f>IF($H20="","",IFERROR(VLOOKUP($H20,Listas!$J$3:$K$7,2,FALSE),""))</f>
        <v>30</v>
      </c>
      <c r="J20" s="15">
        <f t="shared" si="0"/>
        <v>46142</v>
      </c>
      <c r="K20" s="11" t="s">
        <v>137</v>
      </c>
      <c r="L20" s="16">
        <v>390</v>
      </c>
      <c r="M20" s="17">
        <v>0.21</v>
      </c>
      <c r="N20" s="18">
        <f t="shared" si="1"/>
        <v>81.899999999999991</v>
      </c>
      <c r="O20" s="17">
        <v>0</v>
      </c>
      <c r="P20" s="18">
        <f t="shared" si="2"/>
        <v>0</v>
      </c>
      <c r="Q20" s="16">
        <v>0</v>
      </c>
      <c r="R20" s="18">
        <f t="shared" si="3"/>
        <v>471.9</v>
      </c>
      <c r="S20" s="19">
        <f>IF($A20="","",SUMIFS(Pagos!$D$8:$D$300,Pagos!$A$8:$A$300,$A20,Pagos!$F$8:$F$300,"Aplicado"))</f>
        <v>0</v>
      </c>
      <c r="T20" s="20">
        <f t="shared" si="4"/>
        <v>471.9</v>
      </c>
      <c r="U20" s="12" t="str">
        <f>IF($A20="","",IF($T20&lt;=0.005,"Pagada",IF($S20&gt;0,IF($J20&lt;Inicio!$F$3,"Parcial vencida","Pago parcial"),IF($J20&lt;Inicio!$F$3,"Vencida",IF($J20-Inicio!$F$3&lt;=7,"Próxima","Pendiente")))))</f>
        <v>Pendiente</v>
      </c>
      <c r="V20" s="14">
        <f>IF(OR($A20="",$T20&lt;=0,$J20&gt;=Inicio!$F$3),0,Inicio!$F$3-$J20)</f>
        <v>0</v>
      </c>
      <c r="W20" s="11" t="s">
        <v>100</v>
      </c>
      <c r="X20" s="11" t="s">
        <v>138</v>
      </c>
      <c r="Y20" s="12" t="str">
        <f>IF($A20="","",IF($T20&lt;=0,"Cerrada",IF($J20&lt;Inicio!$F$3,"Alta",IF($J20-Inicio!$F$3&lt;=7,"Media","Normal"))))</f>
        <v>Normal</v>
      </c>
      <c r="Z20" s="11" t="s">
        <v>139</v>
      </c>
      <c r="AA20" s="21">
        <f t="shared" si="5"/>
        <v>10</v>
      </c>
    </row>
    <row r="21" spans="1:27" ht="21" customHeight="1" x14ac:dyDescent="0.3">
      <c r="A21" s="11" t="s">
        <v>140</v>
      </c>
      <c r="B21" s="11" t="s">
        <v>141</v>
      </c>
      <c r="C21" s="12" t="str">
        <f>IF($B21="","",IFERROR(VLOOKUP($B21,Listas!$A$3:$G$13,2,FALSE),""))</f>
        <v>B51783426</v>
      </c>
      <c r="D21" s="12" t="str">
        <f>IF($B21="","",IFERROR(VLOOKUP($B21,Listas!$A$3:$G$13,3,FALSE),""))</f>
        <v>Producción escénica</v>
      </c>
      <c r="E21" s="11" t="s">
        <v>70</v>
      </c>
      <c r="F21" s="13">
        <v>46114</v>
      </c>
      <c r="G21" s="13">
        <v>46114</v>
      </c>
      <c r="H21" s="12" t="str">
        <f>IF($B21="","",IFERROR(VLOOKUP($B21,Listas!$A$3:$G$13,4,FALSE),""))</f>
        <v>30 días</v>
      </c>
      <c r="I21" s="14">
        <f>IF($H21="","",IFERROR(VLOOKUP($H21,Listas!$J$3:$K$7,2,FALSE),""))</f>
        <v>30</v>
      </c>
      <c r="J21" s="15">
        <f t="shared" si="0"/>
        <v>46144</v>
      </c>
      <c r="K21" s="11" t="s">
        <v>142</v>
      </c>
      <c r="L21" s="16">
        <v>1120</v>
      </c>
      <c r="M21" s="17">
        <v>0.21</v>
      </c>
      <c r="N21" s="18">
        <f t="shared" si="1"/>
        <v>235.2</v>
      </c>
      <c r="O21" s="17">
        <v>0</v>
      </c>
      <c r="P21" s="18">
        <f t="shared" si="2"/>
        <v>0</v>
      </c>
      <c r="Q21" s="16">
        <v>0</v>
      </c>
      <c r="R21" s="18">
        <f t="shared" si="3"/>
        <v>1355.2</v>
      </c>
      <c r="S21" s="19">
        <f>IF($A21="","",SUMIFS(Pagos!$D$8:$D$300,Pagos!$A$8:$A$300,$A21,Pagos!$F$8:$F$300,"Aplicado"))</f>
        <v>0</v>
      </c>
      <c r="T21" s="20">
        <f t="shared" si="4"/>
        <v>1355.2</v>
      </c>
      <c r="U21" s="12" t="str">
        <f>IF($A21="","",IF($T21&lt;=0.005,"Pagada",IF($S21&gt;0,IF($J21&lt;Inicio!$F$3,"Parcial vencida","Pago parcial"),IF($J21&lt;Inicio!$F$3,"Vencida",IF($J21-Inicio!$F$3&lt;=7,"Próxima","Pendiente")))))</f>
        <v>Pendiente</v>
      </c>
      <c r="V21" s="14">
        <f>IF(OR($A21="",$T21&lt;=0,$J21&gt;=Inicio!$F$3),0,Inicio!$F$3-$J21)</f>
        <v>0</v>
      </c>
      <c r="W21" s="11" t="s">
        <v>72</v>
      </c>
      <c r="X21" s="11" t="s">
        <v>143</v>
      </c>
      <c r="Y21" s="12" t="str">
        <f>IF($A21="","",IF($T21&lt;=0,"Cerrada",IF($J21&lt;Inicio!$F$3,"Alta",IF($J21-Inicio!$F$3&lt;=7,"Media","Normal"))))</f>
        <v>Normal</v>
      </c>
      <c r="Z21" s="11" t="s">
        <v>144</v>
      </c>
      <c r="AA21" s="21">
        <f t="shared" si="5"/>
        <v>11</v>
      </c>
    </row>
    <row r="22" spans="1:27" ht="21" customHeight="1" x14ac:dyDescent="0.3">
      <c r="A22" s="11" t="s">
        <v>145</v>
      </c>
      <c r="B22" s="11" t="s">
        <v>109</v>
      </c>
      <c r="C22" s="12" t="str">
        <f>IF($B22="","",IFERROR(VLOOKUP($B22,Listas!$A$3:$G$13,2,FALSE),""))</f>
        <v>B95127860</v>
      </c>
      <c r="D22" s="12" t="str">
        <f>IF($B22="","",IFERROR(VLOOKUP($B22,Listas!$A$3:$G$13,3,FALSE),""))</f>
        <v>Limpieza</v>
      </c>
      <c r="E22" s="11" t="s">
        <v>84</v>
      </c>
      <c r="F22" s="13">
        <v>46117</v>
      </c>
      <c r="G22" s="13">
        <v>46117</v>
      </c>
      <c r="H22" s="12" t="str">
        <f>IF($B22="","",IFERROR(VLOOKUP($B22,Listas!$A$3:$G$13,4,FALSE),""))</f>
        <v>30 días</v>
      </c>
      <c r="I22" s="14">
        <f>IF($H22="","",IFERROR(VLOOKUP($H22,Listas!$J$3:$K$7,2,FALSE),""))</f>
        <v>30</v>
      </c>
      <c r="J22" s="15">
        <f t="shared" si="0"/>
        <v>46147</v>
      </c>
      <c r="K22" s="11" t="s">
        <v>146</v>
      </c>
      <c r="L22" s="16">
        <v>420</v>
      </c>
      <c r="M22" s="17">
        <v>0.21</v>
      </c>
      <c r="N22" s="18">
        <f t="shared" si="1"/>
        <v>88.2</v>
      </c>
      <c r="O22" s="17">
        <v>0</v>
      </c>
      <c r="P22" s="18">
        <f t="shared" si="2"/>
        <v>0</v>
      </c>
      <c r="Q22" s="16">
        <v>0</v>
      </c>
      <c r="R22" s="18">
        <f t="shared" si="3"/>
        <v>508.2</v>
      </c>
      <c r="S22" s="19">
        <f>IF($A22="","",SUMIFS(Pagos!$D$8:$D$300,Pagos!$A$8:$A$300,$A22,Pagos!$F$8:$F$300,"Aplicado"))</f>
        <v>0</v>
      </c>
      <c r="T22" s="20">
        <f t="shared" si="4"/>
        <v>508.2</v>
      </c>
      <c r="U22" s="12" t="str">
        <f>IF($A22="","",IF($T22&lt;=0.005,"Pagada",IF($S22&gt;0,IF($J22&lt;Inicio!$F$3,"Parcial vencida","Pago parcial"),IF($J22&lt;Inicio!$F$3,"Vencida",IF($J22-Inicio!$F$3&lt;=7,"Próxima","Pendiente")))))</f>
        <v>Pendiente</v>
      </c>
      <c r="V22" s="14">
        <f>IF(OR($A22="",$T22&lt;=0,$J22&gt;=Inicio!$F$3),0,Inicio!$F$3-$J22)</f>
        <v>0</v>
      </c>
      <c r="W22" s="11" t="s">
        <v>86</v>
      </c>
      <c r="X22" s="11" t="s">
        <v>147</v>
      </c>
      <c r="Y22" s="12" t="str">
        <f>IF($A22="","",IF($T22&lt;=0,"Cerrada",IF($J22&lt;Inicio!$F$3,"Alta",IF($J22-Inicio!$F$3&lt;=7,"Media","Normal"))))</f>
        <v>Normal</v>
      </c>
      <c r="Z22" s="11" t="s">
        <v>117</v>
      </c>
      <c r="AA22" s="21">
        <f t="shared" si="5"/>
        <v>13</v>
      </c>
    </row>
    <row r="23" spans="1:27" ht="21" customHeight="1" x14ac:dyDescent="0.3">
      <c r="A23" s="11" t="s">
        <v>148</v>
      </c>
      <c r="B23" s="11" t="s">
        <v>149</v>
      </c>
      <c r="C23" s="12" t="str">
        <f>IF($B23="","",IFERROR(VLOOKUP($B23,Listas!$A$3:$G$13,2,FALSE),""))</f>
        <v>B27349082</v>
      </c>
      <c r="D23" s="12" t="str">
        <f>IF($B23="","",IFERROR(VLOOKUP($B23,Listas!$A$3:$G$13,3,FALSE),""))</f>
        <v>Formación</v>
      </c>
      <c r="E23" s="11" t="s">
        <v>98</v>
      </c>
      <c r="F23" s="13">
        <v>46120</v>
      </c>
      <c r="G23" s="13">
        <v>46120</v>
      </c>
      <c r="H23" s="12" t="str">
        <f>IF($B23="","",IFERROR(VLOOKUP($B23,Listas!$A$3:$G$13,4,FALSE),""))</f>
        <v>15 días</v>
      </c>
      <c r="I23" s="14">
        <f>IF($H23="","",IFERROR(VLOOKUP($H23,Listas!$J$3:$K$7,2,FALSE),""))</f>
        <v>15</v>
      </c>
      <c r="J23" s="15">
        <f t="shared" si="0"/>
        <v>46135</v>
      </c>
      <c r="K23" s="11" t="s">
        <v>150</v>
      </c>
      <c r="L23" s="16">
        <v>540</v>
      </c>
      <c r="M23" s="17">
        <v>0.21</v>
      </c>
      <c r="N23" s="18">
        <f t="shared" si="1"/>
        <v>113.39999999999999</v>
      </c>
      <c r="O23" s="17">
        <v>0</v>
      </c>
      <c r="P23" s="18">
        <f t="shared" si="2"/>
        <v>0</v>
      </c>
      <c r="Q23" s="16">
        <v>0</v>
      </c>
      <c r="R23" s="18">
        <f t="shared" si="3"/>
        <v>653.4</v>
      </c>
      <c r="S23" s="19">
        <f>IF($A23="","",SUMIFS(Pagos!$D$8:$D$300,Pagos!$A$8:$A$300,$A23,Pagos!$F$8:$F$300,"Aplicado"))</f>
        <v>0</v>
      </c>
      <c r="T23" s="20">
        <f t="shared" si="4"/>
        <v>653.4</v>
      </c>
      <c r="U23" s="12" t="str">
        <f>IF($A23="","",IF($T23&lt;=0.005,"Pagada",IF($S23&gt;0,IF($J23&lt;Inicio!$F$3,"Parcial vencida","Pago parcial"),IF($J23&lt;Inicio!$F$3,"Vencida",IF($J23-Inicio!$F$3&lt;=7,"Próxima","Pendiente")))))</f>
        <v>Próxima</v>
      </c>
      <c r="V23" s="14">
        <f>IF(OR($A23="",$T23&lt;=0,$J23&gt;=Inicio!$F$3),0,Inicio!$F$3-$J23)</f>
        <v>0</v>
      </c>
      <c r="W23" s="11" t="s">
        <v>100</v>
      </c>
      <c r="X23" s="11" t="s">
        <v>151</v>
      </c>
      <c r="Y23" s="12" t="str">
        <f>IF($A23="","",IF($T23&lt;=0,"Cerrada",IF($J23&lt;Inicio!$F$3,"Alta",IF($J23-Inicio!$F$3&lt;=7,"Media","Normal"))))</f>
        <v>Media</v>
      </c>
      <c r="Z23" s="11" t="s">
        <v>152</v>
      </c>
      <c r="AA23" s="21">
        <f t="shared" si="5"/>
        <v>8</v>
      </c>
    </row>
    <row r="24" spans="1:27" ht="21" customHeight="1" x14ac:dyDescent="0.3">
      <c r="A24" s="11" t="s">
        <v>153</v>
      </c>
      <c r="B24" s="11" t="s">
        <v>83</v>
      </c>
      <c r="C24" s="12" t="str">
        <f>IF($B24="","",IFERROR(VLOOKUP($B24,Listas!$A$3:$G$13,2,FALSE),""))</f>
        <v>B37561294</v>
      </c>
      <c r="D24" s="12" t="str">
        <f>IF($B24="","",IFERROR(VLOOKUP($B24,Listas!$A$3:$G$13,3,FALSE),""))</f>
        <v>Logística</v>
      </c>
      <c r="E24" s="11" t="s">
        <v>84</v>
      </c>
      <c r="F24" s="13">
        <v>46121</v>
      </c>
      <c r="G24" s="13">
        <v>46121</v>
      </c>
      <c r="H24" s="12" t="str">
        <f>IF($B24="","",IFERROR(VLOOKUP($B24,Listas!$A$3:$G$13,4,FALSE),""))</f>
        <v>30 días</v>
      </c>
      <c r="I24" s="14">
        <f>IF($H24="","",IFERROR(VLOOKUP($H24,Listas!$J$3:$K$7,2,FALSE),""))</f>
        <v>30</v>
      </c>
      <c r="J24" s="15">
        <f t="shared" si="0"/>
        <v>46151</v>
      </c>
      <c r="K24" s="11" t="s">
        <v>154</v>
      </c>
      <c r="L24" s="16">
        <v>260</v>
      </c>
      <c r="M24" s="17">
        <v>0.21</v>
      </c>
      <c r="N24" s="18">
        <f t="shared" si="1"/>
        <v>54.6</v>
      </c>
      <c r="O24" s="17">
        <v>0</v>
      </c>
      <c r="P24" s="18">
        <f t="shared" si="2"/>
        <v>0</v>
      </c>
      <c r="Q24" s="16">
        <v>0</v>
      </c>
      <c r="R24" s="18">
        <f t="shared" si="3"/>
        <v>314.60000000000002</v>
      </c>
      <c r="S24" s="19">
        <f>IF($A24="","",SUMIFS(Pagos!$D$8:$D$300,Pagos!$A$8:$A$300,$A24,Pagos!$F$8:$F$300,"Aplicado"))</f>
        <v>0</v>
      </c>
      <c r="T24" s="20">
        <f t="shared" si="4"/>
        <v>314.60000000000002</v>
      </c>
      <c r="U24" s="12" t="str">
        <f>IF($A24="","",IF($T24&lt;=0.005,"Pagada",IF($S24&gt;0,IF($J24&lt;Inicio!$F$3,"Parcial vencida","Pago parcial"),IF($J24&lt;Inicio!$F$3,"Vencida",IF($J24-Inicio!$F$3&lt;=7,"Próxima","Pendiente")))))</f>
        <v>Pendiente</v>
      </c>
      <c r="V24" s="14">
        <f>IF(OR($A24="",$T24&lt;=0,$J24&gt;=Inicio!$F$3),0,Inicio!$F$3-$J24)</f>
        <v>0</v>
      </c>
      <c r="W24" s="11" t="s">
        <v>93</v>
      </c>
      <c r="X24" s="11" t="s">
        <v>155</v>
      </c>
      <c r="Y24" s="12" t="str">
        <f>IF($A24="","",IF($T24&lt;=0,"Cerrada",IF($J24&lt;Inicio!$F$3,"Alta",IF($J24-Inicio!$F$3&lt;=7,"Media","Normal"))))</f>
        <v>Normal</v>
      </c>
      <c r="Z24" s="11" t="s">
        <v>156</v>
      </c>
      <c r="AA24" s="21">
        <f t="shared" si="5"/>
        <v>14</v>
      </c>
    </row>
    <row r="25" spans="1:27" ht="21" customHeight="1" x14ac:dyDescent="0.3">
      <c r="A25" s="11" t="s">
        <v>157</v>
      </c>
      <c r="B25" s="11" t="s">
        <v>90</v>
      </c>
      <c r="C25" s="12" t="str">
        <f>IF($B25="","",IFERROR(VLOOKUP($B25,Listas!$A$3:$G$13,2,FALSE),""))</f>
        <v>B48672315</v>
      </c>
      <c r="D25" s="12" t="str">
        <f>IF($B25="","",IFERROR(VLOOKUP($B25,Listas!$A$3:$G$13,3,FALSE),""))</f>
        <v>Catering y office</v>
      </c>
      <c r="E25" s="11" t="s">
        <v>132</v>
      </c>
      <c r="F25" s="13">
        <v>46124</v>
      </c>
      <c r="G25" s="13">
        <v>46124</v>
      </c>
      <c r="H25" s="12" t="str">
        <f>IF($B25="","",IFERROR(VLOOKUP($B25,Listas!$A$3:$G$13,4,FALSE),""))</f>
        <v>15 días</v>
      </c>
      <c r="I25" s="14">
        <f>IF($H25="","",IFERROR(VLOOKUP($H25,Listas!$J$3:$K$7,2,FALSE),""))</f>
        <v>15</v>
      </c>
      <c r="J25" s="15">
        <f t="shared" si="0"/>
        <v>46139</v>
      </c>
      <c r="K25" s="11" t="s">
        <v>158</v>
      </c>
      <c r="L25" s="16">
        <v>310</v>
      </c>
      <c r="M25" s="17">
        <v>0.1</v>
      </c>
      <c r="N25" s="18">
        <f t="shared" si="1"/>
        <v>31</v>
      </c>
      <c r="O25" s="17">
        <v>0</v>
      </c>
      <c r="P25" s="18">
        <f t="shared" si="2"/>
        <v>0</v>
      </c>
      <c r="Q25" s="16">
        <v>0</v>
      </c>
      <c r="R25" s="18">
        <f t="shared" si="3"/>
        <v>341</v>
      </c>
      <c r="S25" s="19">
        <f>IF($A25="","",SUMIFS(Pagos!$D$8:$D$300,Pagos!$A$8:$A$300,$A25,Pagos!$F$8:$F$300,"Aplicado"))</f>
        <v>0</v>
      </c>
      <c r="T25" s="20">
        <f t="shared" si="4"/>
        <v>341</v>
      </c>
      <c r="U25" s="12" t="str">
        <f>IF($A25="","",IF($T25&lt;=0.005,"Pagada",IF($S25&gt;0,IF($J25&lt;Inicio!$F$3,"Parcial vencida","Pago parcial"),IF($J25&lt;Inicio!$F$3,"Vencida",IF($J25-Inicio!$F$3&lt;=7,"Próxima","Pendiente")))))</f>
        <v>Próxima</v>
      </c>
      <c r="V25" s="14">
        <f>IF(OR($A25="",$T25&lt;=0,$J25&gt;=Inicio!$F$3),0,Inicio!$F$3-$J25)</f>
        <v>0</v>
      </c>
      <c r="W25" s="11" t="s">
        <v>79</v>
      </c>
      <c r="X25" s="11" t="s">
        <v>159</v>
      </c>
      <c r="Y25" s="12" t="str">
        <f>IF($A25="","",IF($T25&lt;=0,"Cerrada",IF($J25&lt;Inicio!$F$3,"Alta",IF($J25-Inicio!$F$3&lt;=7,"Media","Normal"))))</f>
        <v>Media</v>
      </c>
      <c r="Z25" s="11" t="s">
        <v>160</v>
      </c>
      <c r="AA25" s="21">
        <f t="shared" si="5"/>
        <v>9</v>
      </c>
    </row>
    <row r="26" spans="1:27" ht="21" customHeight="1" x14ac:dyDescent="0.3">
      <c r="A26" s="11" t="s">
        <v>161</v>
      </c>
      <c r="B26" s="11" t="s">
        <v>104</v>
      </c>
      <c r="C26" s="12" t="str">
        <f>IF($B26="","",IFERROR(VLOOKUP($B26,Listas!$A$3:$G$13,2,FALSE),""))</f>
        <v>B62894537</v>
      </c>
      <c r="D26" s="12" t="str">
        <f>IF($B26="","",IFERROR(VLOOKUP($B26,Listas!$A$3:$G$13,3,FALSE),""))</f>
        <v>Asesoría legal</v>
      </c>
      <c r="E26" s="11" t="s">
        <v>91</v>
      </c>
      <c r="F26" s="13">
        <v>46126</v>
      </c>
      <c r="G26" s="13">
        <v>46126</v>
      </c>
      <c r="H26" s="12" t="str">
        <f>IF($B26="","",IFERROR(VLOOKUP($B26,Listas!$A$3:$G$13,4,FALSE),""))</f>
        <v>30 días</v>
      </c>
      <c r="I26" s="14">
        <f>IF($H26="","",IFERROR(VLOOKUP($H26,Listas!$J$3:$K$7,2,FALSE),""))</f>
        <v>30</v>
      </c>
      <c r="J26" s="15">
        <f t="shared" si="0"/>
        <v>46156</v>
      </c>
      <c r="K26" s="11" t="s">
        <v>162</v>
      </c>
      <c r="L26" s="16">
        <v>1250</v>
      </c>
      <c r="M26" s="17">
        <v>0.21</v>
      </c>
      <c r="N26" s="18">
        <f t="shared" si="1"/>
        <v>262.5</v>
      </c>
      <c r="O26" s="17">
        <v>0.15</v>
      </c>
      <c r="P26" s="18">
        <f t="shared" si="2"/>
        <v>187.5</v>
      </c>
      <c r="Q26" s="16">
        <v>0</v>
      </c>
      <c r="R26" s="18">
        <f t="shared" si="3"/>
        <v>1325</v>
      </c>
      <c r="S26" s="19">
        <f>IF($A26="","",SUMIFS(Pagos!$D$8:$D$300,Pagos!$A$8:$A$300,$A26,Pagos!$F$8:$F$300,"Aplicado"))</f>
        <v>0</v>
      </c>
      <c r="T26" s="20">
        <f t="shared" si="4"/>
        <v>1325</v>
      </c>
      <c r="U26" s="12" t="str">
        <f>IF($A26="","",IF($T26&lt;=0.005,"Pagada",IF($S26&gt;0,IF($J26&lt;Inicio!$F$3,"Parcial vencida","Pago parcial"),IF($J26&lt;Inicio!$F$3,"Vencida",IF($J26-Inicio!$F$3&lt;=7,"Próxima","Pendiente")))))</f>
        <v>Pendiente</v>
      </c>
      <c r="V26" s="14">
        <f>IF(OR($A26="",$T26&lt;=0,$J26&gt;=Inicio!$F$3),0,Inicio!$F$3-$J26)</f>
        <v>0</v>
      </c>
      <c r="W26" s="11" t="s">
        <v>72</v>
      </c>
      <c r="X26" s="11" t="s">
        <v>163</v>
      </c>
      <c r="Y26" s="12" t="str">
        <f>IF($A26="","",IF($T26&lt;=0,"Cerrada",IF($J26&lt;Inicio!$F$3,"Alta",IF($J26-Inicio!$F$3&lt;=7,"Media","Normal"))))</f>
        <v>Normal</v>
      </c>
      <c r="Z26" s="11" t="s">
        <v>164</v>
      </c>
      <c r="AA26" s="21">
        <f t="shared" si="5"/>
        <v>15</v>
      </c>
    </row>
    <row r="27" spans="1:27" ht="21" customHeight="1" x14ac:dyDescent="0.3">
      <c r="A27" s="11" t="s">
        <v>165</v>
      </c>
      <c r="B27" s="11" t="s">
        <v>97</v>
      </c>
      <c r="C27" s="12" t="str">
        <f>IF($B27="","",IFERROR(VLOOKUP($B27,Listas!$A$3:$G$13,2,FALSE),""))</f>
        <v>B73905648</v>
      </c>
      <c r="D27" s="12" t="str">
        <f>IF($B27="","",IFERROR(VLOOKUP($B27,Listas!$A$3:$G$13,3,FALSE),""))</f>
        <v>Software y cloud</v>
      </c>
      <c r="E27" s="11" t="s">
        <v>98</v>
      </c>
      <c r="F27" s="13">
        <v>46127</v>
      </c>
      <c r="G27" s="13">
        <v>46127</v>
      </c>
      <c r="H27" s="12" t="str">
        <f>IF($B27="","",IFERROR(VLOOKUP($B27,Listas!$A$3:$G$13,4,FALSE),""))</f>
        <v>30 días</v>
      </c>
      <c r="I27" s="14">
        <f>IF($H27="","",IFERROR(VLOOKUP($H27,Listas!$J$3:$K$7,2,FALSE),""))</f>
        <v>30</v>
      </c>
      <c r="J27" s="15">
        <f t="shared" si="0"/>
        <v>46157</v>
      </c>
      <c r="K27" s="11" t="s">
        <v>166</v>
      </c>
      <c r="L27" s="16">
        <v>215</v>
      </c>
      <c r="M27" s="17">
        <v>0.21</v>
      </c>
      <c r="N27" s="18">
        <f t="shared" si="1"/>
        <v>45.15</v>
      </c>
      <c r="O27" s="17">
        <v>0</v>
      </c>
      <c r="P27" s="18">
        <f t="shared" si="2"/>
        <v>0</v>
      </c>
      <c r="Q27" s="16">
        <v>0</v>
      </c>
      <c r="R27" s="18">
        <f t="shared" si="3"/>
        <v>260.14999999999998</v>
      </c>
      <c r="S27" s="19">
        <f>IF($A27="","",SUMIFS(Pagos!$D$8:$D$300,Pagos!$A$8:$A$300,$A27,Pagos!$F$8:$F$300,"Aplicado"))</f>
        <v>0</v>
      </c>
      <c r="T27" s="20">
        <f t="shared" si="4"/>
        <v>260.14999999999998</v>
      </c>
      <c r="U27" s="12" t="str">
        <f>IF($A27="","",IF($T27&lt;=0.005,"Pagada",IF($S27&gt;0,IF($J27&lt;Inicio!$F$3,"Parcial vencida","Pago parcial"),IF($J27&lt;Inicio!$F$3,"Vencida",IF($J27-Inicio!$F$3&lt;=7,"Próxima","Pendiente")))))</f>
        <v>Pendiente</v>
      </c>
      <c r="V27" s="14">
        <f>IF(OR($A27="",$T27&lt;=0,$J27&gt;=Inicio!$F$3),0,Inicio!$F$3-$J27)</f>
        <v>0</v>
      </c>
      <c r="W27" s="11" t="s">
        <v>100</v>
      </c>
      <c r="X27" s="11" t="s">
        <v>167</v>
      </c>
      <c r="Y27" s="12" t="str">
        <f>IF($A27="","",IF($T27&lt;=0,"Cerrada",IF($J27&lt;Inicio!$F$3,"Alta",IF($J27-Inicio!$F$3&lt;=7,"Media","Normal"))))</f>
        <v>Normal</v>
      </c>
      <c r="Z27" s="11" t="s">
        <v>168</v>
      </c>
      <c r="AA27" s="21">
        <f t="shared" si="5"/>
        <v>16</v>
      </c>
    </row>
    <row r="28" spans="1:27" ht="21" customHeight="1" x14ac:dyDescent="0.3">
      <c r="A28" s="11"/>
      <c r="B28" s="11"/>
      <c r="C28" s="12" t="str">
        <f>IF($B28="","",IFERROR(VLOOKUP($B28,Listas!$A$3:$G$13,2,FALSE),""))</f>
        <v/>
      </c>
      <c r="D28" s="12" t="str">
        <f>IF($B28="","",IFERROR(VLOOKUP($B28,Listas!$A$3:$G$13,3,FALSE),""))</f>
        <v/>
      </c>
      <c r="E28" s="11"/>
      <c r="F28" s="13"/>
      <c r="G28" s="13"/>
      <c r="H28" s="12" t="str">
        <f>IF($B28="","",IFERROR(VLOOKUP($B28,Listas!$A$3:$G$13,4,FALSE),""))</f>
        <v/>
      </c>
      <c r="I28" s="14" t="str">
        <f>IF($H28="","",IFERROR(VLOOKUP($H28,Listas!$J$3:$K$7,2,FALSE),""))</f>
        <v/>
      </c>
      <c r="J28" s="15" t="str">
        <f t="shared" si="0"/>
        <v/>
      </c>
      <c r="K28" s="11"/>
      <c r="L28" s="16"/>
      <c r="M28" s="17"/>
      <c r="N28" s="18" t="str">
        <f t="shared" si="1"/>
        <v/>
      </c>
      <c r="O28" s="17"/>
      <c r="P28" s="18" t="str">
        <f t="shared" si="2"/>
        <v/>
      </c>
      <c r="Q28" s="16"/>
      <c r="R28" s="18" t="str">
        <f t="shared" si="3"/>
        <v/>
      </c>
      <c r="S28" s="19" t="str">
        <f>IF($A28="","",SUMIFS(Pagos!$D$8:$D$300,Pagos!$A$8:$A$300,$A28,Pagos!$F$8:$F$300,"Aplicado"))</f>
        <v/>
      </c>
      <c r="T28" s="20" t="str">
        <f t="shared" si="4"/>
        <v/>
      </c>
      <c r="U28" s="12" t="str">
        <f>IF($A28="","",IF($T28&lt;=0.005,"Pagada",IF($S28&gt;0,IF($J28&lt;Inicio!$F$3,"Parcial vencida","Pago parcial"),IF($J28&lt;Inicio!$F$3,"Vencida",IF($J28-Inicio!$F$3&lt;=7,"Próxima","Pendiente")))))</f>
        <v/>
      </c>
      <c r="V28" s="14">
        <f>IF(OR($A28="",$T28&lt;=0,$J28&gt;=Inicio!$F$3),0,Inicio!$F$3-$J28)</f>
        <v>0</v>
      </c>
      <c r="W28" s="11"/>
      <c r="X28" s="11"/>
      <c r="Y28" s="12" t="str">
        <f>IF($A28="","",IF($T28&lt;=0,"Cerrada",IF($J28&lt;Inicio!$F$3,"Alta",IF($J28-Inicio!$F$3&lt;=7,"Media","Normal"))))</f>
        <v/>
      </c>
      <c r="Z28" s="11"/>
      <c r="AA28" s="21" t="str">
        <f t="shared" si="5"/>
        <v/>
      </c>
    </row>
    <row r="29" spans="1:27" ht="21" customHeight="1" x14ac:dyDescent="0.3">
      <c r="A29" s="11"/>
      <c r="B29" s="11"/>
      <c r="C29" s="12" t="str">
        <f>IF($B29="","",IFERROR(VLOOKUP($B29,Listas!$A$3:$G$13,2,FALSE),""))</f>
        <v/>
      </c>
      <c r="D29" s="12" t="str">
        <f>IF($B29="","",IFERROR(VLOOKUP($B29,Listas!$A$3:$G$13,3,FALSE),""))</f>
        <v/>
      </c>
      <c r="E29" s="11"/>
      <c r="F29" s="13"/>
      <c r="G29" s="13"/>
      <c r="H29" s="12" t="str">
        <f>IF($B29="","",IFERROR(VLOOKUP($B29,Listas!$A$3:$G$13,4,FALSE),""))</f>
        <v/>
      </c>
      <c r="I29" s="14" t="str">
        <f>IF($H29="","",IFERROR(VLOOKUP($H29,Listas!$J$3:$K$7,2,FALSE),""))</f>
        <v/>
      </c>
      <c r="J29" s="15" t="str">
        <f t="shared" si="0"/>
        <v/>
      </c>
      <c r="K29" s="11"/>
      <c r="L29" s="16"/>
      <c r="M29" s="17"/>
      <c r="N29" s="18" t="str">
        <f t="shared" si="1"/>
        <v/>
      </c>
      <c r="O29" s="17"/>
      <c r="P29" s="18" t="str">
        <f t="shared" si="2"/>
        <v/>
      </c>
      <c r="Q29" s="16"/>
      <c r="R29" s="18" t="str">
        <f t="shared" si="3"/>
        <v/>
      </c>
      <c r="S29" s="19" t="str">
        <f>IF($A29="","",SUMIFS(Pagos!$D$8:$D$300,Pagos!$A$8:$A$300,$A29,Pagos!$F$8:$F$300,"Aplicado"))</f>
        <v/>
      </c>
      <c r="T29" s="20" t="str">
        <f t="shared" si="4"/>
        <v/>
      </c>
      <c r="U29" s="12" t="str">
        <f>IF($A29="","",IF($T29&lt;=0.005,"Pagada",IF($S29&gt;0,IF($J29&lt;Inicio!$F$3,"Parcial vencida","Pago parcial"),IF($J29&lt;Inicio!$F$3,"Vencida",IF($J29-Inicio!$F$3&lt;=7,"Próxima","Pendiente")))))</f>
        <v/>
      </c>
      <c r="V29" s="14">
        <f>IF(OR($A29="",$T29&lt;=0,$J29&gt;=Inicio!$F$3),0,Inicio!$F$3-$J29)</f>
        <v>0</v>
      </c>
      <c r="W29" s="11"/>
      <c r="X29" s="11"/>
      <c r="Y29" s="12" t="str">
        <f>IF($A29="","",IF($T29&lt;=0,"Cerrada",IF($J29&lt;Inicio!$F$3,"Alta",IF($J29-Inicio!$F$3&lt;=7,"Media","Normal"))))</f>
        <v/>
      </c>
      <c r="Z29" s="11"/>
      <c r="AA29" s="21" t="str">
        <f t="shared" si="5"/>
        <v/>
      </c>
    </row>
    <row r="30" spans="1:27" ht="21" customHeight="1" x14ac:dyDescent="0.3">
      <c r="A30" s="11"/>
      <c r="B30" s="11"/>
      <c r="C30" s="12" t="str">
        <f>IF($B30="","",IFERROR(VLOOKUP($B30,Listas!$A$3:$G$13,2,FALSE),""))</f>
        <v/>
      </c>
      <c r="D30" s="12" t="str">
        <f>IF($B30="","",IFERROR(VLOOKUP($B30,Listas!$A$3:$G$13,3,FALSE),""))</f>
        <v/>
      </c>
      <c r="E30" s="11"/>
      <c r="F30" s="13"/>
      <c r="G30" s="13"/>
      <c r="H30" s="12" t="str">
        <f>IF($B30="","",IFERROR(VLOOKUP($B30,Listas!$A$3:$G$13,4,FALSE),""))</f>
        <v/>
      </c>
      <c r="I30" s="14" t="str">
        <f>IF($H30="","",IFERROR(VLOOKUP($H30,Listas!$J$3:$K$7,2,FALSE),""))</f>
        <v/>
      </c>
      <c r="J30" s="15" t="str">
        <f t="shared" si="0"/>
        <v/>
      </c>
      <c r="K30" s="11"/>
      <c r="L30" s="16"/>
      <c r="M30" s="17"/>
      <c r="N30" s="18" t="str">
        <f t="shared" si="1"/>
        <v/>
      </c>
      <c r="O30" s="17"/>
      <c r="P30" s="18" t="str">
        <f t="shared" si="2"/>
        <v/>
      </c>
      <c r="Q30" s="16"/>
      <c r="R30" s="18" t="str">
        <f t="shared" si="3"/>
        <v/>
      </c>
      <c r="S30" s="19" t="str">
        <f>IF($A30="","",SUMIFS(Pagos!$D$8:$D$300,Pagos!$A$8:$A$300,$A30,Pagos!$F$8:$F$300,"Aplicado"))</f>
        <v/>
      </c>
      <c r="T30" s="20" t="str">
        <f t="shared" si="4"/>
        <v/>
      </c>
      <c r="U30" s="12" t="str">
        <f>IF($A30="","",IF($T30&lt;=0.005,"Pagada",IF($S30&gt;0,IF($J30&lt;Inicio!$F$3,"Parcial vencida","Pago parcial"),IF($J30&lt;Inicio!$F$3,"Vencida",IF($J30-Inicio!$F$3&lt;=7,"Próxima","Pendiente")))))</f>
        <v/>
      </c>
      <c r="V30" s="14">
        <f>IF(OR($A30="",$T30&lt;=0,$J30&gt;=Inicio!$F$3),0,Inicio!$F$3-$J30)</f>
        <v>0</v>
      </c>
      <c r="W30" s="11"/>
      <c r="X30" s="11"/>
      <c r="Y30" s="12" t="str">
        <f>IF($A30="","",IF($T30&lt;=0,"Cerrada",IF($J30&lt;Inicio!$F$3,"Alta",IF($J30-Inicio!$F$3&lt;=7,"Media","Normal"))))</f>
        <v/>
      </c>
      <c r="Z30" s="11"/>
      <c r="AA30" s="21" t="str">
        <f t="shared" si="5"/>
        <v/>
      </c>
    </row>
    <row r="31" spans="1:27" ht="21" customHeight="1" x14ac:dyDescent="0.3">
      <c r="A31" s="11"/>
      <c r="B31" s="11"/>
      <c r="C31" s="12" t="str">
        <f>IF($B31="","",IFERROR(VLOOKUP($B31,Listas!$A$3:$G$13,2,FALSE),""))</f>
        <v/>
      </c>
      <c r="D31" s="12" t="str">
        <f>IF($B31="","",IFERROR(VLOOKUP($B31,Listas!$A$3:$G$13,3,FALSE),""))</f>
        <v/>
      </c>
      <c r="E31" s="11"/>
      <c r="F31" s="13"/>
      <c r="G31" s="13"/>
      <c r="H31" s="12" t="str">
        <f>IF($B31="","",IFERROR(VLOOKUP($B31,Listas!$A$3:$G$13,4,FALSE),""))</f>
        <v/>
      </c>
      <c r="I31" s="14" t="str">
        <f>IF($H31="","",IFERROR(VLOOKUP($H31,Listas!$J$3:$K$7,2,FALSE),""))</f>
        <v/>
      </c>
      <c r="J31" s="15" t="str">
        <f t="shared" si="0"/>
        <v/>
      </c>
      <c r="K31" s="11"/>
      <c r="L31" s="16"/>
      <c r="M31" s="17"/>
      <c r="N31" s="18" t="str">
        <f t="shared" si="1"/>
        <v/>
      </c>
      <c r="O31" s="17"/>
      <c r="P31" s="18" t="str">
        <f t="shared" si="2"/>
        <v/>
      </c>
      <c r="Q31" s="16"/>
      <c r="R31" s="18" t="str">
        <f t="shared" si="3"/>
        <v/>
      </c>
      <c r="S31" s="19" t="str">
        <f>IF($A31="","",SUMIFS(Pagos!$D$8:$D$300,Pagos!$A$8:$A$300,$A31,Pagos!$F$8:$F$300,"Aplicado"))</f>
        <v/>
      </c>
      <c r="T31" s="20" t="str">
        <f t="shared" si="4"/>
        <v/>
      </c>
      <c r="U31" s="12" t="str">
        <f>IF($A31="","",IF($T31&lt;=0.005,"Pagada",IF($S31&gt;0,IF($J31&lt;Inicio!$F$3,"Parcial vencida","Pago parcial"),IF($J31&lt;Inicio!$F$3,"Vencida",IF($J31-Inicio!$F$3&lt;=7,"Próxima","Pendiente")))))</f>
        <v/>
      </c>
      <c r="V31" s="14">
        <f>IF(OR($A31="",$T31&lt;=0,$J31&gt;=Inicio!$F$3),0,Inicio!$F$3-$J31)</f>
        <v>0</v>
      </c>
      <c r="W31" s="11"/>
      <c r="X31" s="11"/>
      <c r="Y31" s="12" t="str">
        <f>IF($A31="","",IF($T31&lt;=0,"Cerrada",IF($J31&lt;Inicio!$F$3,"Alta",IF($J31-Inicio!$F$3&lt;=7,"Media","Normal"))))</f>
        <v/>
      </c>
      <c r="Z31" s="11"/>
      <c r="AA31" s="21" t="str">
        <f t="shared" si="5"/>
        <v/>
      </c>
    </row>
    <row r="32" spans="1:27" ht="21" customHeight="1" x14ac:dyDescent="0.3">
      <c r="A32" s="11"/>
      <c r="B32" s="11"/>
      <c r="C32" s="12" t="str">
        <f>IF($B32="","",IFERROR(VLOOKUP($B32,Listas!$A$3:$G$13,2,FALSE),""))</f>
        <v/>
      </c>
      <c r="D32" s="12" t="str">
        <f>IF($B32="","",IFERROR(VLOOKUP($B32,Listas!$A$3:$G$13,3,FALSE),""))</f>
        <v/>
      </c>
      <c r="E32" s="11"/>
      <c r="F32" s="13"/>
      <c r="G32" s="13"/>
      <c r="H32" s="12" t="str">
        <f>IF($B32="","",IFERROR(VLOOKUP($B32,Listas!$A$3:$G$13,4,FALSE),""))</f>
        <v/>
      </c>
      <c r="I32" s="14" t="str">
        <f>IF($H32="","",IFERROR(VLOOKUP($H32,Listas!$J$3:$K$7,2,FALSE),""))</f>
        <v/>
      </c>
      <c r="J32" s="15" t="str">
        <f t="shared" si="0"/>
        <v/>
      </c>
      <c r="K32" s="11"/>
      <c r="L32" s="16"/>
      <c r="M32" s="17"/>
      <c r="N32" s="18" t="str">
        <f t="shared" si="1"/>
        <v/>
      </c>
      <c r="O32" s="17"/>
      <c r="P32" s="18" t="str">
        <f t="shared" si="2"/>
        <v/>
      </c>
      <c r="Q32" s="16"/>
      <c r="R32" s="18" t="str">
        <f t="shared" si="3"/>
        <v/>
      </c>
      <c r="S32" s="19" t="str">
        <f>IF($A32="","",SUMIFS(Pagos!$D$8:$D$300,Pagos!$A$8:$A$300,$A32,Pagos!$F$8:$F$300,"Aplicado"))</f>
        <v/>
      </c>
      <c r="T32" s="20" t="str">
        <f t="shared" si="4"/>
        <v/>
      </c>
      <c r="U32" s="12" t="str">
        <f>IF($A32="","",IF($T32&lt;=0.005,"Pagada",IF($S32&gt;0,IF($J32&lt;Inicio!$F$3,"Parcial vencida","Pago parcial"),IF($J32&lt;Inicio!$F$3,"Vencida",IF($J32-Inicio!$F$3&lt;=7,"Próxima","Pendiente")))))</f>
        <v/>
      </c>
      <c r="V32" s="14">
        <f>IF(OR($A32="",$T32&lt;=0,$J32&gt;=Inicio!$F$3),0,Inicio!$F$3-$J32)</f>
        <v>0</v>
      </c>
      <c r="W32" s="11"/>
      <c r="X32" s="11"/>
      <c r="Y32" s="12" t="str">
        <f>IF($A32="","",IF($T32&lt;=0,"Cerrada",IF($J32&lt;Inicio!$F$3,"Alta",IF($J32-Inicio!$F$3&lt;=7,"Media","Normal"))))</f>
        <v/>
      </c>
      <c r="Z32" s="11"/>
      <c r="AA32" s="21" t="str">
        <f t="shared" si="5"/>
        <v/>
      </c>
    </row>
    <row r="33" spans="1:27" ht="21" customHeight="1" x14ac:dyDescent="0.3">
      <c r="A33" s="11"/>
      <c r="B33" s="11"/>
      <c r="C33" s="12" t="str">
        <f>IF($B33="","",IFERROR(VLOOKUP($B33,Listas!$A$3:$G$13,2,FALSE),""))</f>
        <v/>
      </c>
      <c r="D33" s="12" t="str">
        <f>IF($B33="","",IFERROR(VLOOKUP($B33,Listas!$A$3:$G$13,3,FALSE),""))</f>
        <v/>
      </c>
      <c r="E33" s="11"/>
      <c r="F33" s="13"/>
      <c r="G33" s="13"/>
      <c r="H33" s="12" t="str">
        <f>IF($B33="","",IFERROR(VLOOKUP($B33,Listas!$A$3:$G$13,4,FALSE),""))</f>
        <v/>
      </c>
      <c r="I33" s="14" t="str">
        <f>IF($H33="","",IFERROR(VLOOKUP($H33,Listas!$J$3:$K$7,2,FALSE),""))</f>
        <v/>
      </c>
      <c r="J33" s="15" t="str">
        <f t="shared" si="0"/>
        <v/>
      </c>
      <c r="K33" s="11"/>
      <c r="L33" s="16"/>
      <c r="M33" s="17"/>
      <c r="N33" s="18" t="str">
        <f t="shared" si="1"/>
        <v/>
      </c>
      <c r="O33" s="17"/>
      <c r="P33" s="18" t="str">
        <f t="shared" si="2"/>
        <v/>
      </c>
      <c r="Q33" s="16"/>
      <c r="R33" s="18" t="str">
        <f t="shared" si="3"/>
        <v/>
      </c>
      <c r="S33" s="19" t="str">
        <f>IF($A33="","",SUMIFS(Pagos!$D$8:$D$300,Pagos!$A$8:$A$300,$A33,Pagos!$F$8:$F$300,"Aplicado"))</f>
        <v/>
      </c>
      <c r="T33" s="20" t="str">
        <f t="shared" si="4"/>
        <v/>
      </c>
      <c r="U33" s="12" t="str">
        <f>IF($A33="","",IF($T33&lt;=0.005,"Pagada",IF($S33&gt;0,IF($J33&lt;Inicio!$F$3,"Parcial vencida","Pago parcial"),IF($J33&lt;Inicio!$F$3,"Vencida",IF($J33-Inicio!$F$3&lt;=7,"Próxima","Pendiente")))))</f>
        <v/>
      </c>
      <c r="V33" s="14">
        <f>IF(OR($A33="",$T33&lt;=0,$J33&gt;=Inicio!$F$3),0,Inicio!$F$3-$J33)</f>
        <v>0</v>
      </c>
      <c r="W33" s="11"/>
      <c r="X33" s="11"/>
      <c r="Y33" s="12" t="str">
        <f>IF($A33="","",IF($T33&lt;=0,"Cerrada",IF($J33&lt;Inicio!$F$3,"Alta",IF($J33-Inicio!$F$3&lt;=7,"Media","Normal"))))</f>
        <v/>
      </c>
      <c r="Z33" s="11"/>
      <c r="AA33" s="21" t="str">
        <f t="shared" si="5"/>
        <v/>
      </c>
    </row>
    <row r="34" spans="1:27" ht="21" customHeight="1" x14ac:dyDescent="0.3">
      <c r="A34" s="11"/>
      <c r="B34" s="11"/>
      <c r="C34" s="12" t="str">
        <f>IF($B34="","",IFERROR(VLOOKUP($B34,Listas!$A$3:$G$13,2,FALSE),""))</f>
        <v/>
      </c>
      <c r="D34" s="12" t="str">
        <f>IF($B34="","",IFERROR(VLOOKUP($B34,Listas!$A$3:$G$13,3,FALSE),""))</f>
        <v/>
      </c>
      <c r="E34" s="11"/>
      <c r="F34" s="13"/>
      <c r="G34" s="13"/>
      <c r="H34" s="12" t="str">
        <f>IF($B34="","",IFERROR(VLOOKUP($B34,Listas!$A$3:$G$13,4,FALSE),""))</f>
        <v/>
      </c>
      <c r="I34" s="14" t="str">
        <f>IF($H34="","",IFERROR(VLOOKUP($H34,Listas!$J$3:$K$7,2,FALSE),""))</f>
        <v/>
      </c>
      <c r="J34" s="15" t="str">
        <f t="shared" si="0"/>
        <v/>
      </c>
      <c r="K34" s="11"/>
      <c r="L34" s="16"/>
      <c r="M34" s="17"/>
      <c r="N34" s="18" t="str">
        <f t="shared" si="1"/>
        <v/>
      </c>
      <c r="O34" s="17"/>
      <c r="P34" s="18" t="str">
        <f t="shared" si="2"/>
        <v/>
      </c>
      <c r="Q34" s="16"/>
      <c r="R34" s="18" t="str">
        <f t="shared" si="3"/>
        <v/>
      </c>
      <c r="S34" s="19" t="str">
        <f>IF($A34="","",SUMIFS(Pagos!$D$8:$D$300,Pagos!$A$8:$A$300,$A34,Pagos!$F$8:$F$300,"Aplicado"))</f>
        <v/>
      </c>
      <c r="T34" s="20" t="str">
        <f t="shared" si="4"/>
        <v/>
      </c>
      <c r="U34" s="12" t="str">
        <f>IF($A34="","",IF($T34&lt;=0.005,"Pagada",IF($S34&gt;0,IF($J34&lt;Inicio!$F$3,"Parcial vencida","Pago parcial"),IF($J34&lt;Inicio!$F$3,"Vencida",IF($J34-Inicio!$F$3&lt;=7,"Próxima","Pendiente")))))</f>
        <v/>
      </c>
      <c r="V34" s="14">
        <f>IF(OR($A34="",$T34&lt;=0,$J34&gt;=Inicio!$F$3),0,Inicio!$F$3-$J34)</f>
        <v>0</v>
      </c>
      <c r="W34" s="11"/>
      <c r="X34" s="11"/>
      <c r="Y34" s="12" t="str">
        <f>IF($A34="","",IF($T34&lt;=0,"Cerrada",IF($J34&lt;Inicio!$F$3,"Alta",IF($J34-Inicio!$F$3&lt;=7,"Media","Normal"))))</f>
        <v/>
      </c>
      <c r="Z34" s="11"/>
      <c r="AA34" s="21" t="str">
        <f t="shared" si="5"/>
        <v/>
      </c>
    </row>
    <row r="35" spans="1:27" ht="21" customHeight="1" x14ac:dyDescent="0.3">
      <c r="A35" s="11"/>
      <c r="B35" s="11"/>
      <c r="C35" s="12" t="str">
        <f>IF($B35="","",IFERROR(VLOOKUP($B35,Listas!$A$3:$G$13,2,FALSE),""))</f>
        <v/>
      </c>
      <c r="D35" s="12" t="str">
        <f>IF($B35="","",IFERROR(VLOOKUP($B35,Listas!$A$3:$G$13,3,FALSE),""))</f>
        <v/>
      </c>
      <c r="E35" s="11"/>
      <c r="F35" s="13"/>
      <c r="G35" s="13"/>
      <c r="H35" s="12" t="str">
        <f>IF($B35="","",IFERROR(VLOOKUP($B35,Listas!$A$3:$G$13,4,FALSE),""))</f>
        <v/>
      </c>
      <c r="I35" s="14" t="str">
        <f>IF($H35="","",IFERROR(VLOOKUP($H35,Listas!$J$3:$K$7,2,FALSE),""))</f>
        <v/>
      </c>
      <c r="J35" s="15" t="str">
        <f t="shared" si="0"/>
        <v/>
      </c>
      <c r="K35" s="11"/>
      <c r="L35" s="16"/>
      <c r="M35" s="17"/>
      <c r="N35" s="18" t="str">
        <f t="shared" si="1"/>
        <v/>
      </c>
      <c r="O35" s="17"/>
      <c r="P35" s="18" t="str">
        <f t="shared" si="2"/>
        <v/>
      </c>
      <c r="Q35" s="16"/>
      <c r="R35" s="18" t="str">
        <f t="shared" si="3"/>
        <v/>
      </c>
      <c r="S35" s="19" t="str">
        <f>IF($A35="","",SUMIFS(Pagos!$D$8:$D$300,Pagos!$A$8:$A$300,$A35,Pagos!$F$8:$F$300,"Aplicado"))</f>
        <v/>
      </c>
      <c r="T35" s="20" t="str">
        <f t="shared" si="4"/>
        <v/>
      </c>
      <c r="U35" s="12" t="str">
        <f>IF($A35="","",IF($T35&lt;=0.005,"Pagada",IF($S35&gt;0,IF($J35&lt;Inicio!$F$3,"Parcial vencida","Pago parcial"),IF($J35&lt;Inicio!$F$3,"Vencida",IF($J35-Inicio!$F$3&lt;=7,"Próxima","Pendiente")))))</f>
        <v/>
      </c>
      <c r="V35" s="14">
        <f>IF(OR($A35="",$T35&lt;=0,$J35&gt;=Inicio!$F$3),0,Inicio!$F$3-$J35)</f>
        <v>0</v>
      </c>
      <c r="W35" s="11"/>
      <c r="X35" s="11"/>
      <c r="Y35" s="12" t="str">
        <f>IF($A35="","",IF($T35&lt;=0,"Cerrada",IF($J35&lt;Inicio!$F$3,"Alta",IF($J35-Inicio!$F$3&lt;=7,"Media","Normal"))))</f>
        <v/>
      </c>
      <c r="Z35" s="11"/>
      <c r="AA35" s="21" t="str">
        <f t="shared" si="5"/>
        <v/>
      </c>
    </row>
    <row r="36" spans="1:27" ht="21" customHeight="1" x14ac:dyDescent="0.3">
      <c r="A36" s="11"/>
      <c r="B36" s="11"/>
      <c r="C36" s="12" t="str">
        <f>IF($B36="","",IFERROR(VLOOKUP($B36,Listas!$A$3:$G$13,2,FALSE),""))</f>
        <v/>
      </c>
      <c r="D36" s="12" t="str">
        <f>IF($B36="","",IFERROR(VLOOKUP($B36,Listas!$A$3:$G$13,3,FALSE),""))</f>
        <v/>
      </c>
      <c r="E36" s="11"/>
      <c r="F36" s="13"/>
      <c r="G36" s="13"/>
      <c r="H36" s="12" t="str">
        <f>IF($B36="","",IFERROR(VLOOKUP($B36,Listas!$A$3:$G$13,4,FALSE),""))</f>
        <v/>
      </c>
      <c r="I36" s="14" t="str">
        <f>IF($H36="","",IFERROR(VLOOKUP($H36,Listas!$J$3:$K$7,2,FALSE),""))</f>
        <v/>
      </c>
      <c r="J36" s="15" t="str">
        <f t="shared" si="0"/>
        <v/>
      </c>
      <c r="K36" s="11"/>
      <c r="L36" s="16"/>
      <c r="M36" s="17"/>
      <c r="N36" s="18" t="str">
        <f t="shared" si="1"/>
        <v/>
      </c>
      <c r="O36" s="17"/>
      <c r="P36" s="18" t="str">
        <f t="shared" si="2"/>
        <v/>
      </c>
      <c r="Q36" s="16"/>
      <c r="R36" s="18" t="str">
        <f t="shared" si="3"/>
        <v/>
      </c>
      <c r="S36" s="19" t="str">
        <f>IF($A36="","",SUMIFS(Pagos!$D$8:$D$300,Pagos!$A$8:$A$300,$A36,Pagos!$F$8:$F$300,"Aplicado"))</f>
        <v/>
      </c>
      <c r="T36" s="20" t="str">
        <f t="shared" si="4"/>
        <v/>
      </c>
      <c r="U36" s="12" t="str">
        <f>IF($A36="","",IF($T36&lt;=0.005,"Pagada",IF($S36&gt;0,IF($J36&lt;Inicio!$F$3,"Parcial vencida","Pago parcial"),IF($J36&lt;Inicio!$F$3,"Vencida",IF($J36-Inicio!$F$3&lt;=7,"Próxima","Pendiente")))))</f>
        <v/>
      </c>
      <c r="V36" s="14">
        <f>IF(OR($A36="",$T36&lt;=0,$J36&gt;=Inicio!$F$3),0,Inicio!$F$3-$J36)</f>
        <v>0</v>
      </c>
      <c r="W36" s="11"/>
      <c r="X36" s="11"/>
      <c r="Y36" s="12" t="str">
        <f>IF($A36="","",IF($T36&lt;=0,"Cerrada",IF($J36&lt;Inicio!$F$3,"Alta",IF($J36-Inicio!$F$3&lt;=7,"Media","Normal"))))</f>
        <v/>
      </c>
      <c r="Z36" s="11"/>
      <c r="AA36" s="21" t="str">
        <f t="shared" si="5"/>
        <v/>
      </c>
    </row>
    <row r="37" spans="1:27" ht="21" customHeight="1" x14ac:dyDescent="0.3">
      <c r="A37" s="11"/>
      <c r="B37" s="11"/>
      <c r="C37" s="12" t="str">
        <f>IF($B37="","",IFERROR(VLOOKUP($B37,Listas!$A$3:$G$13,2,FALSE),""))</f>
        <v/>
      </c>
      <c r="D37" s="12" t="str">
        <f>IF($B37="","",IFERROR(VLOOKUP($B37,Listas!$A$3:$G$13,3,FALSE),""))</f>
        <v/>
      </c>
      <c r="E37" s="11"/>
      <c r="F37" s="13"/>
      <c r="G37" s="13"/>
      <c r="H37" s="12" t="str">
        <f>IF($B37="","",IFERROR(VLOOKUP($B37,Listas!$A$3:$G$13,4,FALSE),""))</f>
        <v/>
      </c>
      <c r="I37" s="14" t="str">
        <f>IF($H37="","",IFERROR(VLOOKUP($H37,Listas!$J$3:$K$7,2,FALSE),""))</f>
        <v/>
      </c>
      <c r="J37" s="15" t="str">
        <f t="shared" si="0"/>
        <v/>
      </c>
      <c r="K37" s="11"/>
      <c r="L37" s="16"/>
      <c r="M37" s="17"/>
      <c r="N37" s="18" t="str">
        <f t="shared" si="1"/>
        <v/>
      </c>
      <c r="O37" s="17"/>
      <c r="P37" s="18" t="str">
        <f t="shared" si="2"/>
        <v/>
      </c>
      <c r="Q37" s="16"/>
      <c r="R37" s="18" t="str">
        <f t="shared" si="3"/>
        <v/>
      </c>
      <c r="S37" s="19" t="str">
        <f>IF($A37="","",SUMIFS(Pagos!$D$8:$D$300,Pagos!$A$8:$A$300,$A37,Pagos!$F$8:$F$300,"Aplicado"))</f>
        <v/>
      </c>
      <c r="T37" s="20" t="str">
        <f t="shared" si="4"/>
        <v/>
      </c>
      <c r="U37" s="12" t="str">
        <f>IF($A37="","",IF($T37&lt;=0.005,"Pagada",IF($S37&gt;0,IF($J37&lt;Inicio!$F$3,"Parcial vencida","Pago parcial"),IF($J37&lt;Inicio!$F$3,"Vencida",IF($J37-Inicio!$F$3&lt;=7,"Próxima","Pendiente")))))</f>
        <v/>
      </c>
      <c r="V37" s="14">
        <f>IF(OR($A37="",$T37&lt;=0,$J37&gt;=Inicio!$F$3),0,Inicio!$F$3-$J37)</f>
        <v>0</v>
      </c>
      <c r="W37" s="11"/>
      <c r="X37" s="11"/>
      <c r="Y37" s="12" t="str">
        <f>IF($A37="","",IF($T37&lt;=0,"Cerrada",IF($J37&lt;Inicio!$F$3,"Alta",IF($J37-Inicio!$F$3&lt;=7,"Media","Normal"))))</f>
        <v/>
      </c>
      <c r="Z37" s="11"/>
      <c r="AA37" s="21" t="str">
        <f t="shared" si="5"/>
        <v/>
      </c>
    </row>
    <row r="38" spans="1:27" ht="21" customHeight="1" x14ac:dyDescent="0.3">
      <c r="A38" s="11"/>
      <c r="B38" s="11"/>
      <c r="C38" s="12" t="str">
        <f>IF($B38="","",IFERROR(VLOOKUP($B38,Listas!$A$3:$G$13,2,FALSE),""))</f>
        <v/>
      </c>
      <c r="D38" s="12" t="str">
        <f>IF($B38="","",IFERROR(VLOOKUP($B38,Listas!$A$3:$G$13,3,FALSE),""))</f>
        <v/>
      </c>
      <c r="E38" s="11"/>
      <c r="F38" s="13"/>
      <c r="G38" s="13"/>
      <c r="H38" s="12" t="str">
        <f>IF($B38="","",IFERROR(VLOOKUP($B38,Listas!$A$3:$G$13,4,FALSE),""))</f>
        <v/>
      </c>
      <c r="I38" s="14" t="str">
        <f>IF($H38="","",IFERROR(VLOOKUP($H38,Listas!$J$3:$K$7,2,FALSE),""))</f>
        <v/>
      </c>
      <c r="J38" s="15" t="str">
        <f t="shared" si="0"/>
        <v/>
      </c>
      <c r="K38" s="11"/>
      <c r="L38" s="16"/>
      <c r="M38" s="17"/>
      <c r="N38" s="18" t="str">
        <f t="shared" si="1"/>
        <v/>
      </c>
      <c r="O38" s="17"/>
      <c r="P38" s="18" t="str">
        <f t="shared" si="2"/>
        <v/>
      </c>
      <c r="Q38" s="16"/>
      <c r="R38" s="18" t="str">
        <f t="shared" si="3"/>
        <v/>
      </c>
      <c r="S38" s="19" t="str">
        <f>IF($A38="","",SUMIFS(Pagos!$D$8:$D$300,Pagos!$A$8:$A$300,$A38,Pagos!$F$8:$F$300,"Aplicado"))</f>
        <v/>
      </c>
      <c r="T38" s="20" t="str">
        <f t="shared" si="4"/>
        <v/>
      </c>
      <c r="U38" s="12" t="str">
        <f>IF($A38="","",IF($T38&lt;=0.005,"Pagada",IF($S38&gt;0,IF($J38&lt;Inicio!$F$3,"Parcial vencida","Pago parcial"),IF($J38&lt;Inicio!$F$3,"Vencida",IF($J38-Inicio!$F$3&lt;=7,"Próxima","Pendiente")))))</f>
        <v/>
      </c>
      <c r="V38" s="14">
        <f>IF(OR($A38="",$T38&lt;=0,$J38&gt;=Inicio!$F$3),0,Inicio!$F$3-$J38)</f>
        <v>0</v>
      </c>
      <c r="W38" s="11"/>
      <c r="X38" s="11"/>
      <c r="Y38" s="12" t="str">
        <f>IF($A38="","",IF($T38&lt;=0,"Cerrada",IF($J38&lt;Inicio!$F$3,"Alta",IF($J38-Inicio!$F$3&lt;=7,"Media","Normal"))))</f>
        <v/>
      </c>
      <c r="Z38" s="11"/>
      <c r="AA38" s="21" t="str">
        <f t="shared" si="5"/>
        <v/>
      </c>
    </row>
    <row r="39" spans="1:27" ht="21" customHeight="1" x14ac:dyDescent="0.3">
      <c r="A39" s="11"/>
      <c r="B39" s="11"/>
      <c r="C39" s="12" t="str">
        <f>IF($B39="","",IFERROR(VLOOKUP($B39,Listas!$A$3:$G$13,2,FALSE),""))</f>
        <v/>
      </c>
      <c r="D39" s="12" t="str">
        <f>IF($B39="","",IFERROR(VLOOKUP($B39,Listas!$A$3:$G$13,3,FALSE),""))</f>
        <v/>
      </c>
      <c r="E39" s="11"/>
      <c r="F39" s="13"/>
      <c r="G39" s="13"/>
      <c r="H39" s="12" t="str">
        <f>IF($B39="","",IFERROR(VLOOKUP($B39,Listas!$A$3:$G$13,4,FALSE),""))</f>
        <v/>
      </c>
      <c r="I39" s="14" t="str">
        <f>IF($H39="","",IFERROR(VLOOKUP($H39,Listas!$J$3:$K$7,2,FALSE),""))</f>
        <v/>
      </c>
      <c r="J39" s="15" t="str">
        <f t="shared" si="0"/>
        <v/>
      </c>
      <c r="K39" s="11"/>
      <c r="L39" s="16"/>
      <c r="M39" s="17"/>
      <c r="N39" s="18" t="str">
        <f t="shared" si="1"/>
        <v/>
      </c>
      <c r="O39" s="17"/>
      <c r="P39" s="18" t="str">
        <f t="shared" si="2"/>
        <v/>
      </c>
      <c r="Q39" s="16"/>
      <c r="R39" s="18" t="str">
        <f t="shared" si="3"/>
        <v/>
      </c>
      <c r="S39" s="19" t="str">
        <f>IF($A39="","",SUMIFS(Pagos!$D$8:$D$300,Pagos!$A$8:$A$300,$A39,Pagos!$F$8:$F$300,"Aplicado"))</f>
        <v/>
      </c>
      <c r="T39" s="20" t="str">
        <f t="shared" si="4"/>
        <v/>
      </c>
      <c r="U39" s="12" t="str">
        <f>IF($A39="","",IF($T39&lt;=0.005,"Pagada",IF($S39&gt;0,IF($J39&lt;Inicio!$F$3,"Parcial vencida","Pago parcial"),IF($J39&lt;Inicio!$F$3,"Vencida",IF($J39-Inicio!$F$3&lt;=7,"Próxima","Pendiente")))))</f>
        <v/>
      </c>
      <c r="V39" s="14">
        <f>IF(OR($A39="",$T39&lt;=0,$J39&gt;=Inicio!$F$3),0,Inicio!$F$3-$J39)</f>
        <v>0</v>
      </c>
      <c r="W39" s="11"/>
      <c r="X39" s="11"/>
      <c r="Y39" s="12" t="str">
        <f>IF($A39="","",IF($T39&lt;=0,"Cerrada",IF($J39&lt;Inicio!$F$3,"Alta",IF($J39-Inicio!$F$3&lt;=7,"Media","Normal"))))</f>
        <v/>
      </c>
      <c r="Z39" s="11"/>
      <c r="AA39" s="21" t="str">
        <f t="shared" si="5"/>
        <v/>
      </c>
    </row>
    <row r="40" spans="1:27" ht="21" customHeight="1" x14ac:dyDescent="0.3">
      <c r="A40" s="11"/>
      <c r="B40" s="11"/>
      <c r="C40" s="12" t="str">
        <f>IF($B40="","",IFERROR(VLOOKUP($B40,Listas!$A$3:$G$13,2,FALSE),""))</f>
        <v/>
      </c>
      <c r="D40" s="12" t="str">
        <f>IF($B40="","",IFERROR(VLOOKUP($B40,Listas!$A$3:$G$13,3,FALSE),""))</f>
        <v/>
      </c>
      <c r="E40" s="11"/>
      <c r="F40" s="13"/>
      <c r="G40" s="13"/>
      <c r="H40" s="12" t="str">
        <f>IF($B40="","",IFERROR(VLOOKUP($B40,Listas!$A$3:$G$13,4,FALSE),""))</f>
        <v/>
      </c>
      <c r="I40" s="14" t="str">
        <f>IF($H40="","",IFERROR(VLOOKUP($H40,Listas!$J$3:$K$7,2,FALSE),""))</f>
        <v/>
      </c>
      <c r="J40" s="15" t="str">
        <f t="shared" ref="J40:J71" si="6">IF($G40="","",$G40+$I40)</f>
        <v/>
      </c>
      <c r="K40" s="11"/>
      <c r="L40" s="16"/>
      <c r="M40" s="17"/>
      <c r="N40" s="18" t="str">
        <f t="shared" ref="N40:N71" si="7">IF($L40="","",$L40*$M40)</f>
        <v/>
      </c>
      <c r="O40" s="17"/>
      <c r="P40" s="18" t="str">
        <f t="shared" ref="P40:P71" si="8">IF($L40="","",$L40*$O40)</f>
        <v/>
      </c>
      <c r="Q40" s="16"/>
      <c r="R40" s="18" t="str">
        <f t="shared" ref="R40:R71" si="9">IF($L40="","",$L40+$N40-$P40-$Q40)</f>
        <v/>
      </c>
      <c r="S40" s="19" t="str">
        <f>IF($A40="","",SUMIFS(Pagos!$D$8:$D$300,Pagos!$A$8:$A$300,$A40,Pagos!$F$8:$F$300,"Aplicado"))</f>
        <v/>
      </c>
      <c r="T40" s="20" t="str">
        <f t="shared" ref="T40:T71" si="10">IF($A40="","",MAX(0,$R40-$S40))</f>
        <v/>
      </c>
      <c r="U40" s="12" t="str">
        <f>IF($A40="","",IF($T40&lt;=0.005,"Pagada",IF($S40&gt;0,IF($J40&lt;Inicio!$F$3,"Parcial vencida","Pago parcial"),IF($J40&lt;Inicio!$F$3,"Vencida",IF($J40-Inicio!$F$3&lt;=7,"Próxima","Pendiente")))))</f>
        <v/>
      </c>
      <c r="V40" s="14">
        <f>IF(OR($A40="",$T40&lt;=0,$J40&gt;=Inicio!$F$3),0,Inicio!$F$3-$J40)</f>
        <v>0</v>
      </c>
      <c r="W40" s="11"/>
      <c r="X40" s="11"/>
      <c r="Y40" s="12" t="str">
        <f>IF($A40="","",IF($T40&lt;=0,"Cerrada",IF($J40&lt;Inicio!$F$3,"Alta",IF($J40-Inicio!$F$3&lt;=7,"Media","Normal"))))</f>
        <v/>
      </c>
      <c r="Z40" s="11"/>
      <c r="AA40" s="21" t="str">
        <f t="shared" ref="AA40:AA71" si="11">IF($A40="","",IF($T40&gt;0,COUNTIFS($J$8:$J$300,"&lt;"&amp;$J40,$T$8:$T$300,"&gt;0")+COUNTIFS($J$8:$J$300,$J40,$A$8:$A$300,"&lt;"&amp;$A40,$T$8:$T$300,"&gt;0")+1,""))</f>
        <v/>
      </c>
    </row>
    <row r="41" spans="1:27" ht="21" customHeight="1" x14ac:dyDescent="0.3">
      <c r="A41" s="11"/>
      <c r="B41" s="11"/>
      <c r="C41" s="12" t="str">
        <f>IF($B41="","",IFERROR(VLOOKUP($B41,Listas!$A$3:$G$13,2,FALSE),""))</f>
        <v/>
      </c>
      <c r="D41" s="12" t="str">
        <f>IF($B41="","",IFERROR(VLOOKUP($B41,Listas!$A$3:$G$13,3,FALSE),""))</f>
        <v/>
      </c>
      <c r="E41" s="11"/>
      <c r="F41" s="13"/>
      <c r="G41" s="13"/>
      <c r="H41" s="12" t="str">
        <f>IF($B41="","",IFERROR(VLOOKUP($B41,Listas!$A$3:$G$13,4,FALSE),""))</f>
        <v/>
      </c>
      <c r="I41" s="14" t="str">
        <f>IF($H41="","",IFERROR(VLOOKUP($H41,Listas!$J$3:$K$7,2,FALSE),""))</f>
        <v/>
      </c>
      <c r="J41" s="15" t="str">
        <f t="shared" si="6"/>
        <v/>
      </c>
      <c r="K41" s="11"/>
      <c r="L41" s="16"/>
      <c r="M41" s="17"/>
      <c r="N41" s="18" t="str">
        <f t="shared" si="7"/>
        <v/>
      </c>
      <c r="O41" s="17"/>
      <c r="P41" s="18" t="str">
        <f t="shared" si="8"/>
        <v/>
      </c>
      <c r="Q41" s="16"/>
      <c r="R41" s="18" t="str">
        <f t="shared" si="9"/>
        <v/>
      </c>
      <c r="S41" s="19" t="str">
        <f>IF($A41="","",SUMIFS(Pagos!$D$8:$D$300,Pagos!$A$8:$A$300,$A41,Pagos!$F$8:$F$300,"Aplicado"))</f>
        <v/>
      </c>
      <c r="T41" s="20" t="str">
        <f t="shared" si="10"/>
        <v/>
      </c>
      <c r="U41" s="12" t="str">
        <f>IF($A41="","",IF($T41&lt;=0.005,"Pagada",IF($S41&gt;0,IF($J41&lt;Inicio!$F$3,"Parcial vencida","Pago parcial"),IF($J41&lt;Inicio!$F$3,"Vencida",IF($J41-Inicio!$F$3&lt;=7,"Próxima","Pendiente")))))</f>
        <v/>
      </c>
      <c r="V41" s="14">
        <f>IF(OR($A41="",$T41&lt;=0,$J41&gt;=Inicio!$F$3),0,Inicio!$F$3-$J41)</f>
        <v>0</v>
      </c>
      <c r="W41" s="11"/>
      <c r="X41" s="11"/>
      <c r="Y41" s="12" t="str">
        <f>IF($A41="","",IF($T41&lt;=0,"Cerrada",IF($J41&lt;Inicio!$F$3,"Alta",IF($J41-Inicio!$F$3&lt;=7,"Media","Normal"))))</f>
        <v/>
      </c>
      <c r="Z41" s="11"/>
      <c r="AA41" s="21" t="str">
        <f t="shared" si="11"/>
        <v/>
      </c>
    </row>
    <row r="42" spans="1:27" ht="21" customHeight="1" x14ac:dyDescent="0.3">
      <c r="A42" s="11"/>
      <c r="B42" s="11"/>
      <c r="C42" s="12" t="str">
        <f>IF($B42="","",IFERROR(VLOOKUP($B42,Listas!$A$3:$G$13,2,FALSE),""))</f>
        <v/>
      </c>
      <c r="D42" s="12" t="str">
        <f>IF($B42="","",IFERROR(VLOOKUP($B42,Listas!$A$3:$G$13,3,FALSE),""))</f>
        <v/>
      </c>
      <c r="E42" s="11"/>
      <c r="F42" s="13"/>
      <c r="G42" s="13"/>
      <c r="H42" s="12" t="str">
        <f>IF($B42="","",IFERROR(VLOOKUP($B42,Listas!$A$3:$G$13,4,FALSE),""))</f>
        <v/>
      </c>
      <c r="I42" s="14" t="str">
        <f>IF($H42="","",IFERROR(VLOOKUP($H42,Listas!$J$3:$K$7,2,FALSE),""))</f>
        <v/>
      </c>
      <c r="J42" s="15" t="str">
        <f t="shared" si="6"/>
        <v/>
      </c>
      <c r="K42" s="11"/>
      <c r="L42" s="16"/>
      <c r="M42" s="17"/>
      <c r="N42" s="18" t="str">
        <f t="shared" si="7"/>
        <v/>
      </c>
      <c r="O42" s="17"/>
      <c r="P42" s="18" t="str">
        <f t="shared" si="8"/>
        <v/>
      </c>
      <c r="Q42" s="16"/>
      <c r="R42" s="18" t="str">
        <f t="shared" si="9"/>
        <v/>
      </c>
      <c r="S42" s="19" t="str">
        <f>IF($A42="","",SUMIFS(Pagos!$D$8:$D$300,Pagos!$A$8:$A$300,$A42,Pagos!$F$8:$F$300,"Aplicado"))</f>
        <v/>
      </c>
      <c r="T42" s="20" t="str">
        <f t="shared" si="10"/>
        <v/>
      </c>
      <c r="U42" s="12" t="str">
        <f>IF($A42="","",IF($T42&lt;=0.005,"Pagada",IF($S42&gt;0,IF($J42&lt;Inicio!$F$3,"Parcial vencida","Pago parcial"),IF($J42&lt;Inicio!$F$3,"Vencida",IF($J42-Inicio!$F$3&lt;=7,"Próxima","Pendiente")))))</f>
        <v/>
      </c>
      <c r="V42" s="14">
        <f>IF(OR($A42="",$T42&lt;=0,$J42&gt;=Inicio!$F$3),0,Inicio!$F$3-$J42)</f>
        <v>0</v>
      </c>
      <c r="W42" s="11"/>
      <c r="X42" s="11"/>
      <c r="Y42" s="12" t="str">
        <f>IF($A42="","",IF($T42&lt;=0,"Cerrada",IF($J42&lt;Inicio!$F$3,"Alta",IF($J42-Inicio!$F$3&lt;=7,"Media","Normal"))))</f>
        <v/>
      </c>
      <c r="Z42" s="11"/>
      <c r="AA42" s="21" t="str">
        <f t="shared" si="11"/>
        <v/>
      </c>
    </row>
    <row r="43" spans="1:27" ht="21" customHeight="1" x14ac:dyDescent="0.3">
      <c r="A43" s="11"/>
      <c r="B43" s="11"/>
      <c r="C43" s="12" t="str">
        <f>IF($B43="","",IFERROR(VLOOKUP($B43,Listas!$A$3:$G$13,2,FALSE),""))</f>
        <v/>
      </c>
      <c r="D43" s="12" t="str">
        <f>IF($B43="","",IFERROR(VLOOKUP($B43,Listas!$A$3:$G$13,3,FALSE),""))</f>
        <v/>
      </c>
      <c r="E43" s="11"/>
      <c r="F43" s="13"/>
      <c r="G43" s="13"/>
      <c r="H43" s="12" t="str">
        <f>IF($B43="","",IFERROR(VLOOKUP($B43,Listas!$A$3:$G$13,4,FALSE),""))</f>
        <v/>
      </c>
      <c r="I43" s="14" t="str">
        <f>IF($H43="","",IFERROR(VLOOKUP($H43,Listas!$J$3:$K$7,2,FALSE),""))</f>
        <v/>
      </c>
      <c r="J43" s="15" t="str">
        <f t="shared" si="6"/>
        <v/>
      </c>
      <c r="K43" s="11"/>
      <c r="L43" s="16"/>
      <c r="M43" s="17"/>
      <c r="N43" s="18" t="str">
        <f t="shared" si="7"/>
        <v/>
      </c>
      <c r="O43" s="17"/>
      <c r="P43" s="18" t="str">
        <f t="shared" si="8"/>
        <v/>
      </c>
      <c r="Q43" s="16"/>
      <c r="R43" s="18" t="str">
        <f t="shared" si="9"/>
        <v/>
      </c>
      <c r="S43" s="19" t="str">
        <f>IF($A43="","",SUMIFS(Pagos!$D$8:$D$300,Pagos!$A$8:$A$300,$A43,Pagos!$F$8:$F$300,"Aplicado"))</f>
        <v/>
      </c>
      <c r="T43" s="20" t="str">
        <f t="shared" si="10"/>
        <v/>
      </c>
      <c r="U43" s="12" t="str">
        <f>IF($A43="","",IF($T43&lt;=0.005,"Pagada",IF($S43&gt;0,IF($J43&lt;Inicio!$F$3,"Parcial vencida","Pago parcial"),IF($J43&lt;Inicio!$F$3,"Vencida",IF($J43-Inicio!$F$3&lt;=7,"Próxima","Pendiente")))))</f>
        <v/>
      </c>
      <c r="V43" s="14">
        <f>IF(OR($A43="",$T43&lt;=0,$J43&gt;=Inicio!$F$3),0,Inicio!$F$3-$J43)</f>
        <v>0</v>
      </c>
      <c r="W43" s="11"/>
      <c r="X43" s="11"/>
      <c r="Y43" s="12" t="str">
        <f>IF($A43="","",IF($T43&lt;=0,"Cerrada",IF($J43&lt;Inicio!$F$3,"Alta",IF($J43-Inicio!$F$3&lt;=7,"Media","Normal"))))</f>
        <v/>
      </c>
      <c r="Z43" s="11"/>
      <c r="AA43" s="21" t="str">
        <f t="shared" si="11"/>
        <v/>
      </c>
    </row>
    <row r="44" spans="1:27" ht="21" customHeight="1" x14ac:dyDescent="0.3">
      <c r="A44" s="11"/>
      <c r="B44" s="11"/>
      <c r="C44" s="12" t="str">
        <f>IF($B44="","",IFERROR(VLOOKUP($B44,Listas!$A$3:$G$13,2,FALSE),""))</f>
        <v/>
      </c>
      <c r="D44" s="12" t="str">
        <f>IF($B44="","",IFERROR(VLOOKUP($B44,Listas!$A$3:$G$13,3,FALSE),""))</f>
        <v/>
      </c>
      <c r="E44" s="11"/>
      <c r="F44" s="13"/>
      <c r="G44" s="13"/>
      <c r="H44" s="12" t="str">
        <f>IF($B44="","",IFERROR(VLOOKUP($B44,Listas!$A$3:$G$13,4,FALSE),""))</f>
        <v/>
      </c>
      <c r="I44" s="14" t="str">
        <f>IF($H44="","",IFERROR(VLOOKUP($H44,Listas!$J$3:$K$7,2,FALSE),""))</f>
        <v/>
      </c>
      <c r="J44" s="15" t="str">
        <f t="shared" si="6"/>
        <v/>
      </c>
      <c r="K44" s="11"/>
      <c r="L44" s="16"/>
      <c r="M44" s="17"/>
      <c r="N44" s="18" t="str">
        <f t="shared" si="7"/>
        <v/>
      </c>
      <c r="O44" s="17"/>
      <c r="P44" s="18" t="str">
        <f t="shared" si="8"/>
        <v/>
      </c>
      <c r="Q44" s="16"/>
      <c r="R44" s="18" t="str">
        <f t="shared" si="9"/>
        <v/>
      </c>
      <c r="S44" s="19" t="str">
        <f>IF($A44="","",SUMIFS(Pagos!$D$8:$D$300,Pagos!$A$8:$A$300,$A44,Pagos!$F$8:$F$300,"Aplicado"))</f>
        <v/>
      </c>
      <c r="T44" s="20" t="str">
        <f t="shared" si="10"/>
        <v/>
      </c>
      <c r="U44" s="12" t="str">
        <f>IF($A44="","",IF($T44&lt;=0.005,"Pagada",IF($S44&gt;0,IF($J44&lt;Inicio!$F$3,"Parcial vencida","Pago parcial"),IF($J44&lt;Inicio!$F$3,"Vencida",IF($J44-Inicio!$F$3&lt;=7,"Próxima","Pendiente")))))</f>
        <v/>
      </c>
      <c r="V44" s="14">
        <f>IF(OR($A44="",$T44&lt;=0,$J44&gt;=Inicio!$F$3),0,Inicio!$F$3-$J44)</f>
        <v>0</v>
      </c>
      <c r="W44" s="11"/>
      <c r="X44" s="11"/>
      <c r="Y44" s="12" t="str">
        <f>IF($A44="","",IF($T44&lt;=0,"Cerrada",IF($J44&lt;Inicio!$F$3,"Alta",IF($J44-Inicio!$F$3&lt;=7,"Media","Normal"))))</f>
        <v/>
      </c>
      <c r="Z44" s="11"/>
      <c r="AA44" s="21" t="str">
        <f t="shared" si="11"/>
        <v/>
      </c>
    </row>
    <row r="45" spans="1:27" ht="21" customHeight="1" x14ac:dyDescent="0.3">
      <c r="A45" s="11"/>
      <c r="B45" s="11"/>
      <c r="C45" s="12" t="str">
        <f>IF($B45="","",IFERROR(VLOOKUP($B45,Listas!$A$3:$G$13,2,FALSE),""))</f>
        <v/>
      </c>
      <c r="D45" s="12" t="str">
        <f>IF($B45="","",IFERROR(VLOOKUP($B45,Listas!$A$3:$G$13,3,FALSE),""))</f>
        <v/>
      </c>
      <c r="E45" s="11"/>
      <c r="F45" s="13"/>
      <c r="G45" s="13"/>
      <c r="H45" s="12" t="str">
        <f>IF($B45="","",IFERROR(VLOOKUP($B45,Listas!$A$3:$G$13,4,FALSE),""))</f>
        <v/>
      </c>
      <c r="I45" s="14" t="str">
        <f>IF($H45="","",IFERROR(VLOOKUP($H45,Listas!$J$3:$K$7,2,FALSE),""))</f>
        <v/>
      </c>
      <c r="J45" s="15" t="str">
        <f t="shared" si="6"/>
        <v/>
      </c>
      <c r="K45" s="11"/>
      <c r="L45" s="16"/>
      <c r="M45" s="17"/>
      <c r="N45" s="18" t="str">
        <f t="shared" si="7"/>
        <v/>
      </c>
      <c r="O45" s="17"/>
      <c r="P45" s="18" t="str">
        <f t="shared" si="8"/>
        <v/>
      </c>
      <c r="Q45" s="16"/>
      <c r="R45" s="18" t="str">
        <f t="shared" si="9"/>
        <v/>
      </c>
      <c r="S45" s="19" t="str">
        <f>IF($A45="","",SUMIFS(Pagos!$D$8:$D$300,Pagos!$A$8:$A$300,$A45,Pagos!$F$8:$F$300,"Aplicado"))</f>
        <v/>
      </c>
      <c r="T45" s="20" t="str">
        <f t="shared" si="10"/>
        <v/>
      </c>
      <c r="U45" s="12" t="str">
        <f>IF($A45="","",IF($T45&lt;=0.005,"Pagada",IF($S45&gt;0,IF($J45&lt;Inicio!$F$3,"Parcial vencida","Pago parcial"),IF($J45&lt;Inicio!$F$3,"Vencida",IF($J45-Inicio!$F$3&lt;=7,"Próxima","Pendiente")))))</f>
        <v/>
      </c>
      <c r="V45" s="14">
        <f>IF(OR($A45="",$T45&lt;=0,$J45&gt;=Inicio!$F$3),0,Inicio!$F$3-$J45)</f>
        <v>0</v>
      </c>
      <c r="W45" s="11"/>
      <c r="X45" s="11"/>
      <c r="Y45" s="12" t="str">
        <f>IF($A45="","",IF($T45&lt;=0,"Cerrada",IF($J45&lt;Inicio!$F$3,"Alta",IF($J45-Inicio!$F$3&lt;=7,"Media","Normal"))))</f>
        <v/>
      </c>
      <c r="Z45" s="11"/>
      <c r="AA45" s="21" t="str">
        <f t="shared" si="11"/>
        <v/>
      </c>
    </row>
    <row r="46" spans="1:27" ht="21" customHeight="1" x14ac:dyDescent="0.3">
      <c r="A46" s="11"/>
      <c r="B46" s="11"/>
      <c r="C46" s="12" t="str">
        <f>IF($B46="","",IFERROR(VLOOKUP($B46,Listas!$A$3:$G$13,2,FALSE),""))</f>
        <v/>
      </c>
      <c r="D46" s="12" t="str">
        <f>IF($B46="","",IFERROR(VLOOKUP($B46,Listas!$A$3:$G$13,3,FALSE),""))</f>
        <v/>
      </c>
      <c r="E46" s="11"/>
      <c r="F46" s="13"/>
      <c r="G46" s="13"/>
      <c r="H46" s="12" t="str">
        <f>IF($B46="","",IFERROR(VLOOKUP($B46,Listas!$A$3:$G$13,4,FALSE),""))</f>
        <v/>
      </c>
      <c r="I46" s="14" t="str">
        <f>IF($H46="","",IFERROR(VLOOKUP($H46,Listas!$J$3:$K$7,2,FALSE),""))</f>
        <v/>
      </c>
      <c r="J46" s="15" t="str">
        <f t="shared" si="6"/>
        <v/>
      </c>
      <c r="K46" s="11"/>
      <c r="L46" s="16"/>
      <c r="M46" s="17"/>
      <c r="N46" s="18" t="str">
        <f t="shared" si="7"/>
        <v/>
      </c>
      <c r="O46" s="17"/>
      <c r="P46" s="18" t="str">
        <f t="shared" si="8"/>
        <v/>
      </c>
      <c r="Q46" s="16"/>
      <c r="R46" s="18" t="str">
        <f t="shared" si="9"/>
        <v/>
      </c>
      <c r="S46" s="19" t="str">
        <f>IF($A46="","",SUMIFS(Pagos!$D$8:$D$300,Pagos!$A$8:$A$300,$A46,Pagos!$F$8:$F$300,"Aplicado"))</f>
        <v/>
      </c>
      <c r="T46" s="20" t="str">
        <f t="shared" si="10"/>
        <v/>
      </c>
      <c r="U46" s="12" t="str">
        <f>IF($A46="","",IF($T46&lt;=0.005,"Pagada",IF($S46&gt;0,IF($J46&lt;Inicio!$F$3,"Parcial vencida","Pago parcial"),IF($J46&lt;Inicio!$F$3,"Vencida",IF($J46-Inicio!$F$3&lt;=7,"Próxima","Pendiente")))))</f>
        <v/>
      </c>
      <c r="V46" s="14">
        <f>IF(OR($A46="",$T46&lt;=0,$J46&gt;=Inicio!$F$3),0,Inicio!$F$3-$J46)</f>
        <v>0</v>
      </c>
      <c r="W46" s="11"/>
      <c r="X46" s="11"/>
      <c r="Y46" s="12" t="str">
        <f>IF($A46="","",IF($T46&lt;=0,"Cerrada",IF($J46&lt;Inicio!$F$3,"Alta",IF($J46-Inicio!$F$3&lt;=7,"Media","Normal"))))</f>
        <v/>
      </c>
      <c r="Z46" s="11"/>
      <c r="AA46" s="21" t="str">
        <f t="shared" si="11"/>
        <v/>
      </c>
    </row>
    <row r="47" spans="1:27" ht="21" customHeight="1" x14ac:dyDescent="0.3">
      <c r="A47" s="11"/>
      <c r="B47" s="11"/>
      <c r="C47" s="12" t="str">
        <f>IF($B47="","",IFERROR(VLOOKUP($B47,Listas!$A$3:$G$13,2,FALSE),""))</f>
        <v/>
      </c>
      <c r="D47" s="12" t="str">
        <f>IF($B47="","",IFERROR(VLOOKUP($B47,Listas!$A$3:$G$13,3,FALSE),""))</f>
        <v/>
      </c>
      <c r="E47" s="11"/>
      <c r="F47" s="13"/>
      <c r="G47" s="13"/>
      <c r="H47" s="12" t="str">
        <f>IF($B47="","",IFERROR(VLOOKUP($B47,Listas!$A$3:$G$13,4,FALSE),""))</f>
        <v/>
      </c>
      <c r="I47" s="14" t="str">
        <f>IF($H47="","",IFERROR(VLOOKUP($H47,Listas!$J$3:$K$7,2,FALSE),""))</f>
        <v/>
      </c>
      <c r="J47" s="15" t="str">
        <f t="shared" si="6"/>
        <v/>
      </c>
      <c r="K47" s="11"/>
      <c r="L47" s="16"/>
      <c r="M47" s="17"/>
      <c r="N47" s="18" t="str">
        <f t="shared" si="7"/>
        <v/>
      </c>
      <c r="O47" s="17"/>
      <c r="P47" s="18" t="str">
        <f t="shared" si="8"/>
        <v/>
      </c>
      <c r="Q47" s="16"/>
      <c r="R47" s="18" t="str">
        <f t="shared" si="9"/>
        <v/>
      </c>
      <c r="S47" s="19" t="str">
        <f>IF($A47="","",SUMIFS(Pagos!$D$8:$D$300,Pagos!$A$8:$A$300,$A47,Pagos!$F$8:$F$300,"Aplicado"))</f>
        <v/>
      </c>
      <c r="T47" s="20" t="str">
        <f t="shared" si="10"/>
        <v/>
      </c>
      <c r="U47" s="12" t="str">
        <f>IF($A47="","",IF($T47&lt;=0.005,"Pagada",IF($S47&gt;0,IF($J47&lt;Inicio!$F$3,"Parcial vencida","Pago parcial"),IF($J47&lt;Inicio!$F$3,"Vencida",IF($J47-Inicio!$F$3&lt;=7,"Próxima","Pendiente")))))</f>
        <v/>
      </c>
      <c r="V47" s="14">
        <f>IF(OR($A47="",$T47&lt;=0,$J47&gt;=Inicio!$F$3),0,Inicio!$F$3-$J47)</f>
        <v>0</v>
      </c>
      <c r="W47" s="11"/>
      <c r="X47" s="11"/>
      <c r="Y47" s="12" t="str">
        <f>IF($A47="","",IF($T47&lt;=0,"Cerrada",IF($J47&lt;Inicio!$F$3,"Alta",IF($J47-Inicio!$F$3&lt;=7,"Media","Normal"))))</f>
        <v/>
      </c>
      <c r="Z47" s="11"/>
      <c r="AA47" s="21" t="str">
        <f t="shared" si="11"/>
        <v/>
      </c>
    </row>
    <row r="48" spans="1:27" ht="21" customHeight="1" x14ac:dyDescent="0.3">
      <c r="A48" s="11"/>
      <c r="B48" s="11"/>
      <c r="C48" s="12" t="str">
        <f>IF($B48="","",IFERROR(VLOOKUP($B48,Listas!$A$3:$G$13,2,FALSE),""))</f>
        <v/>
      </c>
      <c r="D48" s="12" t="str">
        <f>IF($B48="","",IFERROR(VLOOKUP($B48,Listas!$A$3:$G$13,3,FALSE),""))</f>
        <v/>
      </c>
      <c r="E48" s="11"/>
      <c r="F48" s="13"/>
      <c r="G48" s="13"/>
      <c r="H48" s="12" t="str">
        <f>IF($B48="","",IFERROR(VLOOKUP($B48,Listas!$A$3:$G$13,4,FALSE),""))</f>
        <v/>
      </c>
      <c r="I48" s="14" t="str">
        <f>IF($H48="","",IFERROR(VLOOKUP($H48,Listas!$J$3:$K$7,2,FALSE),""))</f>
        <v/>
      </c>
      <c r="J48" s="15" t="str">
        <f t="shared" si="6"/>
        <v/>
      </c>
      <c r="K48" s="11"/>
      <c r="L48" s="16"/>
      <c r="M48" s="17"/>
      <c r="N48" s="18" t="str">
        <f t="shared" si="7"/>
        <v/>
      </c>
      <c r="O48" s="17"/>
      <c r="P48" s="18" t="str">
        <f t="shared" si="8"/>
        <v/>
      </c>
      <c r="Q48" s="16"/>
      <c r="R48" s="18" t="str">
        <f t="shared" si="9"/>
        <v/>
      </c>
      <c r="S48" s="19" t="str">
        <f>IF($A48="","",SUMIFS(Pagos!$D$8:$D$300,Pagos!$A$8:$A$300,$A48,Pagos!$F$8:$F$300,"Aplicado"))</f>
        <v/>
      </c>
      <c r="T48" s="20" t="str">
        <f t="shared" si="10"/>
        <v/>
      </c>
      <c r="U48" s="12" t="str">
        <f>IF($A48="","",IF($T48&lt;=0.005,"Pagada",IF($S48&gt;0,IF($J48&lt;Inicio!$F$3,"Parcial vencida","Pago parcial"),IF($J48&lt;Inicio!$F$3,"Vencida",IF($J48-Inicio!$F$3&lt;=7,"Próxima","Pendiente")))))</f>
        <v/>
      </c>
      <c r="V48" s="14">
        <f>IF(OR($A48="",$T48&lt;=0,$J48&gt;=Inicio!$F$3),0,Inicio!$F$3-$J48)</f>
        <v>0</v>
      </c>
      <c r="W48" s="11"/>
      <c r="X48" s="11"/>
      <c r="Y48" s="12" t="str">
        <f>IF($A48="","",IF($T48&lt;=0,"Cerrada",IF($J48&lt;Inicio!$F$3,"Alta",IF($J48-Inicio!$F$3&lt;=7,"Media","Normal"))))</f>
        <v/>
      </c>
      <c r="Z48" s="11"/>
      <c r="AA48" s="21" t="str">
        <f t="shared" si="11"/>
        <v/>
      </c>
    </row>
    <row r="49" spans="1:27" ht="21" customHeight="1" x14ac:dyDescent="0.3">
      <c r="A49" s="11"/>
      <c r="B49" s="11"/>
      <c r="C49" s="12" t="str">
        <f>IF($B49="","",IFERROR(VLOOKUP($B49,Listas!$A$3:$G$13,2,FALSE),""))</f>
        <v/>
      </c>
      <c r="D49" s="12" t="str">
        <f>IF($B49="","",IFERROR(VLOOKUP($B49,Listas!$A$3:$G$13,3,FALSE),""))</f>
        <v/>
      </c>
      <c r="E49" s="11"/>
      <c r="F49" s="13"/>
      <c r="G49" s="13"/>
      <c r="H49" s="12" t="str">
        <f>IF($B49="","",IFERROR(VLOOKUP($B49,Listas!$A$3:$G$13,4,FALSE),""))</f>
        <v/>
      </c>
      <c r="I49" s="14" t="str">
        <f>IF($H49="","",IFERROR(VLOOKUP($H49,Listas!$J$3:$K$7,2,FALSE),""))</f>
        <v/>
      </c>
      <c r="J49" s="15" t="str">
        <f t="shared" si="6"/>
        <v/>
      </c>
      <c r="K49" s="11"/>
      <c r="L49" s="16"/>
      <c r="M49" s="17"/>
      <c r="N49" s="18" t="str">
        <f t="shared" si="7"/>
        <v/>
      </c>
      <c r="O49" s="17"/>
      <c r="P49" s="18" t="str">
        <f t="shared" si="8"/>
        <v/>
      </c>
      <c r="Q49" s="16"/>
      <c r="R49" s="18" t="str">
        <f t="shared" si="9"/>
        <v/>
      </c>
      <c r="S49" s="19" t="str">
        <f>IF($A49="","",SUMIFS(Pagos!$D$8:$D$300,Pagos!$A$8:$A$300,$A49,Pagos!$F$8:$F$300,"Aplicado"))</f>
        <v/>
      </c>
      <c r="T49" s="20" t="str">
        <f t="shared" si="10"/>
        <v/>
      </c>
      <c r="U49" s="12" t="str">
        <f>IF($A49="","",IF($T49&lt;=0.005,"Pagada",IF($S49&gt;0,IF($J49&lt;Inicio!$F$3,"Parcial vencida","Pago parcial"),IF($J49&lt;Inicio!$F$3,"Vencida",IF($J49-Inicio!$F$3&lt;=7,"Próxima","Pendiente")))))</f>
        <v/>
      </c>
      <c r="V49" s="14">
        <f>IF(OR($A49="",$T49&lt;=0,$J49&gt;=Inicio!$F$3),0,Inicio!$F$3-$J49)</f>
        <v>0</v>
      </c>
      <c r="W49" s="11"/>
      <c r="X49" s="11"/>
      <c r="Y49" s="12" t="str">
        <f>IF($A49="","",IF($T49&lt;=0,"Cerrada",IF($J49&lt;Inicio!$F$3,"Alta",IF($J49-Inicio!$F$3&lt;=7,"Media","Normal"))))</f>
        <v/>
      </c>
      <c r="Z49" s="11"/>
      <c r="AA49" s="21" t="str">
        <f t="shared" si="11"/>
        <v/>
      </c>
    </row>
    <row r="50" spans="1:27" ht="21" customHeight="1" x14ac:dyDescent="0.3">
      <c r="A50" s="11"/>
      <c r="B50" s="11"/>
      <c r="C50" s="12" t="str">
        <f>IF($B50="","",IFERROR(VLOOKUP($B50,Listas!$A$3:$G$13,2,FALSE),""))</f>
        <v/>
      </c>
      <c r="D50" s="12" t="str">
        <f>IF($B50="","",IFERROR(VLOOKUP($B50,Listas!$A$3:$G$13,3,FALSE),""))</f>
        <v/>
      </c>
      <c r="E50" s="11"/>
      <c r="F50" s="13"/>
      <c r="G50" s="13"/>
      <c r="H50" s="12" t="str">
        <f>IF($B50="","",IFERROR(VLOOKUP($B50,Listas!$A$3:$G$13,4,FALSE),""))</f>
        <v/>
      </c>
      <c r="I50" s="14" t="str">
        <f>IF($H50="","",IFERROR(VLOOKUP($H50,Listas!$J$3:$K$7,2,FALSE),""))</f>
        <v/>
      </c>
      <c r="J50" s="15" t="str">
        <f t="shared" si="6"/>
        <v/>
      </c>
      <c r="K50" s="11"/>
      <c r="L50" s="16"/>
      <c r="M50" s="17"/>
      <c r="N50" s="18" t="str">
        <f t="shared" si="7"/>
        <v/>
      </c>
      <c r="O50" s="17"/>
      <c r="P50" s="18" t="str">
        <f t="shared" si="8"/>
        <v/>
      </c>
      <c r="Q50" s="16"/>
      <c r="R50" s="18" t="str">
        <f t="shared" si="9"/>
        <v/>
      </c>
      <c r="S50" s="19" t="str">
        <f>IF($A50="","",SUMIFS(Pagos!$D$8:$D$300,Pagos!$A$8:$A$300,$A50,Pagos!$F$8:$F$300,"Aplicado"))</f>
        <v/>
      </c>
      <c r="T50" s="20" t="str">
        <f t="shared" si="10"/>
        <v/>
      </c>
      <c r="U50" s="12" t="str">
        <f>IF($A50="","",IF($T50&lt;=0.005,"Pagada",IF($S50&gt;0,IF($J50&lt;Inicio!$F$3,"Parcial vencida","Pago parcial"),IF($J50&lt;Inicio!$F$3,"Vencida",IF($J50-Inicio!$F$3&lt;=7,"Próxima","Pendiente")))))</f>
        <v/>
      </c>
      <c r="V50" s="14">
        <f>IF(OR($A50="",$T50&lt;=0,$J50&gt;=Inicio!$F$3),0,Inicio!$F$3-$J50)</f>
        <v>0</v>
      </c>
      <c r="W50" s="11"/>
      <c r="X50" s="11"/>
      <c r="Y50" s="12" t="str">
        <f>IF($A50="","",IF($T50&lt;=0,"Cerrada",IF($J50&lt;Inicio!$F$3,"Alta",IF($J50-Inicio!$F$3&lt;=7,"Media","Normal"))))</f>
        <v/>
      </c>
      <c r="Z50" s="11"/>
      <c r="AA50" s="21" t="str">
        <f t="shared" si="11"/>
        <v/>
      </c>
    </row>
    <row r="51" spans="1:27" ht="21" customHeight="1" x14ac:dyDescent="0.3">
      <c r="A51" s="11"/>
      <c r="B51" s="11"/>
      <c r="C51" s="12" t="str">
        <f>IF($B51="","",IFERROR(VLOOKUP($B51,Listas!$A$3:$G$13,2,FALSE),""))</f>
        <v/>
      </c>
      <c r="D51" s="12" t="str">
        <f>IF($B51="","",IFERROR(VLOOKUP($B51,Listas!$A$3:$G$13,3,FALSE),""))</f>
        <v/>
      </c>
      <c r="E51" s="11"/>
      <c r="F51" s="13"/>
      <c r="G51" s="13"/>
      <c r="H51" s="12" t="str">
        <f>IF($B51="","",IFERROR(VLOOKUP($B51,Listas!$A$3:$G$13,4,FALSE),""))</f>
        <v/>
      </c>
      <c r="I51" s="14" t="str">
        <f>IF($H51="","",IFERROR(VLOOKUP($H51,Listas!$J$3:$K$7,2,FALSE),""))</f>
        <v/>
      </c>
      <c r="J51" s="15" t="str">
        <f t="shared" si="6"/>
        <v/>
      </c>
      <c r="K51" s="11"/>
      <c r="L51" s="16"/>
      <c r="M51" s="17"/>
      <c r="N51" s="18" t="str">
        <f t="shared" si="7"/>
        <v/>
      </c>
      <c r="O51" s="17"/>
      <c r="P51" s="18" t="str">
        <f t="shared" si="8"/>
        <v/>
      </c>
      <c r="Q51" s="16"/>
      <c r="R51" s="18" t="str">
        <f t="shared" si="9"/>
        <v/>
      </c>
      <c r="S51" s="19" t="str">
        <f>IF($A51="","",SUMIFS(Pagos!$D$8:$D$300,Pagos!$A$8:$A$300,$A51,Pagos!$F$8:$F$300,"Aplicado"))</f>
        <v/>
      </c>
      <c r="T51" s="20" t="str">
        <f t="shared" si="10"/>
        <v/>
      </c>
      <c r="U51" s="12" t="str">
        <f>IF($A51="","",IF($T51&lt;=0.005,"Pagada",IF($S51&gt;0,IF($J51&lt;Inicio!$F$3,"Parcial vencida","Pago parcial"),IF($J51&lt;Inicio!$F$3,"Vencida",IF($J51-Inicio!$F$3&lt;=7,"Próxima","Pendiente")))))</f>
        <v/>
      </c>
      <c r="V51" s="14">
        <f>IF(OR($A51="",$T51&lt;=0,$J51&gt;=Inicio!$F$3),0,Inicio!$F$3-$J51)</f>
        <v>0</v>
      </c>
      <c r="W51" s="11"/>
      <c r="X51" s="11"/>
      <c r="Y51" s="12" t="str">
        <f>IF($A51="","",IF($T51&lt;=0,"Cerrada",IF($J51&lt;Inicio!$F$3,"Alta",IF($J51-Inicio!$F$3&lt;=7,"Media","Normal"))))</f>
        <v/>
      </c>
      <c r="Z51" s="11"/>
      <c r="AA51" s="21" t="str">
        <f t="shared" si="11"/>
        <v/>
      </c>
    </row>
    <row r="52" spans="1:27" ht="21" customHeight="1" x14ac:dyDescent="0.3">
      <c r="A52" s="11"/>
      <c r="B52" s="11"/>
      <c r="C52" s="12" t="str">
        <f>IF($B52="","",IFERROR(VLOOKUP($B52,Listas!$A$3:$G$13,2,FALSE),""))</f>
        <v/>
      </c>
      <c r="D52" s="12" t="str">
        <f>IF($B52="","",IFERROR(VLOOKUP($B52,Listas!$A$3:$G$13,3,FALSE),""))</f>
        <v/>
      </c>
      <c r="E52" s="11"/>
      <c r="F52" s="13"/>
      <c r="G52" s="13"/>
      <c r="H52" s="12" t="str">
        <f>IF($B52="","",IFERROR(VLOOKUP($B52,Listas!$A$3:$G$13,4,FALSE),""))</f>
        <v/>
      </c>
      <c r="I52" s="14" t="str">
        <f>IF($H52="","",IFERROR(VLOOKUP($H52,Listas!$J$3:$K$7,2,FALSE),""))</f>
        <v/>
      </c>
      <c r="J52" s="15" t="str">
        <f t="shared" si="6"/>
        <v/>
      </c>
      <c r="K52" s="11"/>
      <c r="L52" s="16"/>
      <c r="M52" s="17"/>
      <c r="N52" s="18" t="str">
        <f t="shared" si="7"/>
        <v/>
      </c>
      <c r="O52" s="17"/>
      <c r="P52" s="18" t="str">
        <f t="shared" si="8"/>
        <v/>
      </c>
      <c r="Q52" s="16"/>
      <c r="R52" s="18" t="str">
        <f t="shared" si="9"/>
        <v/>
      </c>
      <c r="S52" s="19" t="str">
        <f>IF($A52="","",SUMIFS(Pagos!$D$8:$D$300,Pagos!$A$8:$A$300,$A52,Pagos!$F$8:$F$300,"Aplicado"))</f>
        <v/>
      </c>
      <c r="T52" s="20" t="str">
        <f t="shared" si="10"/>
        <v/>
      </c>
      <c r="U52" s="12" t="str">
        <f>IF($A52="","",IF($T52&lt;=0.005,"Pagada",IF($S52&gt;0,IF($J52&lt;Inicio!$F$3,"Parcial vencida","Pago parcial"),IF($J52&lt;Inicio!$F$3,"Vencida",IF($J52-Inicio!$F$3&lt;=7,"Próxima","Pendiente")))))</f>
        <v/>
      </c>
      <c r="V52" s="14">
        <f>IF(OR($A52="",$T52&lt;=0,$J52&gt;=Inicio!$F$3),0,Inicio!$F$3-$J52)</f>
        <v>0</v>
      </c>
      <c r="W52" s="11"/>
      <c r="X52" s="11"/>
      <c r="Y52" s="12" t="str">
        <f>IF($A52="","",IF($T52&lt;=0,"Cerrada",IF($J52&lt;Inicio!$F$3,"Alta",IF($J52-Inicio!$F$3&lt;=7,"Media","Normal"))))</f>
        <v/>
      </c>
      <c r="Z52" s="11"/>
      <c r="AA52" s="21" t="str">
        <f t="shared" si="11"/>
        <v/>
      </c>
    </row>
    <row r="53" spans="1:27" ht="21" customHeight="1" x14ac:dyDescent="0.3">
      <c r="A53" s="11"/>
      <c r="B53" s="11"/>
      <c r="C53" s="12" t="str">
        <f>IF($B53="","",IFERROR(VLOOKUP($B53,Listas!$A$3:$G$13,2,FALSE),""))</f>
        <v/>
      </c>
      <c r="D53" s="12" t="str">
        <f>IF($B53="","",IFERROR(VLOOKUP($B53,Listas!$A$3:$G$13,3,FALSE),""))</f>
        <v/>
      </c>
      <c r="E53" s="11"/>
      <c r="F53" s="13"/>
      <c r="G53" s="13"/>
      <c r="H53" s="12" t="str">
        <f>IF($B53="","",IFERROR(VLOOKUP($B53,Listas!$A$3:$G$13,4,FALSE),""))</f>
        <v/>
      </c>
      <c r="I53" s="14" t="str">
        <f>IF($H53="","",IFERROR(VLOOKUP($H53,Listas!$J$3:$K$7,2,FALSE),""))</f>
        <v/>
      </c>
      <c r="J53" s="15" t="str">
        <f t="shared" si="6"/>
        <v/>
      </c>
      <c r="K53" s="11"/>
      <c r="L53" s="16"/>
      <c r="M53" s="17"/>
      <c r="N53" s="18" t="str">
        <f t="shared" si="7"/>
        <v/>
      </c>
      <c r="O53" s="17"/>
      <c r="P53" s="18" t="str">
        <f t="shared" si="8"/>
        <v/>
      </c>
      <c r="Q53" s="16"/>
      <c r="R53" s="18" t="str">
        <f t="shared" si="9"/>
        <v/>
      </c>
      <c r="S53" s="19" t="str">
        <f>IF($A53="","",SUMIFS(Pagos!$D$8:$D$300,Pagos!$A$8:$A$300,$A53,Pagos!$F$8:$F$300,"Aplicado"))</f>
        <v/>
      </c>
      <c r="T53" s="20" t="str">
        <f t="shared" si="10"/>
        <v/>
      </c>
      <c r="U53" s="12" t="str">
        <f>IF($A53="","",IF($T53&lt;=0.005,"Pagada",IF($S53&gt;0,IF($J53&lt;Inicio!$F$3,"Parcial vencida","Pago parcial"),IF($J53&lt;Inicio!$F$3,"Vencida",IF($J53-Inicio!$F$3&lt;=7,"Próxima","Pendiente")))))</f>
        <v/>
      </c>
      <c r="V53" s="14">
        <f>IF(OR($A53="",$T53&lt;=0,$J53&gt;=Inicio!$F$3),0,Inicio!$F$3-$J53)</f>
        <v>0</v>
      </c>
      <c r="W53" s="11"/>
      <c r="X53" s="11"/>
      <c r="Y53" s="12" t="str">
        <f>IF($A53="","",IF($T53&lt;=0,"Cerrada",IF($J53&lt;Inicio!$F$3,"Alta",IF($J53-Inicio!$F$3&lt;=7,"Media","Normal"))))</f>
        <v/>
      </c>
      <c r="Z53" s="11"/>
      <c r="AA53" s="21" t="str">
        <f t="shared" si="11"/>
        <v/>
      </c>
    </row>
    <row r="54" spans="1:27" ht="21" customHeight="1" x14ac:dyDescent="0.3">
      <c r="A54" s="11"/>
      <c r="B54" s="11"/>
      <c r="C54" s="12" t="str">
        <f>IF($B54="","",IFERROR(VLOOKUP($B54,Listas!$A$3:$G$13,2,FALSE),""))</f>
        <v/>
      </c>
      <c r="D54" s="12" t="str">
        <f>IF($B54="","",IFERROR(VLOOKUP($B54,Listas!$A$3:$G$13,3,FALSE),""))</f>
        <v/>
      </c>
      <c r="E54" s="11"/>
      <c r="F54" s="13"/>
      <c r="G54" s="13"/>
      <c r="H54" s="12" t="str">
        <f>IF($B54="","",IFERROR(VLOOKUP($B54,Listas!$A$3:$G$13,4,FALSE),""))</f>
        <v/>
      </c>
      <c r="I54" s="14" t="str">
        <f>IF($H54="","",IFERROR(VLOOKUP($H54,Listas!$J$3:$K$7,2,FALSE),""))</f>
        <v/>
      </c>
      <c r="J54" s="15" t="str">
        <f t="shared" si="6"/>
        <v/>
      </c>
      <c r="K54" s="11"/>
      <c r="L54" s="16"/>
      <c r="M54" s="17"/>
      <c r="N54" s="18" t="str">
        <f t="shared" si="7"/>
        <v/>
      </c>
      <c r="O54" s="17"/>
      <c r="P54" s="18" t="str">
        <f t="shared" si="8"/>
        <v/>
      </c>
      <c r="Q54" s="16"/>
      <c r="R54" s="18" t="str">
        <f t="shared" si="9"/>
        <v/>
      </c>
      <c r="S54" s="19" t="str">
        <f>IF($A54="","",SUMIFS(Pagos!$D$8:$D$300,Pagos!$A$8:$A$300,$A54,Pagos!$F$8:$F$300,"Aplicado"))</f>
        <v/>
      </c>
      <c r="T54" s="20" t="str">
        <f t="shared" si="10"/>
        <v/>
      </c>
      <c r="U54" s="12" t="str">
        <f>IF($A54="","",IF($T54&lt;=0.005,"Pagada",IF($S54&gt;0,IF($J54&lt;Inicio!$F$3,"Parcial vencida","Pago parcial"),IF($J54&lt;Inicio!$F$3,"Vencida",IF($J54-Inicio!$F$3&lt;=7,"Próxima","Pendiente")))))</f>
        <v/>
      </c>
      <c r="V54" s="14">
        <f>IF(OR($A54="",$T54&lt;=0,$J54&gt;=Inicio!$F$3),0,Inicio!$F$3-$J54)</f>
        <v>0</v>
      </c>
      <c r="W54" s="11"/>
      <c r="X54" s="11"/>
      <c r="Y54" s="12" t="str">
        <f>IF($A54="","",IF($T54&lt;=0,"Cerrada",IF($J54&lt;Inicio!$F$3,"Alta",IF($J54-Inicio!$F$3&lt;=7,"Media","Normal"))))</f>
        <v/>
      </c>
      <c r="Z54" s="11"/>
      <c r="AA54" s="21" t="str">
        <f t="shared" si="11"/>
        <v/>
      </c>
    </row>
    <row r="55" spans="1:27" ht="21" customHeight="1" x14ac:dyDescent="0.3">
      <c r="A55" s="11"/>
      <c r="B55" s="11"/>
      <c r="C55" s="12" t="str">
        <f>IF($B55="","",IFERROR(VLOOKUP($B55,Listas!$A$3:$G$13,2,FALSE),""))</f>
        <v/>
      </c>
      <c r="D55" s="12" t="str">
        <f>IF($B55="","",IFERROR(VLOOKUP($B55,Listas!$A$3:$G$13,3,FALSE),""))</f>
        <v/>
      </c>
      <c r="E55" s="11"/>
      <c r="F55" s="13"/>
      <c r="G55" s="13"/>
      <c r="H55" s="12" t="str">
        <f>IF($B55="","",IFERROR(VLOOKUP($B55,Listas!$A$3:$G$13,4,FALSE),""))</f>
        <v/>
      </c>
      <c r="I55" s="14" t="str">
        <f>IF($H55="","",IFERROR(VLOOKUP($H55,Listas!$J$3:$K$7,2,FALSE),""))</f>
        <v/>
      </c>
      <c r="J55" s="15" t="str">
        <f t="shared" si="6"/>
        <v/>
      </c>
      <c r="K55" s="11"/>
      <c r="L55" s="16"/>
      <c r="M55" s="17"/>
      <c r="N55" s="18" t="str">
        <f t="shared" si="7"/>
        <v/>
      </c>
      <c r="O55" s="17"/>
      <c r="P55" s="18" t="str">
        <f t="shared" si="8"/>
        <v/>
      </c>
      <c r="Q55" s="16"/>
      <c r="R55" s="18" t="str">
        <f t="shared" si="9"/>
        <v/>
      </c>
      <c r="S55" s="19" t="str">
        <f>IF($A55="","",SUMIFS(Pagos!$D$8:$D$300,Pagos!$A$8:$A$300,$A55,Pagos!$F$8:$F$300,"Aplicado"))</f>
        <v/>
      </c>
      <c r="T55" s="20" t="str">
        <f t="shared" si="10"/>
        <v/>
      </c>
      <c r="U55" s="12" t="str">
        <f>IF($A55="","",IF($T55&lt;=0.005,"Pagada",IF($S55&gt;0,IF($J55&lt;Inicio!$F$3,"Parcial vencida","Pago parcial"),IF($J55&lt;Inicio!$F$3,"Vencida",IF($J55-Inicio!$F$3&lt;=7,"Próxima","Pendiente")))))</f>
        <v/>
      </c>
      <c r="V55" s="14">
        <f>IF(OR($A55="",$T55&lt;=0,$J55&gt;=Inicio!$F$3),0,Inicio!$F$3-$J55)</f>
        <v>0</v>
      </c>
      <c r="W55" s="11"/>
      <c r="X55" s="11"/>
      <c r="Y55" s="12" t="str">
        <f>IF($A55="","",IF($T55&lt;=0,"Cerrada",IF($J55&lt;Inicio!$F$3,"Alta",IF($J55-Inicio!$F$3&lt;=7,"Media","Normal"))))</f>
        <v/>
      </c>
      <c r="Z55" s="11"/>
      <c r="AA55" s="21" t="str">
        <f t="shared" si="11"/>
        <v/>
      </c>
    </row>
    <row r="56" spans="1:27" ht="21" customHeight="1" x14ac:dyDescent="0.3">
      <c r="A56" s="11"/>
      <c r="B56" s="11"/>
      <c r="C56" s="12" t="str">
        <f>IF($B56="","",IFERROR(VLOOKUP($B56,Listas!$A$3:$G$13,2,FALSE),""))</f>
        <v/>
      </c>
      <c r="D56" s="12" t="str">
        <f>IF($B56="","",IFERROR(VLOOKUP($B56,Listas!$A$3:$G$13,3,FALSE),""))</f>
        <v/>
      </c>
      <c r="E56" s="11"/>
      <c r="F56" s="13"/>
      <c r="G56" s="13"/>
      <c r="H56" s="12" t="str">
        <f>IF($B56="","",IFERROR(VLOOKUP($B56,Listas!$A$3:$G$13,4,FALSE),""))</f>
        <v/>
      </c>
      <c r="I56" s="14" t="str">
        <f>IF($H56="","",IFERROR(VLOOKUP($H56,Listas!$J$3:$K$7,2,FALSE),""))</f>
        <v/>
      </c>
      <c r="J56" s="15" t="str">
        <f t="shared" si="6"/>
        <v/>
      </c>
      <c r="K56" s="11"/>
      <c r="L56" s="16"/>
      <c r="M56" s="17"/>
      <c r="N56" s="18" t="str">
        <f t="shared" si="7"/>
        <v/>
      </c>
      <c r="O56" s="17"/>
      <c r="P56" s="18" t="str">
        <f t="shared" si="8"/>
        <v/>
      </c>
      <c r="Q56" s="16"/>
      <c r="R56" s="18" t="str">
        <f t="shared" si="9"/>
        <v/>
      </c>
      <c r="S56" s="19" t="str">
        <f>IF($A56="","",SUMIFS(Pagos!$D$8:$D$300,Pagos!$A$8:$A$300,$A56,Pagos!$F$8:$F$300,"Aplicado"))</f>
        <v/>
      </c>
      <c r="T56" s="20" t="str">
        <f t="shared" si="10"/>
        <v/>
      </c>
      <c r="U56" s="12" t="str">
        <f>IF($A56="","",IF($T56&lt;=0.005,"Pagada",IF($S56&gt;0,IF($J56&lt;Inicio!$F$3,"Parcial vencida","Pago parcial"),IF($J56&lt;Inicio!$F$3,"Vencida",IF($J56-Inicio!$F$3&lt;=7,"Próxima","Pendiente")))))</f>
        <v/>
      </c>
      <c r="V56" s="14">
        <f>IF(OR($A56="",$T56&lt;=0,$J56&gt;=Inicio!$F$3),0,Inicio!$F$3-$J56)</f>
        <v>0</v>
      </c>
      <c r="W56" s="11"/>
      <c r="X56" s="11"/>
      <c r="Y56" s="12" t="str">
        <f>IF($A56="","",IF($T56&lt;=0,"Cerrada",IF($J56&lt;Inicio!$F$3,"Alta",IF($J56-Inicio!$F$3&lt;=7,"Media","Normal"))))</f>
        <v/>
      </c>
      <c r="Z56" s="11"/>
      <c r="AA56" s="21" t="str">
        <f t="shared" si="11"/>
        <v/>
      </c>
    </row>
    <row r="57" spans="1:27" ht="21" customHeight="1" x14ac:dyDescent="0.3">
      <c r="A57" s="11"/>
      <c r="B57" s="11"/>
      <c r="C57" s="12" t="str">
        <f>IF($B57="","",IFERROR(VLOOKUP($B57,Listas!$A$3:$G$13,2,FALSE),""))</f>
        <v/>
      </c>
      <c r="D57" s="12" t="str">
        <f>IF($B57="","",IFERROR(VLOOKUP($B57,Listas!$A$3:$G$13,3,FALSE),""))</f>
        <v/>
      </c>
      <c r="E57" s="11"/>
      <c r="F57" s="13"/>
      <c r="G57" s="13"/>
      <c r="H57" s="12" t="str">
        <f>IF($B57="","",IFERROR(VLOOKUP($B57,Listas!$A$3:$G$13,4,FALSE),""))</f>
        <v/>
      </c>
      <c r="I57" s="14" t="str">
        <f>IF($H57="","",IFERROR(VLOOKUP($H57,Listas!$J$3:$K$7,2,FALSE),""))</f>
        <v/>
      </c>
      <c r="J57" s="15" t="str">
        <f t="shared" si="6"/>
        <v/>
      </c>
      <c r="K57" s="11"/>
      <c r="L57" s="16"/>
      <c r="M57" s="17"/>
      <c r="N57" s="18" t="str">
        <f t="shared" si="7"/>
        <v/>
      </c>
      <c r="O57" s="17"/>
      <c r="P57" s="18" t="str">
        <f t="shared" si="8"/>
        <v/>
      </c>
      <c r="Q57" s="16"/>
      <c r="R57" s="18" t="str">
        <f t="shared" si="9"/>
        <v/>
      </c>
      <c r="S57" s="19" t="str">
        <f>IF($A57="","",SUMIFS(Pagos!$D$8:$D$300,Pagos!$A$8:$A$300,$A57,Pagos!$F$8:$F$300,"Aplicado"))</f>
        <v/>
      </c>
      <c r="T57" s="20" t="str">
        <f t="shared" si="10"/>
        <v/>
      </c>
      <c r="U57" s="12" t="str">
        <f>IF($A57="","",IF($T57&lt;=0.005,"Pagada",IF($S57&gt;0,IF($J57&lt;Inicio!$F$3,"Parcial vencida","Pago parcial"),IF($J57&lt;Inicio!$F$3,"Vencida",IF($J57-Inicio!$F$3&lt;=7,"Próxima","Pendiente")))))</f>
        <v/>
      </c>
      <c r="V57" s="14">
        <f>IF(OR($A57="",$T57&lt;=0,$J57&gt;=Inicio!$F$3),0,Inicio!$F$3-$J57)</f>
        <v>0</v>
      </c>
      <c r="W57" s="11"/>
      <c r="X57" s="11"/>
      <c r="Y57" s="12" t="str">
        <f>IF($A57="","",IF($T57&lt;=0,"Cerrada",IF($J57&lt;Inicio!$F$3,"Alta",IF($J57-Inicio!$F$3&lt;=7,"Media","Normal"))))</f>
        <v/>
      </c>
      <c r="Z57" s="11"/>
      <c r="AA57" s="21" t="str">
        <f t="shared" si="11"/>
        <v/>
      </c>
    </row>
    <row r="58" spans="1:27" ht="21" customHeight="1" x14ac:dyDescent="0.3">
      <c r="A58" s="11"/>
      <c r="B58" s="11"/>
      <c r="C58" s="12" t="str">
        <f>IF($B58="","",IFERROR(VLOOKUP($B58,Listas!$A$3:$G$13,2,FALSE),""))</f>
        <v/>
      </c>
      <c r="D58" s="12" t="str">
        <f>IF($B58="","",IFERROR(VLOOKUP($B58,Listas!$A$3:$G$13,3,FALSE),""))</f>
        <v/>
      </c>
      <c r="E58" s="11"/>
      <c r="F58" s="13"/>
      <c r="G58" s="13"/>
      <c r="H58" s="12" t="str">
        <f>IF($B58="","",IFERROR(VLOOKUP($B58,Listas!$A$3:$G$13,4,FALSE),""))</f>
        <v/>
      </c>
      <c r="I58" s="14" t="str">
        <f>IF($H58="","",IFERROR(VLOOKUP($H58,Listas!$J$3:$K$7,2,FALSE),""))</f>
        <v/>
      </c>
      <c r="J58" s="15" t="str">
        <f t="shared" si="6"/>
        <v/>
      </c>
      <c r="K58" s="11"/>
      <c r="L58" s="16"/>
      <c r="M58" s="17"/>
      <c r="N58" s="18" t="str">
        <f t="shared" si="7"/>
        <v/>
      </c>
      <c r="O58" s="17"/>
      <c r="P58" s="18" t="str">
        <f t="shared" si="8"/>
        <v/>
      </c>
      <c r="Q58" s="16"/>
      <c r="R58" s="18" t="str">
        <f t="shared" si="9"/>
        <v/>
      </c>
      <c r="S58" s="19" t="str">
        <f>IF($A58="","",SUMIFS(Pagos!$D$8:$D$300,Pagos!$A$8:$A$300,$A58,Pagos!$F$8:$F$300,"Aplicado"))</f>
        <v/>
      </c>
      <c r="T58" s="20" t="str">
        <f t="shared" si="10"/>
        <v/>
      </c>
      <c r="U58" s="12" t="str">
        <f>IF($A58="","",IF($T58&lt;=0.005,"Pagada",IF($S58&gt;0,IF($J58&lt;Inicio!$F$3,"Parcial vencida","Pago parcial"),IF($J58&lt;Inicio!$F$3,"Vencida",IF($J58-Inicio!$F$3&lt;=7,"Próxima","Pendiente")))))</f>
        <v/>
      </c>
      <c r="V58" s="14">
        <f>IF(OR($A58="",$T58&lt;=0,$J58&gt;=Inicio!$F$3),0,Inicio!$F$3-$J58)</f>
        <v>0</v>
      </c>
      <c r="W58" s="11"/>
      <c r="X58" s="11"/>
      <c r="Y58" s="12" t="str">
        <f>IF($A58="","",IF($T58&lt;=0,"Cerrada",IF($J58&lt;Inicio!$F$3,"Alta",IF($J58-Inicio!$F$3&lt;=7,"Media","Normal"))))</f>
        <v/>
      </c>
      <c r="Z58" s="11"/>
      <c r="AA58" s="21" t="str">
        <f t="shared" si="11"/>
        <v/>
      </c>
    </row>
    <row r="59" spans="1:27" ht="21" customHeight="1" x14ac:dyDescent="0.3">
      <c r="A59" s="11"/>
      <c r="B59" s="11"/>
      <c r="C59" s="12" t="str">
        <f>IF($B59="","",IFERROR(VLOOKUP($B59,Listas!$A$3:$G$13,2,FALSE),""))</f>
        <v/>
      </c>
      <c r="D59" s="12" t="str">
        <f>IF($B59="","",IFERROR(VLOOKUP($B59,Listas!$A$3:$G$13,3,FALSE),""))</f>
        <v/>
      </c>
      <c r="E59" s="11"/>
      <c r="F59" s="13"/>
      <c r="G59" s="13"/>
      <c r="H59" s="12" t="str">
        <f>IF($B59="","",IFERROR(VLOOKUP($B59,Listas!$A$3:$G$13,4,FALSE),""))</f>
        <v/>
      </c>
      <c r="I59" s="14" t="str">
        <f>IF($H59="","",IFERROR(VLOOKUP($H59,Listas!$J$3:$K$7,2,FALSE),""))</f>
        <v/>
      </c>
      <c r="J59" s="15" t="str">
        <f t="shared" si="6"/>
        <v/>
      </c>
      <c r="K59" s="11"/>
      <c r="L59" s="16"/>
      <c r="M59" s="17"/>
      <c r="N59" s="18" t="str">
        <f t="shared" si="7"/>
        <v/>
      </c>
      <c r="O59" s="17"/>
      <c r="P59" s="18" t="str">
        <f t="shared" si="8"/>
        <v/>
      </c>
      <c r="Q59" s="16"/>
      <c r="R59" s="18" t="str">
        <f t="shared" si="9"/>
        <v/>
      </c>
      <c r="S59" s="19" t="str">
        <f>IF($A59="","",SUMIFS(Pagos!$D$8:$D$300,Pagos!$A$8:$A$300,$A59,Pagos!$F$8:$F$300,"Aplicado"))</f>
        <v/>
      </c>
      <c r="T59" s="20" t="str">
        <f t="shared" si="10"/>
        <v/>
      </c>
      <c r="U59" s="12" t="str">
        <f>IF($A59="","",IF($T59&lt;=0.005,"Pagada",IF($S59&gt;0,IF($J59&lt;Inicio!$F$3,"Parcial vencida","Pago parcial"),IF($J59&lt;Inicio!$F$3,"Vencida",IF($J59-Inicio!$F$3&lt;=7,"Próxima","Pendiente")))))</f>
        <v/>
      </c>
      <c r="V59" s="14">
        <f>IF(OR($A59="",$T59&lt;=0,$J59&gt;=Inicio!$F$3),0,Inicio!$F$3-$J59)</f>
        <v>0</v>
      </c>
      <c r="W59" s="11"/>
      <c r="X59" s="11"/>
      <c r="Y59" s="12" t="str">
        <f>IF($A59="","",IF($T59&lt;=0,"Cerrada",IF($J59&lt;Inicio!$F$3,"Alta",IF($J59-Inicio!$F$3&lt;=7,"Media","Normal"))))</f>
        <v/>
      </c>
      <c r="Z59" s="11"/>
      <c r="AA59" s="21" t="str">
        <f t="shared" si="11"/>
        <v/>
      </c>
    </row>
    <row r="60" spans="1:27" ht="21" customHeight="1" x14ac:dyDescent="0.3">
      <c r="A60" s="11"/>
      <c r="B60" s="11"/>
      <c r="C60" s="12" t="str">
        <f>IF($B60="","",IFERROR(VLOOKUP($B60,Listas!$A$3:$G$13,2,FALSE),""))</f>
        <v/>
      </c>
      <c r="D60" s="12" t="str">
        <f>IF($B60="","",IFERROR(VLOOKUP($B60,Listas!$A$3:$G$13,3,FALSE),""))</f>
        <v/>
      </c>
      <c r="E60" s="11"/>
      <c r="F60" s="13"/>
      <c r="G60" s="13"/>
      <c r="H60" s="12" t="str">
        <f>IF($B60="","",IFERROR(VLOOKUP($B60,Listas!$A$3:$G$13,4,FALSE),""))</f>
        <v/>
      </c>
      <c r="I60" s="14" t="str">
        <f>IF($H60="","",IFERROR(VLOOKUP($H60,Listas!$J$3:$K$7,2,FALSE),""))</f>
        <v/>
      </c>
      <c r="J60" s="15" t="str">
        <f t="shared" si="6"/>
        <v/>
      </c>
      <c r="K60" s="11"/>
      <c r="L60" s="16"/>
      <c r="M60" s="17"/>
      <c r="N60" s="18" t="str">
        <f t="shared" si="7"/>
        <v/>
      </c>
      <c r="O60" s="17"/>
      <c r="P60" s="18" t="str">
        <f t="shared" si="8"/>
        <v/>
      </c>
      <c r="Q60" s="16"/>
      <c r="R60" s="18" t="str">
        <f t="shared" si="9"/>
        <v/>
      </c>
      <c r="S60" s="19" t="str">
        <f>IF($A60="","",SUMIFS(Pagos!$D$8:$D$300,Pagos!$A$8:$A$300,$A60,Pagos!$F$8:$F$300,"Aplicado"))</f>
        <v/>
      </c>
      <c r="T60" s="20" t="str">
        <f t="shared" si="10"/>
        <v/>
      </c>
      <c r="U60" s="12" t="str">
        <f>IF($A60="","",IF($T60&lt;=0.005,"Pagada",IF($S60&gt;0,IF($J60&lt;Inicio!$F$3,"Parcial vencida","Pago parcial"),IF($J60&lt;Inicio!$F$3,"Vencida",IF($J60-Inicio!$F$3&lt;=7,"Próxima","Pendiente")))))</f>
        <v/>
      </c>
      <c r="V60" s="14">
        <f>IF(OR($A60="",$T60&lt;=0,$J60&gt;=Inicio!$F$3),0,Inicio!$F$3-$J60)</f>
        <v>0</v>
      </c>
      <c r="W60" s="11"/>
      <c r="X60" s="11"/>
      <c r="Y60" s="12" t="str">
        <f>IF($A60="","",IF($T60&lt;=0,"Cerrada",IF($J60&lt;Inicio!$F$3,"Alta",IF($J60-Inicio!$F$3&lt;=7,"Media","Normal"))))</f>
        <v/>
      </c>
      <c r="Z60" s="11"/>
      <c r="AA60" s="21" t="str">
        <f t="shared" si="11"/>
        <v/>
      </c>
    </row>
    <row r="61" spans="1:27" ht="21" customHeight="1" x14ac:dyDescent="0.3">
      <c r="A61" s="11"/>
      <c r="B61" s="11"/>
      <c r="C61" s="12" t="str">
        <f>IF($B61="","",IFERROR(VLOOKUP($B61,Listas!$A$3:$G$13,2,FALSE),""))</f>
        <v/>
      </c>
      <c r="D61" s="12" t="str">
        <f>IF($B61="","",IFERROR(VLOOKUP($B61,Listas!$A$3:$G$13,3,FALSE),""))</f>
        <v/>
      </c>
      <c r="E61" s="11"/>
      <c r="F61" s="13"/>
      <c r="G61" s="13"/>
      <c r="H61" s="12" t="str">
        <f>IF($B61="","",IFERROR(VLOOKUP($B61,Listas!$A$3:$G$13,4,FALSE),""))</f>
        <v/>
      </c>
      <c r="I61" s="14" t="str">
        <f>IF($H61="","",IFERROR(VLOOKUP($H61,Listas!$J$3:$K$7,2,FALSE),""))</f>
        <v/>
      </c>
      <c r="J61" s="15" t="str">
        <f t="shared" si="6"/>
        <v/>
      </c>
      <c r="K61" s="11"/>
      <c r="L61" s="16"/>
      <c r="M61" s="17"/>
      <c r="N61" s="18" t="str">
        <f t="shared" si="7"/>
        <v/>
      </c>
      <c r="O61" s="17"/>
      <c r="P61" s="18" t="str">
        <f t="shared" si="8"/>
        <v/>
      </c>
      <c r="Q61" s="16"/>
      <c r="R61" s="18" t="str">
        <f t="shared" si="9"/>
        <v/>
      </c>
      <c r="S61" s="19" t="str">
        <f>IF($A61="","",SUMIFS(Pagos!$D$8:$D$300,Pagos!$A$8:$A$300,$A61,Pagos!$F$8:$F$300,"Aplicado"))</f>
        <v/>
      </c>
      <c r="T61" s="20" t="str">
        <f t="shared" si="10"/>
        <v/>
      </c>
      <c r="U61" s="12" t="str">
        <f>IF($A61="","",IF($T61&lt;=0.005,"Pagada",IF($S61&gt;0,IF($J61&lt;Inicio!$F$3,"Parcial vencida","Pago parcial"),IF($J61&lt;Inicio!$F$3,"Vencida",IF($J61-Inicio!$F$3&lt;=7,"Próxima","Pendiente")))))</f>
        <v/>
      </c>
      <c r="V61" s="14">
        <f>IF(OR($A61="",$T61&lt;=0,$J61&gt;=Inicio!$F$3),0,Inicio!$F$3-$J61)</f>
        <v>0</v>
      </c>
      <c r="W61" s="11"/>
      <c r="X61" s="11"/>
      <c r="Y61" s="12" t="str">
        <f>IF($A61="","",IF($T61&lt;=0,"Cerrada",IF($J61&lt;Inicio!$F$3,"Alta",IF($J61-Inicio!$F$3&lt;=7,"Media","Normal"))))</f>
        <v/>
      </c>
      <c r="Z61" s="11"/>
      <c r="AA61" s="21" t="str">
        <f t="shared" si="11"/>
        <v/>
      </c>
    </row>
    <row r="62" spans="1:27" ht="21" customHeight="1" x14ac:dyDescent="0.3">
      <c r="A62" s="11"/>
      <c r="B62" s="11"/>
      <c r="C62" s="12" t="str">
        <f>IF($B62="","",IFERROR(VLOOKUP($B62,Listas!$A$3:$G$13,2,FALSE),""))</f>
        <v/>
      </c>
      <c r="D62" s="12" t="str">
        <f>IF($B62="","",IFERROR(VLOOKUP($B62,Listas!$A$3:$G$13,3,FALSE),""))</f>
        <v/>
      </c>
      <c r="E62" s="11"/>
      <c r="F62" s="13"/>
      <c r="G62" s="13"/>
      <c r="H62" s="12" t="str">
        <f>IF($B62="","",IFERROR(VLOOKUP($B62,Listas!$A$3:$G$13,4,FALSE),""))</f>
        <v/>
      </c>
      <c r="I62" s="14" t="str">
        <f>IF($H62="","",IFERROR(VLOOKUP($H62,Listas!$J$3:$K$7,2,FALSE),""))</f>
        <v/>
      </c>
      <c r="J62" s="15" t="str">
        <f t="shared" si="6"/>
        <v/>
      </c>
      <c r="K62" s="11"/>
      <c r="L62" s="16"/>
      <c r="M62" s="17"/>
      <c r="N62" s="18" t="str">
        <f t="shared" si="7"/>
        <v/>
      </c>
      <c r="O62" s="17"/>
      <c r="P62" s="18" t="str">
        <f t="shared" si="8"/>
        <v/>
      </c>
      <c r="Q62" s="16"/>
      <c r="R62" s="18" t="str">
        <f t="shared" si="9"/>
        <v/>
      </c>
      <c r="S62" s="19" t="str">
        <f>IF($A62="","",SUMIFS(Pagos!$D$8:$D$300,Pagos!$A$8:$A$300,$A62,Pagos!$F$8:$F$300,"Aplicado"))</f>
        <v/>
      </c>
      <c r="T62" s="20" t="str">
        <f t="shared" si="10"/>
        <v/>
      </c>
      <c r="U62" s="12" t="str">
        <f>IF($A62="","",IF($T62&lt;=0.005,"Pagada",IF($S62&gt;0,IF($J62&lt;Inicio!$F$3,"Parcial vencida","Pago parcial"),IF($J62&lt;Inicio!$F$3,"Vencida",IF($J62-Inicio!$F$3&lt;=7,"Próxima","Pendiente")))))</f>
        <v/>
      </c>
      <c r="V62" s="14">
        <f>IF(OR($A62="",$T62&lt;=0,$J62&gt;=Inicio!$F$3),0,Inicio!$F$3-$J62)</f>
        <v>0</v>
      </c>
      <c r="W62" s="11"/>
      <c r="X62" s="11"/>
      <c r="Y62" s="12" t="str">
        <f>IF($A62="","",IF($T62&lt;=0,"Cerrada",IF($J62&lt;Inicio!$F$3,"Alta",IF($J62-Inicio!$F$3&lt;=7,"Media","Normal"))))</f>
        <v/>
      </c>
      <c r="Z62" s="11"/>
      <c r="AA62" s="21" t="str">
        <f t="shared" si="11"/>
        <v/>
      </c>
    </row>
    <row r="63" spans="1:27" ht="21" customHeight="1" x14ac:dyDescent="0.3">
      <c r="A63" s="11"/>
      <c r="B63" s="11"/>
      <c r="C63" s="12" t="str">
        <f>IF($B63="","",IFERROR(VLOOKUP($B63,Listas!$A$3:$G$13,2,FALSE),""))</f>
        <v/>
      </c>
      <c r="D63" s="12" t="str">
        <f>IF($B63="","",IFERROR(VLOOKUP($B63,Listas!$A$3:$G$13,3,FALSE),""))</f>
        <v/>
      </c>
      <c r="E63" s="11"/>
      <c r="F63" s="13"/>
      <c r="G63" s="13"/>
      <c r="H63" s="12" t="str">
        <f>IF($B63="","",IFERROR(VLOOKUP($B63,Listas!$A$3:$G$13,4,FALSE),""))</f>
        <v/>
      </c>
      <c r="I63" s="14" t="str">
        <f>IF($H63="","",IFERROR(VLOOKUP($H63,Listas!$J$3:$K$7,2,FALSE),""))</f>
        <v/>
      </c>
      <c r="J63" s="15" t="str">
        <f t="shared" si="6"/>
        <v/>
      </c>
      <c r="K63" s="11"/>
      <c r="L63" s="16"/>
      <c r="M63" s="17"/>
      <c r="N63" s="18" t="str">
        <f t="shared" si="7"/>
        <v/>
      </c>
      <c r="O63" s="17"/>
      <c r="P63" s="18" t="str">
        <f t="shared" si="8"/>
        <v/>
      </c>
      <c r="Q63" s="16"/>
      <c r="R63" s="18" t="str">
        <f t="shared" si="9"/>
        <v/>
      </c>
      <c r="S63" s="19" t="str">
        <f>IF($A63="","",SUMIFS(Pagos!$D$8:$D$300,Pagos!$A$8:$A$300,$A63,Pagos!$F$8:$F$300,"Aplicado"))</f>
        <v/>
      </c>
      <c r="T63" s="20" t="str">
        <f t="shared" si="10"/>
        <v/>
      </c>
      <c r="U63" s="12" t="str">
        <f>IF($A63="","",IF($T63&lt;=0.005,"Pagada",IF($S63&gt;0,IF($J63&lt;Inicio!$F$3,"Parcial vencida","Pago parcial"),IF($J63&lt;Inicio!$F$3,"Vencida",IF($J63-Inicio!$F$3&lt;=7,"Próxima","Pendiente")))))</f>
        <v/>
      </c>
      <c r="V63" s="14">
        <f>IF(OR($A63="",$T63&lt;=0,$J63&gt;=Inicio!$F$3),0,Inicio!$F$3-$J63)</f>
        <v>0</v>
      </c>
      <c r="W63" s="11"/>
      <c r="X63" s="11"/>
      <c r="Y63" s="12" t="str">
        <f>IF($A63="","",IF($T63&lt;=0,"Cerrada",IF($J63&lt;Inicio!$F$3,"Alta",IF($J63-Inicio!$F$3&lt;=7,"Media","Normal"))))</f>
        <v/>
      </c>
      <c r="Z63" s="11"/>
      <c r="AA63" s="21" t="str">
        <f t="shared" si="11"/>
        <v/>
      </c>
    </row>
    <row r="64" spans="1:27" ht="21" customHeight="1" x14ac:dyDescent="0.3">
      <c r="A64" s="11"/>
      <c r="B64" s="11"/>
      <c r="C64" s="12" t="str">
        <f>IF($B64="","",IFERROR(VLOOKUP($B64,Listas!$A$3:$G$13,2,FALSE),""))</f>
        <v/>
      </c>
      <c r="D64" s="12" t="str">
        <f>IF($B64="","",IFERROR(VLOOKUP($B64,Listas!$A$3:$G$13,3,FALSE),""))</f>
        <v/>
      </c>
      <c r="E64" s="11"/>
      <c r="F64" s="13"/>
      <c r="G64" s="13"/>
      <c r="H64" s="12" t="str">
        <f>IF($B64="","",IFERROR(VLOOKUP($B64,Listas!$A$3:$G$13,4,FALSE),""))</f>
        <v/>
      </c>
      <c r="I64" s="14" t="str">
        <f>IF($H64="","",IFERROR(VLOOKUP($H64,Listas!$J$3:$K$7,2,FALSE),""))</f>
        <v/>
      </c>
      <c r="J64" s="15" t="str">
        <f t="shared" si="6"/>
        <v/>
      </c>
      <c r="K64" s="11"/>
      <c r="L64" s="16"/>
      <c r="M64" s="17"/>
      <c r="N64" s="18" t="str">
        <f t="shared" si="7"/>
        <v/>
      </c>
      <c r="O64" s="17"/>
      <c r="P64" s="18" t="str">
        <f t="shared" si="8"/>
        <v/>
      </c>
      <c r="Q64" s="16"/>
      <c r="R64" s="18" t="str">
        <f t="shared" si="9"/>
        <v/>
      </c>
      <c r="S64" s="19" t="str">
        <f>IF($A64="","",SUMIFS(Pagos!$D$8:$D$300,Pagos!$A$8:$A$300,$A64,Pagos!$F$8:$F$300,"Aplicado"))</f>
        <v/>
      </c>
      <c r="T64" s="20" t="str">
        <f t="shared" si="10"/>
        <v/>
      </c>
      <c r="U64" s="12" t="str">
        <f>IF($A64="","",IF($T64&lt;=0.005,"Pagada",IF($S64&gt;0,IF($J64&lt;Inicio!$F$3,"Parcial vencida","Pago parcial"),IF($J64&lt;Inicio!$F$3,"Vencida",IF($J64-Inicio!$F$3&lt;=7,"Próxima","Pendiente")))))</f>
        <v/>
      </c>
      <c r="V64" s="14">
        <f>IF(OR($A64="",$T64&lt;=0,$J64&gt;=Inicio!$F$3),0,Inicio!$F$3-$J64)</f>
        <v>0</v>
      </c>
      <c r="W64" s="11"/>
      <c r="X64" s="11"/>
      <c r="Y64" s="12" t="str">
        <f>IF($A64="","",IF($T64&lt;=0,"Cerrada",IF($J64&lt;Inicio!$F$3,"Alta",IF($J64-Inicio!$F$3&lt;=7,"Media","Normal"))))</f>
        <v/>
      </c>
      <c r="Z64" s="11"/>
      <c r="AA64" s="21" t="str">
        <f t="shared" si="11"/>
        <v/>
      </c>
    </row>
    <row r="65" spans="1:27" ht="21" customHeight="1" x14ac:dyDescent="0.3">
      <c r="A65" s="11"/>
      <c r="B65" s="11"/>
      <c r="C65" s="12" t="str">
        <f>IF($B65="","",IFERROR(VLOOKUP($B65,Listas!$A$3:$G$13,2,FALSE),""))</f>
        <v/>
      </c>
      <c r="D65" s="12" t="str">
        <f>IF($B65="","",IFERROR(VLOOKUP($B65,Listas!$A$3:$G$13,3,FALSE),""))</f>
        <v/>
      </c>
      <c r="E65" s="11"/>
      <c r="F65" s="13"/>
      <c r="G65" s="13"/>
      <c r="H65" s="12" t="str">
        <f>IF($B65="","",IFERROR(VLOOKUP($B65,Listas!$A$3:$G$13,4,FALSE),""))</f>
        <v/>
      </c>
      <c r="I65" s="14" t="str">
        <f>IF($H65="","",IFERROR(VLOOKUP($H65,Listas!$J$3:$K$7,2,FALSE),""))</f>
        <v/>
      </c>
      <c r="J65" s="15" t="str">
        <f t="shared" si="6"/>
        <v/>
      </c>
      <c r="K65" s="11"/>
      <c r="L65" s="16"/>
      <c r="M65" s="17"/>
      <c r="N65" s="18" t="str">
        <f t="shared" si="7"/>
        <v/>
      </c>
      <c r="O65" s="17"/>
      <c r="P65" s="18" t="str">
        <f t="shared" si="8"/>
        <v/>
      </c>
      <c r="Q65" s="16"/>
      <c r="R65" s="18" t="str">
        <f t="shared" si="9"/>
        <v/>
      </c>
      <c r="S65" s="19" t="str">
        <f>IF($A65="","",SUMIFS(Pagos!$D$8:$D$300,Pagos!$A$8:$A$300,$A65,Pagos!$F$8:$F$300,"Aplicado"))</f>
        <v/>
      </c>
      <c r="T65" s="20" t="str">
        <f t="shared" si="10"/>
        <v/>
      </c>
      <c r="U65" s="12" t="str">
        <f>IF($A65="","",IF($T65&lt;=0.005,"Pagada",IF($S65&gt;0,IF($J65&lt;Inicio!$F$3,"Parcial vencida","Pago parcial"),IF($J65&lt;Inicio!$F$3,"Vencida",IF($J65-Inicio!$F$3&lt;=7,"Próxima","Pendiente")))))</f>
        <v/>
      </c>
      <c r="V65" s="14">
        <f>IF(OR($A65="",$T65&lt;=0,$J65&gt;=Inicio!$F$3),0,Inicio!$F$3-$J65)</f>
        <v>0</v>
      </c>
      <c r="W65" s="11"/>
      <c r="X65" s="11"/>
      <c r="Y65" s="12" t="str">
        <f>IF($A65="","",IF($T65&lt;=0,"Cerrada",IF($J65&lt;Inicio!$F$3,"Alta",IF($J65-Inicio!$F$3&lt;=7,"Media","Normal"))))</f>
        <v/>
      </c>
      <c r="Z65" s="11"/>
      <c r="AA65" s="21" t="str">
        <f t="shared" si="11"/>
        <v/>
      </c>
    </row>
    <row r="66" spans="1:27" ht="21" customHeight="1" x14ac:dyDescent="0.3">
      <c r="A66" s="11"/>
      <c r="B66" s="11"/>
      <c r="C66" s="12" t="str">
        <f>IF($B66="","",IFERROR(VLOOKUP($B66,Listas!$A$3:$G$13,2,FALSE),""))</f>
        <v/>
      </c>
      <c r="D66" s="12" t="str">
        <f>IF($B66="","",IFERROR(VLOOKUP($B66,Listas!$A$3:$G$13,3,FALSE),""))</f>
        <v/>
      </c>
      <c r="E66" s="11"/>
      <c r="F66" s="13"/>
      <c r="G66" s="13"/>
      <c r="H66" s="12" t="str">
        <f>IF($B66="","",IFERROR(VLOOKUP($B66,Listas!$A$3:$G$13,4,FALSE),""))</f>
        <v/>
      </c>
      <c r="I66" s="14" t="str">
        <f>IF($H66="","",IFERROR(VLOOKUP($H66,Listas!$J$3:$K$7,2,FALSE),""))</f>
        <v/>
      </c>
      <c r="J66" s="15" t="str">
        <f t="shared" si="6"/>
        <v/>
      </c>
      <c r="K66" s="11"/>
      <c r="L66" s="16"/>
      <c r="M66" s="17"/>
      <c r="N66" s="18" t="str">
        <f t="shared" si="7"/>
        <v/>
      </c>
      <c r="O66" s="17"/>
      <c r="P66" s="18" t="str">
        <f t="shared" si="8"/>
        <v/>
      </c>
      <c r="Q66" s="16"/>
      <c r="R66" s="18" t="str">
        <f t="shared" si="9"/>
        <v/>
      </c>
      <c r="S66" s="19" t="str">
        <f>IF($A66="","",SUMIFS(Pagos!$D$8:$D$300,Pagos!$A$8:$A$300,$A66,Pagos!$F$8:$F$300,"Aplicado"))</f>
        <v/>
      </c>
      <c r="T66" s="20" t="str">
        <f t="shared" si="10"/>
        <v/>
      </c>
      <c r="U66" s="12" t="str">
        <f>IF($A66="","",IF($T66&lt;=0.005,"Pagada",IF($S66&gt;0,IF($J66&lt;Inicio!$F$3,"Parcial vencida","Pago parcial"),IF($J66&lt;Inicio!$F$3,"Vencida",IF($J66-Inicio!$F$3&lt;=7,"Próxima","Pendiente")))))</f>
        <v/>
      </c>
      <c r="V66" s="14">
        <f>IF(OR($A66="",$T66&lt;=0,$J66&gt;=Inicio!$F$3),0,Inicio!$F$3-$J66)</f>
        <v>0</v>
      </c>
      <c r="W66" s="11"/>
      <c r="X66" s="11"/>
      <c r="Y66" s="12" t="str">
        <f>IF($A66="","",IF($T66&lt;=0,"Cerrada",IF($J66&lt;Inicio!$F$3,"Alta",IF($J66-Inicio!$F$3&lt;=7,"Media","Normal"))))</f>
        <v/>
      </c>
      <c r="Z66" s="11"/>
      <c r="AA66" s="21" t="str">
        <f t="shared" si="11"/>
        <v/>
      </c>
    </row>
    <row r="67" spans="1:27" ht="21" customHeight="1" x14ac:dyDescent="0.3">
      <c r="A67" s="11"/>
      <c r="B67" s="11"/>
      <c r="C67" s="12" t="str">
        <f>IF($B67="","",IFERROR(VLOOKUP($B67,Listas!$A$3:$G$13,2,FALSE),""))</f>
        <v/>
      </c>
      <c r="D67" s="12" t="str">
        <f>IF($B67="","",IFERROR(VLOOKUP($B67,Listas!$A$3:$G$13,3,FALSE),""))</f>
        <v/>
      </c>
      <c r="E67" s="11"/>
      <c r="F67" s="13"/>
      <c r="G67" s="13"/>
      <c r="H67" s="12" t="str">
        <f>IF($B67="","",IFERROR(VLOOKUP($B67,Listas!$A$3:$G$13,4,FALSE),""))</f>
        <v/>
      </c>
      <c r="I67" s="14" t="str">
        <f>IF($H67="","",IFERROR(VLOOKUP($H67,Listas!$J$3:$K$7,2,FALSE),""))</f>
        <v/>
      </c>
      <c r="J67" s="15" t="str">
        <f t="shared" si="6"/>
        <v/>
      </c>
      <c r="K67" s="11"/>
      <c r="L67" s="16"/>
      <c r="M67" s="17"/>
      <c r="N67" s="18" t="str">
        <f t="shared" si="7"/>
        <v/>
      </c>
      <c r="O67" s="17"/>
      <c r="P67" s="18" t="str">
        <f t="shared" si="8"/>
        <v/>
      </c>
      <c r="Q67" s="16"/>
      <c r="R67" s="18" t="str">
        <f t="shared" si="9"/>
        <v/>
      </c>
      <c r="S67" s="19" t="str">
        <f>IF($A67="","",SUMIFS(Pagos!$D$8:$D$300,Pagos!$A$8:$A$300,$A67,Pagos!$F$8:$F$300,"Aplicado"))</f>
        <v/>
      </c>
      <c r="T67" s="20" t="str">
        <f t="shared" si="10"/>
        <v/>
      </c>
      <c r="U67" s="12" t="str">
        <f>IF($A67="","",IF($T67&lt;=0.005,"Pagada",IF($S67&gt;0,IF($J67&lt;Inicio!$F$3,"Parcial vencida","Pago parcial"),IF($J67&lt;Inicio!$F$3,"Vencida",IF($J67-Inicio!$F$3&lt;=7,"Próxima","Pendiente")))))</f>
        <v/>
      </c>
      <c r="V67" s="14">
        <f>IF(OR($A67="",$T67&lt;=0,$J67&gt;=Inicio!$F$3),0,Inicio!$F$3-$J67)</f>
        <v>0</v>
      </c>
      <c r="W67" s="11"/>
      <c r="X67" s="11"/>
      <c r="Y67" s="12" t="str">
        <f>IF($A67="","",IF($T67&lt;=0,"Cerrada",IF($J67&lt;Inicio!$F$3,"Alta",IF($J67-Inicio!$F$3&lt;=7,"Media","Normal"))))</f>
        <v/>
      </c>
      <c r="Z67" s="11"/>
      <c r="AA67" s="21" t="str">
        <f t="shared" si="11"/>
        <v/>
      </c>
    </row>
    <row r="68" spans="1:27" ht="21" customHeight="1" x14ac:dyDescent="0.3">
      <c r="A68" s="11"/>
      <c r="B68" s="11"/>
      <c r="C68" s="12" t="str">
        <f>IF($B68="","",IFERROR(VLOOKUP($B68,Listas!$A$3:$G$13,2,FALSE),""))</f>
        <v/>
      </c>
      <c r="D68" s="12" t="str">
        <f>IF($B68="","",IFERROR(VLOOKUP($B68,Listas!$A$3:$G$13,3,FALSE),""))</f>
        <v/>
      </c>
      <c r="E68" s="11"/>
      <c r="F68" s="13"/>
      <c r="G68" s="13"/>
      <c r="H68" s="12" t="str">
        <f>IF($B68="","",IFERROR(VLOOKUP($B68,Listas!$A$3:$G$13,4,FALSE),""))</f>
        <v/>
      </c>
      <c r="I68" s="14" t="str">
        <f>IF($H68="","",IFERROR(VLOOKUP($H68,Listas!$J$3:$K$7,2,FALSE),""))</f>
        <v/>
      </c>
      <c r="J68" s="15" t="str">
        <f t="shared" si="6"/>
        <v/>
      </c>
      <c r="K68" s="11"/>
      <c r="L68" s="16"/>
      <c r="M68" s="17"/>
      <c r="N68" s="18" t="str">
        <f t="shared" si="7"/>
        <v/>
      </c>
      <c r="O68" s="17"/>
      <c r="P68" s="18" t="str">
        <f t="shared" si="8"/>
        <v/>
      </c>
      <c r="Q68" s="16"/>
      <c r="R68" s="18" t="str">
        <f t="shared" si="9"/>
        <v/>
      </c>
      <c r="S68" s="19" t="str">
        <f>IF($A68="","",SUMIFS(Pagos!$D$8:$D$300,Pagos!$A$8:$A$300,$A68,Pagos!$F$8:$F$300,"Aplicado"))</f>
        <v/>
      </c>
      <c r="T68" s="20" t="str">
        <f t="shared" si="10"/>
        <v/>
      </c>
      <c r="U68" s="12" t="str">
        <f>IF($A68="","",IF($T68&lt;=0.005,"Pagada",IF($S68&gt;0,IF($J68&lt;Inicio!$F$3,"Parcial vencida","Pago parcial"),IF($J68&lt;Inicio!$F$3,"Vencida",IF($J68-Inicio!$F$3&lt;=7,"Próxima","Pendiente")))))</f>
        <v/>
      </c>
      <c r="V68" s="14">
        <f>IF(OR($A68="",$T68&lt;=0,$J68&gt;=Inicio!$F$3),0,Inicio!$F$3-$J68)</f>
        <v>0</v>
      </c>
      <c r="W68" s="11"/>
      <c r="X68" s="11"/>
      <c r="Y68" s="12" t="str">
        <f>IF($A68="","",IF($T68&lt;=0,"Cerrada",IF($J68&lt;Inicio!$F$3,"Alta",IF($J68-Inicio!$F$3&lt;=7,"Media","Normal"))))</f>
        <v/>
      </c>
      <c r="Z68" s="11"/>
      <c r="AA68" s="21" t="str">
        <f t="shared" si="11"/>
        <v/>
      </c>
    </row>
    <row r="69" spans="1:27" ht="21" customHeight="1" x14ac:dyDescent="0.3">
      <c r="A69" s="11"/>
      <c r="B69" s="11"/>
      <c r="C69" s="12" t="str">
        <f>IF($B69="","",IFERROR(VLOOKUP($B69,Listas!$A$3:$G$13,2,FALSE),""))</f>
        <v/>
      </c>
      <c r="D69" s="12" t="str">
        <f>IF($B69="","",IFERROR(VLOOKUP($B69,Listas!$A$3:$G$13,3,FALSE),""))</f>
        <v/>
      </c>
      <c r="E69" s="11"/>
      <c r="F69" s="13"/>
      <c r="G69" s="13"/>
      <c r="H69" s="12" t="str">
        <f>IF($B69="","",IFERROR(VLOOKUP($B69,Listas!$A$3:$G$13,4,FALSE),""))</f>
        <v/>
      </c>
      <c r="I69" s="14" t="str">
        <f>IF($H69="","",IFERROR(VLOOKUP($H69,Listas!$J$3:$K$7,2,FALSE),""))</f>
        <v/>
      </c>
      <c r="J69" s="15" t="str">
        <f t="shared" si="6"/>
        <v/>
      </c>
      <c r="K69" s="11"/>
      <c r="L69" s="16"/>
      <c r="M69" s="17"/>
      <c r="N69" s="18" t="str">
        <f t="shared" si="7"/>
        <v/>
      </c>
      <c r="O69" s="17"/>
      <c r="P69" s="18" t="str">
        <f t="shared" si="8"/>
        <v/>
      </c>
      <c r="Q69" s="16"/>
      <c r="R69" s="18" t="str">
        <f t="shared" si="9"/>
        <v/>
      </c>
      <c r="S69" s="19" t="str">
        <f>IF($A69="","",SUMIFS(Pagos!$D$8:$D$300,Pagos!$A$8:$A$300,$A69,Pagos!$F$8:$F$300,"Aplicado"))</f>
        <v/>
      </c>
      <c r="T69" s="20" t="str">
        <f t="shared" si="10"/>
        <v/>
      </c>
      <c r="U69" s="12" t="str">
        <f>IF($A69="","",IF($T69&lt;=0.005,"Pagada",IF($S69&gt;0,IF($J69&lt;Inicio!$F$3,"Parcial vencida","Pago parcial"),IF($J69&lt;Inicio!$F$3,"Vencida",IF($J69-Inicio!$F$3&lt;=7,"Próxima","Pendiente")))))</f>
        <v/>
      </c>
      <c r="V69" s="14">
        <f>IF(OR($A69="",$T69&lt;=0,$J69&gt;=Inicio!$F$3),0,Inicio!$F$3-$J69)</f>
        <v>0</v>
      </c>
      <c r="W69" s="11"/>
      <c r="X69" s="11"/>
      <c r="Y69" s="12" t="str">
        <f>IF($A69="","",IF($T69&lt;=0,"Cerrada",IF($J69&lt;Inicio!$F$3,"Alta",IF($J69-Inicio!$F$3&lt;=7,"Media","Normal"))))</f>
        <v/>
      </c>
      <c r="Z69" s="11"/>
      <c r="AA69" s="21" t="str">
        <f t="shared" si="11"/>
        <v/>
      </c>
    </row>
    <row r="70" spans="1:27" ht="21" customHeight="1" x14ac:dyDescent="0.3">
      <c r="A70" s="11"/>
      <c r="B70" s="11"/>
      <c r="C70" s="12" t="str">
        <f>IF($B70="","",IFERROR(VLOOKUP($B70,Listas!$A$3:$G$13,2,FALSE),""))</f>
        <v/>
      </c>
      <c r="D70" s="12" t="str">
        <f>IF($B70="","",IFERROR(VLOOKUP($B70,Listas!$A$3:$G$13,3,FALSE),""))</f>
        <v/>
      </c>
      <c r="E70" s="11"/>
      <c r="F70" s="13"/>
      <c r="G70" s="13"/>
      <c r="H70" s="12" t="str">
        <f>IF($B70="","",IFERROR(VLOOKUP($B70,Listas!$A$3:$G$13,4,FALSE),""))</f>
        <v/>
      </c>
      <c r="I70" s="14" t="str">
        <f>IF($H70="","",IFERROR(VLOOKUP($H70,Listas!$J$3:$K$7,2,FALSE),""))</f>
        <v/>
      </c>
      <c r="J70" s="15" t="str">
        <f t="shared" si="6"/>
        <v/>
      </c>
      <c r="K70" s="11"/>
      <c r="L70" s="16"/>
      <c r="M70" s="17"/>
      <c r="N70" s="18" t="str">
        <f t="shared" si="7"/>
        <v/>
      </c>
      <c r="O70" s="17"/>
      <c r="P70" s="18" t="str">
        <f t="shared" si="8"/>
        <v/>
      </c>
      <c r="Q70" s="16"/>
      <c r="R70" s="18" t="str">
        <f t="shared" si="9"/>
        <v/>
      </c>
      <c r="S70" s="19" t="str">
        <f>IF($A70="","",SUMIFS(Pagos!$D$8:$D$300,Pagos!$A$8:$A$300,$A70,Pagos!$F$8:$F$300,"Aplicado"))</f>
        <v/>
      </c>
      <c r="T70" s="20" t="str">
        <f t="shared" si="10"/>
        <v/>
      </c>
      <c r="U70" s="12" t="str">
        <f>IF($A70="","",IF($T70&lt;=0.005,"Pagada",IF($S70&gt;0,IF($J70&lt;Inicio!$F$3,"Parcial vencida","Pago parcial"),IF($J70&lt;Inicio!$F$3,"Vencida",IF($J70-Inicio!$F$3&lt;=7,"Próxima","Pendiente")))))</f>
        <v/>
      </c>
      <c r="V70" s="14">
        <f>IF(OR($A70="",$T70&lt;=0,$J70&gt;=Inicio!$F$3),0,Inicio!$F$3-$J70)</f>
        <v>0</v>
      </c>
      <c r="W70" s="11"/>
      <c r="X70" s="11"/>
      <c r="Y70" s="12" t="str">
        <f>IF($A70="","",IF($T70&lt;=0,"Cerrada",IF($J70&lt;Inicio!$F$3,"Alta",IF($J70-Inicio!$F$3&lt;=7,"Media","Normal"))))</f>
        <v/>
      </c>
      <c r="Z70" s="11"/>
      <c r="AA70" s="21" t="str">
        <f t="shared" si="11"/>
        <v/>
      </c>
    </row>
    <row r="71" spans="1:27" ht="21" customHeight="1" x14ac:dyDescent="0.3">
      <c r="A71" s="11"/>
      <c r="B71" s="11"/>
      <c r="C71" s="12" t="str">
        <f>IF($B71="","",IFERROR(VLOOKUP($B71,Listas!$A$3:$G$13,2,FALSE),""))</f>
        <v/>
      </c>
      <c r="D71" s="12" t="str">
        <f>IF($B71="","",IFERROR(VLOOKUP($B71,Listas!$A$3:$G$13,3,FALSE),""))</f>
        <v/>
      </c>
      <c r="E71" s="11"/>
      <c r="F71" s="13"/>
      <c r="G71" s="13"/>
      <c r="H71" s="12" t="str">
        <f>IF($B71="","",IFERROR(VLOOKUP($B71,Listas!$A$3:$G$13,4,FALSE),""))</f>
        <v/>
      </c>
      <c r="I71" s="14" t="str">
        <f>IF($H71="","",IFERROR(VLOOKUP($H71,Listas!$J$3:$K$7,2,FALSE),""))</f>
        <v/>
      </c>
      <c r="J71" s="15" t="str">
        <f t="shared" si="6"/>
        <v/>
      </c>
      <c r="K71" s="11"/>
      <c r="L71" s="16"/>
      <c r="M71" s="17"/>
      <c r="N71" s="18" t="str">
        <f t="shared" si="7"/>
        <v/>
      </c>
      <c r="O71" s="17"/>
      <c r="P71" s="18" t="str">
        <f t="shared" si="8"/>
        <v/>
      </c>
      <c r="Q71" s="16"/>
      <c r="R71" s="18" t="str">
        <f t="shared" si="9"/>
        <v/>
      </c>
      <c r="S71" s="19" t="str">
        <f>IF($A71="","",SUMIFS(Pagos!$D$8:$D$300,Pagos!$A$8:$A$300,$A71,Pagos!$F$8:$F$300,"Aplicado"))</f>
        <v/>
      </c>
      <c r="T71" s="20" t="str">
        <f t="shared" si="10"/>
        <v/>
      </c>
      <c r="U71" s="12" t="str">
        <f>IF($A71="","",IF($T71&lt;=0.005,"Pagada",IF($S71&gt;0,IF($J71&lt;Inicio!$F$3,"Parcial vencida","Pago parcial"),IF($J71&lt;Inicio!$F$3,"Vencida",IF($J71-Inicio!$F$3&lt;=7,"Próxima","Pendiente")))))</f>
        <v/>
      </c>
      <c r="V71" s="14">
        <f>IF(OR($A71="",$T71&lt;=0,$J71&gt;=Inicio!$F$3),0,Inicio!$F$3-$J71)</f>
        <v>0</v>
      </c>
      <c r="W71" s="11"/>
      <c r="X71" s="11"/>
      <c r="Y71" s="12" t="str">
        <f>IF($A71="","",IF($T71&lt;=0,"Cerrada",IF($J71&lt;Inicio!$F$3,"Alta",IF($J71-Inicio!$F$3&lt;=7,"Media","Normal"))))</f>
        <v/>
      </c>
      <c r="Z71" s="11"/>
      <c r="AA71" s="21" t="str">
        <f t="shared" si="11"/>
        <v/>
      </c>
    </row>
    <row r="72" spans="1:27" ht="21" customHeight="1" x14ac:dyDescent="0.3">
      <c r="A72" s="11"/>
      <c r="B72" s="11"/>
      <c r="C72" s="12" t="str">
        <f>IF($B72="","",IFERROR(VLOOKUP($B72,Listas!$A$3:$G$13,2,FALSE),""))</f>
        <v/>
      </c>
      <c r="D72" s="12" t="str">
        <f>IF($B72="","",IFERROR(VLOOKUP($B72,Listas!$A$3:$G$13,3,FALSE),""))</f>
        <v/>
      </c>
      <c r="E72" s="11"/>
      <c r="F72" s="13"/>
      <c r="G72" s="13"/>
      <c r="H72" s="12" t="str">
        <f>IF($B72="","",IFERROR(VLOOKUP($B72,Listas!$A$3:$G$13,4,FALSE),""))</f>
        <v/>
      </c>
      <c r="I72" s="14" t="str">
        <f>IF($H72="","",IFERROR(VLOOKUP($H72,Listas!$J$3:$K$7,2,FALSE),""))</f>
        <v/>
      </c>
      <c r="J72" s="15" t="str">
        <f t="shared" ref="J72:J103" si="12">IF($G72="","",$G72+$I72)</f>
        <v/>
      </c>
      <c r="K72" s="11"/>
      <c r="L72" s="16"/>
      <c r="M72" s="17"/>
      <c r="N72" s="18" t="str">
        <f t="shared" ref="N72:N103" si="13">IF($L72="","",$L72*$M72)</f>
        <v/>
      </c>
      <c r="O72" s="17"/>
      <c r="P72" s="18" t="str">
        <f t="shared" ref="P72:P103" si="14">IF($L72="","",$L72*$O72)</f>
        <v/>
      </c>
      <c r="Q72" s="16"/>
      <c r="R72" s="18" t="str">
        <f t="shared" ref="R72:R103" si="15">IF($L72="","",$L72+$N72-$P72-$Q72)</f>
        <v/>
      </c>
      <c r="S72" s="19" t="str">
        <f>IF($A72="","",SUMIFS(Pagos!$D$8:$D$300,Pagos!$A$8:$A$300,$A72,Pagos!$F$8:$F$300,"Aplicado"))</f>
        <v/>
      </c>
      <c r="T72" s="20" t="str">
        <f t="shared" ref="T72:T103" si="16">IF($A72="","",MAX(0,$R72-$S72))</f>
        <v/>
      </c>
      <c r="U72" s="12" t="str">
        <f>IF($A72="","",IF($T72&lt;=0.005,"Pagada",IF($S72&gt;0,IF($J72&lt;Inicio!$F$3,"Parcial vencida","Pago parcial"),IF($J72&lt;Inicio!$F$3,"Vencida",IF($J72-Inicio!$F$3&lt;=7,"Próxima","Pendiente")))))</f>
        <v/>
      </c>
      <c r="V72" s="14">
        <f>IF(OR($A72="",$T72&lt;=0,$J72&gt;=Inicio!$F$3),0,Inicio!$F$3-$J72)</f>
        <v>0</v>
      </c>
      <c r="W72" s="11"/>
      <c r="X72" s="11"/>
      <c r="Y72" s="12" t="str">
        <f>IF($A72="","",IF($T72&lt;=0,"Cerrada",IF($J72&lt;Inicio!$F$3,"Alta",IF($J72-Inicio!$F$3&lt;=7,"Media","Normal"))))</f>
        <v/>
      </c>
      <c r="Z72" s="11"/>
      <c r="AA72" s="21" t="str">
        <f t="shared" ref="AA72:AA103" si="17">IF($A72="","",IF($T72&gt;0,COUNTIFS($J$8:$J$300,"&lt;"&amp;$J72,$T$8:$T$300,"&gt;0")+COUNTIFS($J$8:$J$300,$J72,$A$8:$A$300,"&lt;"&amp;$A72,$T$8:$T$300,"&gt;0")+1,""))</f>
        <v/>
      </c>
    </row>
    <row r="73" spans="1:27" ht="21" customHeight="1" x14ac:dyDescent="0.3">
      <c r="A73" s="11"/>
      <c r="B73" s="11"/>
      <c r="C73" s="12" t="str">
        <f>IF($B73="","",IFERROR(VLOOKUP($B73,Listas!$A$3:$G$13,2,FALSE),""))</f>
        <v/>
      </c>
      <c r="D73" s="12" t="str">
        <f>IF($B73="","",IFERROR(VLOOKUP($B73,Listas!$A$3:$G$13,3,FALSE),""))</f>
        <v/>
      </c>
      <c r="E73" s="11"/>
      <c r="F73" s="13"/>
      <c r="G73" s="13"/>
      <c r="H73" s="12" t="str">
        <f>IF($B73="","",IFERROR(VLOOKUP($B73,Listas!$A$3:$G$13,4,FALSE),""))</f>
        <v/>
      </c>
      <c r="I73" s="14" t="str">
        <f>IF($H73="","",IFERROR(VLOOKUP($H73,Listas!$J$3:$K$7,2,FALSE),""))</f>
        <v/>
      </c>
      <c r="J73" s="15" t="str">
        <f t="shared" si="12"/>
        <v/>
      </c>
      <c r="K73" s="11"/>
      <c r="L73" s="16"/>
      <c r="M73" s="17"/>
      <c r="N73" s="18" t="str">
        <f t="shared" si="13"/>
        <v/>
      </c>
      <c r="O73" s="17"/>
      <c r="P73" s="18" t="str">
        <f t="shared" si="14"/>
        <v/>
      </c>
      <c r="Q73" s="16"/>
      <c r="R73" s="18" t="str">
        <f t="shared" si="15"/>
        <v/>
      </c>
      <c r="S73" s="19" t="str">
        <f>IF($A73="","",SUMIFS(Pagos!$D$8:$D$300,Pagos!$A$8:$A$300,$A73,Pagos!$F$8:$F$300,"Aplicado"))</f>
        <v/>
      </c>
      <c r="T73" s="20" t="str">
        <f t="shared" si="16"/>
        <v/>
      </c>
      <c r="U73" s="12" t="str">
        <f>IF($A73="","",IF($T73&lt;=0.005,"Pagada",IF($S73&gt;0,IF($J73&lt;Inicio!$F$3,"Parcial vencida","Pago parcial"),IF($J73&lt;Inicio!$F$3,"Vencida",IF($J73-Inicio!$F$3&lt;=7,"Próxima","Pendiente")))))</f>
        <v/>
      </c>
      <c r="V73" s="14">
        <f>IF(OR($A73="",$T73&lt;=0,$J73&gt;=Inicio!$F$3),0,Inicio!$F$3-$J73)</f>
        <v>0</v>
      </c>
      <c r="W73" s="11"/>
      <c r="X73" s="11"/>
      <c r="Y73" s="12" t="str">
        <f>IF($A73="","",IF($T73&lt;=0,"Cerrada",IF($J73&lt;Inicio!$F$3,"Alta",IF($J73-Inicio!$F$3&lt;=7,"Media","Normal"))))</f>
        <v/>
      </c>
      <c r="Z73" s="11"/>
      <c r="AA73" s="21" t="str">
        <f t="shared" si="17"/>
        <v/>
      </c>
    </row>
    <row r="74" spans="1:27" ht="21" customHeight="1" x14ac:dyDescent="0.3">
      <c r="A74" s="11"/>
      <c r="B74" s="11"/>
      <c r="C74" s="12" t="str">
        <f>IF($B74="","",IFERROR(VLOOKUP($B74,Listas!$A$3:$G$13,2,FALSE),""))</f>
        <v/>
      </c>
      <c r="D74" s="12" t="str">
        <f>IF($B74="","",IFERROR(VLOOKUP($B74,Listas!$A$3:$G$13,3,FALSE),""))</f>
        <v/>
      </c>
      <c r="E74" s="11"/>
      <c r="F74" s="13"/>
      <c r="G74" s="13"/>
      <c r="H74" s="12" t="str">
        <f>IF($B74="","",IFERROR(VLOOKUP($B74,Listas!$A$3:$G$13,4,FALSE),""))</f>
        <v/>
      </c>
      <c r="I74" s="14" t="str">
        <f>IF($H74="","",IFERROR(VLOOKUP($H74,Listas!$J$3:$K$7,2,FALSE),""))</f>
        <v/>
      </c>
      <c r="J74" s="15" t="str">
        <f t="shared" si="12"/>
        <v/>
      </c>
      <c r="K74" s="11"/>
      <c r="L74" s="16"/>
      <c r="M74" s="17"/>
      <c r="N74" s="18" t="str">
        <f t="shared" si="13"/>
        <v/>
      </c>
      <c r="O74" s="17"/>
      <c r="P74" s="18" t="str">
        <f t="shared" si="14"/>
        <v/>
      </c>
      <c r="Q74" s="16"/>
      <c r="R74" s="18" t="str">
        <f t="shared" si="15"/>
        <v/>
      </c>
      <c r="S74" s="19" t="str">
        <f>IF($A74="","",SUMIFS(Pagos!$D$8:$D$300,Pagos!$A$8:$A$300,$A74,Pagos!$F$8:$F$300,"Aplicado"))</f>
        <v/>
      </c>
      <c r="T74" s="20" t="str">
        <f t="shared" si="16"/>
        <v/>
      </c>
      <c r="U74" s="12" t="str">
        <f>IF($A74="","",IF($T74&lt;=0.005,"Pagada",IF($S74&gt;0,IF($J74&lt;Inicio!$F$3,"Parcial vencida","Pago parcial"),IF($J74&lt;Inicio!$F$3,"Vencida",IF($J74-Inicio!$F$3&lt;=7,"Próxima","Pendiente")))))</f>
        <v/>
      </c>
      <c r="V74" s="14">
        <f>IF(OR($A74="",$T74&lt;=0,$J74&gt;=Inicio!$F$3),0,Inicio!$F$3-$J74)</f>
        <v>0</v>
      </c>
      <c r="W74" s="11"/>
      <c r="X74" s="11"/>
      <c r="Y74" s="12" t="str">
        <f>IF($A74="","",IF($T74&lt;=0,"Cerrada",IF($J74&lt;Inicio!$F$3,"Alta",IF($J74-Inicio!$F$3&lt;=7,"Media","Normal"))))</f>
        <v/>
      </c>
      <c r="Z74" s="11"/>
      <c r="AA74" s="21" t="str">
        <f t="shared" si="17"/>
        <v/>
      </c>
    </row>
    <row r="75" spans="1:27" ht="21" customHeight="1" x14ac:dyDescent="0.3">
      <c r="A75" s="11"/>
      <c r="B75" s="11"/>
      <c r="C75" s="12" t="str">
        <f>IF($B75="","",IFERROR(VLOOKUP($B75,Listas!$A$3:$G$13,2,FALSE),""))</f>
        <v/>
      </c>
      <c r="D75" s="12" t="str">
        <f>IF($B75="","",IFERROR(VLOOKUP($B75,Listas!$A$3:$G$13,3,FALSE),""))</f>
        <v/>
      </c>
      <c r="E75" s="11"/>
      <c r="F75" s="13"/>
      <c r="G75" s="13"/>
      <c r="H75" s="12" t="str">
        <f>IF($B75="","",IFERROR(VLOOKUP($B75,Listas!$A$3:$G$13,4,FALSE),""))</f>
        <v/>
      </c>
      <c r="I75" s="14" t="str">
        <f>IF($H75="","",IFERROR(VLOOKUP($H75,Listas!$J$3:$K$7,2,FALSE),""))</f>
        <v/>
      </c>
      <c r="J75" s="15" t="str">
        <f t="shared" si="12"/>
        <v/>
      </c>
      <c r="K75" s="11"/>
      <c r="L75" s="16"/>
      <c r="M75" s="17"/>
      <c r="N75" s="18" t="str">
        <f t="shared" si="13"/>
        <v/>
      </c>
      <c r="O75" s="17"/>
      <c r="P75" s="18" t="str">
        <f t="shared" si="14"/>
        <v/>
      </c>
      <c r="Q75" s="16"/>
      <c r="R75" s="18" t="str">
        <f t="shared" si="15"/>
        <v/>
      </c>
      <c r="S75" s="19" t="str">
        <f>IF($A75="","",SUMIFS(Pagos!$D$8:$D$300,Pagos!$A$8:$A$300,$A75,Pagos!$F$8:$F$300,"Aplicado"))</f>
        <v/>
      </c>
      <c r="T75" s="20" t="str">
        <f t="shared" si="16"/>
        <v/>
      </c>
      <c r="U75" s="12" t="str">
        <f>IF($A75="","",IF($T75&lt;=0.005,"Pagada",IF($S75&gt;0,IF($J75&lt;Inicio!$F$3,"Parcial vencida","Pago parcial"),IF($J75&lt;Inicio!$F$3,"Vencida",IF($J75-Inicio!$F$3&lt;=7,"Próxima","Pendiente")))))</f>
        <v/>
      </c>
      <c r="V75" s="14">
        <f>IF(OR($A75="",$T75&lt;=0,$J75&gt;=Inicio!$F$3),0,Inicio!$F$3-$J75)</f>
        <v>0</v>
      </c>
      <c r="W75" s="11"/>
      <c r="X75" s="11"/>
      <c r="Y75" s="12" t="str">
        <f>IF($A75="","",IF($T75&lt;=0,"Cerrada",IF($J75&lt;Inicio!$F$3,"Alta",IF($J75-Inicio!$F$3&lt;=7,"Media","Normal"))))</f>
        <v/>
      </c>
      <c r="Z75" s="11"/>
      <c r="AA75" s="21" t="str">
        <f t="shared" si="17"/>
        <v/>
      </c>
    </row>
    <row r="76" spans="1:27" ht="21" customHeight="1" x14ac:dyDescent="0.3">
      <c r="A76" s="11"/>
      <c r="B76" s="11"/>
      <c r="C76" s="12" t="str">
        <f>IF($B76="","",IFERROR(VLOOKUP($B76,Listas!$A$3:$G$13,2,FALSE),""))</f>
        <v/>
      </c>
      <c r="D76" s="12" t="str">
        <f>IF($B76="","",IFERROR(VLOOKUP($B76,Listas!$A$3:$G$13,3,FALSE),""))</f>
        <v/>
      </c>
      <c r="E76" s="11"/>
      <c r="F76" s="13"/>
      <c r="G76" s="13"/>
      <c r="H76" s="12" t="str">
        <f>IF($B76="","",IFERROR(VLOOKUP($B76,Listas!$A$3:$G$13,4,FALSE),""))</f>
        <v/>
      </c>
      <c r="I76" s="14" t="str">
        <f>IF($H76="","",IFERROR(VLOOKUP($H76,Listas!$J$3:$K$7,2,FALSE),""))</f>
        <v/>
      </c>
      <c r="J76" s="15" t="str">
        <f t="shared" si="12"/>
        <v/>
      </c>
      <c r="K76" s="11"/>
      <c r="L76" s="16"/>
      <c r="M76" s="17"/>
      <c r="N76" s="18" t="str">
        <f t="shared" si="13"/>
        <v/>
      </c>
      <c r="O76" s="17"/>
      <c r="P76" s="18" t="str">
        <f t="shared" si="14"/>
        <v/>
      </c>
      <c r="Q76" s="16"/>
      <c r="R76" s="18" t="str">
        <f t="shared" si="15"/>
        <v/>
      </c>
      <c r="S76" s="19" t="str">
        <f>IF($A76="","",SUMIFS(Pagos!$D$8:$D$300,Pagos!$A$8:$A$300,$A76,Pagos!$F$8:$F$300,"Aplicado"))</f>
        <v/>
      </c>
      <c r="T76" s="20" t="str">
        <f t="shared" si="16"/>
        <v/>
      </c>
      <c r="U76" s="12" t="str">
        <f>IF($A76="","",IF($T76&lt;=0.005,"Pagada",IF($S76&gt;0,IF($J76&lt;Inicio!$F$3,"Parcial vencida","Pago parcial"),IF($J76&lt;Inicio!$F$3,"Vencida",IF($J76-Inicio!$F$3&lt;=7,"Próxima","Pendiente")))))</f>
        <v/>
      </c>
      <c r="V76" s="14">
        <f>IF(OR($A76="",$T76&lt;=0,$J76&gt;=Inicio!$F$3),0,Inicio!$F$3-$J76)</f>
        <v>0</v>
      </c>
      <c r="W76" s="11"/>
      <c r="X76" s="11"/>
      <c r="Y76" s="12" t="str">
        <f>IF($A76="","",IF($T76&lt;=0,"Cerrada",IF($J76&lt;Inicio!$F$3,"Alta",IF($J76-Inicio!$F$3&lt;=7,"Media","Normal"))))</f>
        <v/>
      </c>
      <c r="Z76" s="11"/>
      <c r="AA76" s="21" t="str">
        <f t="shared" si="17"/>
        <v/>
      </c>
    </row>
    <row r="77" spans="1:27" ht="21" customHeight="1" x14ac:dyDescent="0.3">
      <c r="A77" s="11"/>
      <c r="B77" s="11"/>
      <c r="C77" s="12" t="str">
        <f>IF($B77="","",IFERROR(VLOOKUP($B77,Listas!$A$3:$G$13,2,FALSE),""))</f>
        <v/>
      </c>
      <c r="D77" s="12" t="str">
        <f>IF($B77="","",IFERROR(VLOOKUP($B77,Listas!$A$3:$G$13,3,FALSE),""))</f>
        <v/>
      </c>
      <c r="E77" s="11"/>
      <c r="F77" s="13"/>
      <c r="G77" s="13"/>
      <c r="H77" s="12" t="str">
        <f>IF($B77="","",IFERROR(VLOOKUP($B77,Listas!$A$3:$G$13,4,FALSE),""))</f>
        <v/>
      </c>
      <c r="I77" s="14" t="str">
        <f>IF($H77="","",IFERROR(VLOOKUP($H77,Listas!$J$3:$K$7,2,FALSE),""))</f>
        <v/>
      </c>
      <c r="J77" s="15" t="str">
        <f t="shared" si="12"/>
        <v/>
      </c>
      <c r="K77" s="11"/>
      <c r="L77" s="16"/>
      <c r="M77" s="17"/>
      <c r="N77" s="18" t="str">
        <f t="shared" si="13"/>
        <v/>
      </c>
      <c r="O77" s="17"/>
      <c r="P77" s="18" t="str">
        <f t="shared" si="14"/>
        <v/>
      </c>
      <c r="Q77" s="16"/>
      <c r="R77" s="18" t="str">
        <f t="shared" si="15"/>
        <v/>
      </c>
      <c r="S77" s="19" t="str">
        <f>IF($A77="","",SUMIFS(Pagos!$D$8:$D$300,Pagos!$A$8:$A$300,$A77,Pagos!$F$8:$F$300,"Aplicado"))</f>
        <v/>
      </c>
      <c r="T77" s="20" t="str">
        <f t="shared" si="16"/>
        <v/>
      </c>
      <c r="U77" s="12" t="str">
        <f>IF($A77="","",IF($T77&lt;=0.005,"Pagada",IF($S77&gt;0,IF($J77&lt;Inicio!$F$3,"Parcial vencida","Pago parcial"),IF($J77&lt;Inicio!$F$3,"Vencida",IF($J77-Inicio!$F$3&lt;=7,"Próxima","Pendiente")))))</f>
        <v/>
      </c>
      <c r="V77" s="14">
        <f>IF(OR($A77="",$T77&lt;=0,$J77&gt;=Inicio!$F$3),0,Inicio!$F$3-$J77)</f>
        <v>0</v>
      </c>
      <c r="W77" s="11"/>
      <c r="X77" s="11"/>
      <c r="Y77" s="12" t="str">
        <f>IF($A77="","",IF($T77&lt;=0,"Cerrada",IF($J77&lt;Inicio!$F$3,"Alta",IF($J77-Inicio!$F$3&lt;=7,"Media","Normal"))))</f>
        <v/>
      </c>
      <c r="Z77" s="11"/>
      <c r="AA77" s="21" t="str">
        <f t="shared" si="17"/>
        <v/>
      </c>
    </row>
    <row r="78" spans="1:27" ht="21" customHeight="1" x14ac:dyDescent="0.3">
      <c r="A78" s="11"/>
      <c r="B78" s="11"/>
      <c r="C78" s="12" t="str">
        <f>IF($B78="","",IFERROR(VLOOKUP($B78,Listas!$A$3:$G$13,2,FALSE),""))</f>
        <v/>
      </c>
      <c r="D78" s="12" t="str">
        <f>IF($B78="","",IFERROR(VLOOKUP($B78,Listas!$A$3:$G$13,3,FALSE),""))</f>
        <v/>
      </c>
      <c r="E78" s="11"/>
      <c r="F78" s="13"/>
      <c r="G78" s="13"/>
      <c r="H78" s="12" t="str">
        <f>IF($B78="","",IFERROR(VLOOKUP($B78,Listas!$A$3:$G$13,4,FALSE),""))</f>
        <v/>
      </c>
      <c r="I78" s="14" t="str">
        <f>IF($H78="","",IFERROR(VLOOKUP($H78,Listas!$J$3:$K$7,2,FALSE),""))</f>
        <v/>
      </c>
      <c r="J78" s="15" t="str">
        <f t="shared" si="12"/>
        <v/>
      </c>
      <c r="K78" s="11"/>
      <c r="L78" s="16"/>
      <c r="M78" s="17"/>
      <c r="N78" s="18" t="str">
        <f t="shared" si="13"/>
        <v/>
      </c>
      <c r="O78" s="17"/>
      <c r="P78" s="18" t="str">
        <f t="shared" si="14"/>
        <v/>
      </c>
      <c r="Q78" s="16"/>
      <c r="R78" s="18" t="str">
        <f t="shared" si="15"/>
        <v/>
      </c>
      <c r="S78" s="19" t="str">
        <f>IF($A78="","",SUMIFS(Pagos!$D$8:$D$300,Pagos!$A$8:$A$300,$A78,Pagos!$F$8:$F$300,"Aplicado"))</f>
        <v/>
      </c>
      <c r="T78" s="20" t="str">
        <f t="shared" si="16"/>
        <v/>
      </c>
      <c r="U78" s="12" t="str">
        <f>IF($A78="","",IF($T78&lt;=0.005,"Pagada",IF($S78&gt;0,IF($J78&lt;Inicio!$F$3,"Parcial vencida","Pago parcial"),IF($J78&lt;Inicio!$F$3,"Vencida",IF($J78-Inicio!$F$3&lt;=7,"Próxima","Pendiente")))))</f>
        <v/>
      </c>
      <c r="V78" s="14">
        <f>IF(OR($A78="",$T78&lt;=0,$J78&gt;=Inicio!$F$3),0,Inicio!$F$3-$J78)</f>
        <v>0</v>
      </c>
      <c r="W78" s="11"/>
      <c r="X78" s="11"/>
      <c r="Y78" s="12" t="str">
        <f>IF($A78="","",IF($T78&lt;=0,"Cerrada",IF($J78&lt;Inicio!$F$3,"Alta",IF($J78-Inicio!$F$3&lt;=7,"Media","Normal"))))</f>
        <v/>
      </c>
      <c r="Z78" s="11"/>
      <c r="AA78" s="21" t="str">
        <f t="shared" si="17"/>
        <v/>
      </c>
    </row>
    <row r="79" spans="1:27" ht="21" customHeight="1" x14ac:dyDescent="0.3">
      <c r="A79" s="11"/>
      <c r="B79" s="11"/>
      <c r="C79" s="12" t="str">
        <f>IF($B79="","",IFERROR(VLOOKUP($B79,Listas!$A$3:$G$13,2,FALSE),""))</f>
        <v/>
      </c>
      <c r="D79" s="12" t="str">
        <f>IF($B79="","",IFERROR(VLOOKUP($B79,Listas!$A$3:$G$13,3,FALSE),""))</f>
        <v/>
      </c>
      <c r="E79" s="11"/>
      <c r="F79" s="13"/>
      <c r="G79" s="13"/>
      <c r="H79" s="12" t="str">
        <f>IF($B79="","",IFERROR(VLOOKUP($B79,Listas!$A$3:$G$13,4,FALSE),""))</f>
        <v/>
      </c>
      <c r="I79" s="14" t="str">
        <f>IF($H79="","",IFERROR(VLOOKUP($H79,Listas!$J$3:$K$7,2,FALSE),""))</f>
        <v/>
      </c>
      <c r="J79" s="15" t="str">
        <f t="shared" si="12"/>
        <v/>
      </c>
      <c r="K79" s="11"/>
      <c r="L79" s="16"/>
      <c r="M79" s="17"/>
      <c r="N79" s="18" t="str">
        <f t="shared" si="13"/>
        <v/>
      </c>
      <c r="O79" s="17"/>
      <c r="P79" s="18" t="str">
        <f t="shared" si="14"/>
        <v/>
      </c>
      <c r="Q79" s="16"/>
      <c r="R79" s="18" t="str">
        <f t="shared" si="15"/>
        <v/>
      </c>
      <c r="S79" s="19" t="str">
        <f>IF($A79="","",SUMIFS(Pagos!$D$8:$D$300,Pagos!$A$8:$A$300,$A79,Pagos!$F$8:$F$300,"Aplicado"))</f>
        <v/>
      </c>
      <c r="T79" s="20" t="str">
        <f t="shared" si="16"/>
        <v/>
      </c>
      <c r="U79" s="12" t="str">
        <f>IF($A79="","",IF($T79&lt;=0.005,"Pagada",IF($S79&gt;0,IF($J79&lt;Inicio!$F$3,"Parcial vencida","Pago parcial"),IF($J79&lt;Inicio!$F$3,"Vencida",IF($J79-Inicio!$F$3&lt;=7,"Próxima","Pendiente")))))</f>
        <v/>
      </c>
      <c r="V79" s="14">
        <f>IF(OR($A79="",$T79&lt;=0,$J79&gt;=Inicio!$F$3),0,Inicio!$F$3-$J79)</f>
        <v>0</v>
      </c>
      <c r="W79" s="11"/>
      <c r="X79" s="11"/>
      <c r="Y79" s="12" t="str">
        <f>IF($A79="","",IF($T79&lt;=0,"Cerrada",IF($J79&lt;Inicio!$F$3,"Alta",IF($J79-Inicio!$F$3&lt;=7,"Media","Normal"))))</f>
        <v/>
      </c>
      <c r="Z79" s="11"/>
      <c r="AA79" s="21" t="str">
        <f t="shared" si="17"/>
        <v/>
      </c>
    </row>
    <row r="80" spans="1:27" ht="21" customHeight="1" x14ac:dyDescent="0.3">
      <c r="A80" s="11"/>
      <c r="B80" s="11"/>
      <c r="C80" s="12" t="str">
        <f>IF($B80="","",IFERROR(VLOOKUP($B80,Listas!$A$3:$G$13,2,FALSE),""))</f>
        <v/>
      </c>
      <c r="D80" s="12" t="str">
        <f>IF($B80="","",IFERROR(VLOOKUP($B80,Listas!$A$3:$G$13,3,FALSE),""))</f>
        <v/>
      </c>
      <c r="E80" s="11"/>
      <c r="F80" s="13"/>
      <c r="G80" s="13"/>
      <c r="H80" s="12" t="str">
        <f>IF($B80="","",IFERROR(VLOOKUP($B80,Listas!$A$3:$G$13,4,FALSE),""))</f>
        <v/>
      </c>
      <c r="I80" s="14" t="str">
        <f>IF($H80="","",IFERROR(VLOOKUP($H80,Listas!$J$3:$K$7,2,FALSE),""))</f>
        <v/>
      </c>
      <c r="J80" s="15" t="str">
        <f t="shared" si="12"/>
        <v/>
      </c>
      <c r="K80" s="11"/>
      <c r="L80" s="16"/>
      <c r="M80" s="17"/>
      <c r="N80" s="18" t="str">
        <f t="shared" si="13"/>
        <v/>
      </c>
      <c r="O80" s="17"/>
      <c r="P80" s="18" t="str">
        <f t="shared" si="14"/>
        <v/>
      </c>
      <c r="Q80" s="16"/>
      <c r="R80" s="18" t="str">
        <f t="shared" si="15"/>
        <v/>
      </c>
      <c r="S80" s="19" t="str">
        <f>IF($A80="","",SUMIFS(Pagos!$D$8:$D$300,Pagos!$A$8:$A$300,$A80,Pagos!$F$8:$F$300,"Aplicado"))</f>
        <v/>
      </c>
      <c r="T80" s="20" t="str">
        <f t="shared" si="16"/>
        <v/>
      </c>
      <c r="U80" s="12" t="str">
        <f>IF($A80="","",IF($T80&lt;=0.005,"Pagada",IF($S80&gt;0,IF($J80&lt;Inicio!$F$3,"Parcial vencida","Pago parcial"),IF($J80&lt;Inicio!$F$3,"Vencida",IF($J80-Inicio!$F$3&lt;=7,"Próxima","Pendiente")))))</f>
        <v/>
      </c>
      <c r="V80" s="14">
        <f>IF(OR($A80="",$T80&lt;=0,$J80&gt;=Inicio!$F$3),0,Inicio!$F$3-$J80)</f>
        <v>0</v>
      </c>
      <c r="W80" s="11"/>
      <c r="X80" s="11"/>
      <c r="Y80" s="12" t="str">
        <f>IF($A80="","",IF($T80&lt;=0,"Cerrada",IF($J80&lt;Inicio!$F$3,"Alta",IF($J80-Inicio!$F$3&lt;=7,"Media","Normal"))))</f>
        <v/>
      </c>
      <c r="Z80" s="11"/>
      <c r="AA80" s="21" t="str">
        <f t="shared" si="17"/>
        <v/>
      </c>
    </row>
    <row r="81" spans="1:27" ht="21" customHeight="1" x14ac:dyDescent="0.3">
      <c r="A81" s="11"/>
      <c r="B81" s="11"/>
      <c r="C81" s="12" t="str">
        <f>IF($B81="","",IFERROR(VLOOKUP($B81,Listas!$A$3:$G$13,2,FALSE),""))</f>
        <v/>
      </c>
      <c r="D81" s="12" t="str">
        <f>IF($B81="","",IFERROR(VLOOKUP($B81,Listas!$A$3:$G$13,3,FALSE),""))</f>
        <v/>
      </c>
      <c r="E81" s="11"/>
      <c r="F81" s="13"/>
      <c r="G81" s="13"/>
      <c r="H81" s="12" t="str">
        <f>IF($B81="","",IFERROR(VLOOKUP($B81,Listas!$A$3:$G$13,4,FALSE),""))</f>
        <v/>
      </c>
      <c r="I81" s="14" t="str">
        <f>IF($H81="","",IFERROR(VLOOKUP($H81,Listas!$J$3:$K$7,2,FALSE),""))</f>
        <v/>
      </c>
      <c r="J81" s="15" t="str">
        <f t="shared" si="12"/>
        <v/>
      </c>
      <c r="K81" s="11"/>
      <c r="L81" s="16"/>
      <c r="M81" s="17"/>
      <c r="N81" s="18" t="str">
        <f t="shared" si="13"/>
        <v/>
      </c>
      <c r="O81" s="17"/>
      <c r="P81" s="18" t="str">
        <f t="shared" si="14"/>
        <v/>
      </c>
      <c r="Q81" s="16"/>
      <c r="R81" s="18" t="str">
        <f t="shared" si="15"/>
        <v/>
      </c>
      <c r="S81" s="19" t="str">
        <f>IF($A81="","",SUMIFS(Pagos!$D$8:$D$300,Pagos!$A$8:$A$300,$A81,Pagos!$F$8:$F$300,"Aplicado"))</f>
        <v/>
      </c>
      <c r="T81" s="20" t="str">
        <f t="shared" si="16"/>
        <v/>
      </c>
      <c r="U81" s="12" t="str">
        <f>IF($A81="","",IF($T81&lt;=0.005,"Pagada",IF($S81&gt;0,IF($J81&lt;Inicio!$F$3,"Parcial vencida","Pago parcial"),IF($J81&lt;Inicio!$F$3,"Vencida",IF($J81-Inicio!$F$3&lt;=7,"Próxima","Pendiente")))))</f>
        <v/>
      </c>
      <c r="V81" s="14">
        <f>IF(OR($A81="",$T81&lt;=0,$J81&gt;=Inicio!$F$3),0,Inicio!$F$3-$J81)</f>
        <v>0</v>
      </c>
      <c r="W81" s="11"/>
      <c r="X81" s="11"/>
      <c r="Y81" s="12" t="str">
        <f>IF($A81="","",IF($T81&lt;=0,"Cerrada",IF($J81&lt;Inicio!$F$3,"Alta",IF($J81-Inicio!$F$3&lt;=7,"Media","Normal"))))</f>
        <v/>
      </c>
      <c r="Z81" s="11"/>
      <c r="AA81" s="21" t="str">
        <f t="shared" si="17"/>
        <v/>
      </c>
    </row>
    <row r="82" spans="1:27" ht="21" customHeight="1" x14ac:dyDescent="0.3">
      <c r="A82" s="11"/>
      <c r="B82" s="11"/>
      <c r="C82" s="12" t="str">
        <f>IF($B82="","",IFERROR(VLOOKUP($B82,Listas!$A$3:$G$13,2,FALSE),""))</f>
        <v/>
      </c>
      <c r="D82" s="12" t="str">
        <f>IF($B82="","",IFERROR(VLOOKUP($B82,Listas!$A$3:$G$13,3,FALSE),""))</f>
        <v/>
      </c>
      <c r="E82" s="11"/>
      <c r="F82" s="13"/>
      <c r="G82" s="13"/>
      <c r="H82" s="12" t="str">
        <f>IF($B82="","",IFERROR(VLOOKUP($B82,Listas!$A$3:$G$13,4,FALSE),""))</f>
        <v/>
      </c>
      <c r="I82" s="14" t="str">
        <f>IF($H82="","",IFERROR(VLOOKUP($H82,Listas!$J$3:$K$7,2,FALSE),""))</f>
        <v/>
      </c>
      <c r="J82" s="15" t="str">
        <f t="shared" si="12"/>
        <v/>
      </c>
      <c r="K82" s="11"/>
      <c r="L82" s="16"/>
      <c r="M82" s="17"/>
      <c r="N82" s="18" t="str">
        <f t="shared" si="13"/>
        <v/>
      </c>
      <c r="O82" s="17"/>
      <c r="P82" s="18" t="str">
        <f t="shared" si="14"/>
        <v/>
      </c>
      <c r="Q82" s="16"/>
      <c r="R82" s="18" t="str">
        <f t="shared" si="15"/>
        <v/>
      </c>
      <c r="S82" s="19" t="str">
        <f>IF($A82="","",SUMIFS(Pagos!$D$8:$D$300,Pagos!$A$8:$A$300,$A82,Pagos!$F$8:$F$300,"Aplicado"))</f>
        <v/>
      </c>
      <c r="T82" s="20" t="str">
        <f t="shared" si="16"/>
        <v/>
      </c>
      <c r="U82" s="12" t="str">
        <f>IF($A82="","",IF($T82&lt;=0.005,"Pagada",IF($S82&gt;0,IF($J82&lt;Inicio!$F$3,"Parcial vencida","Pago parcial"),IF($J82&lt;Inicio!$F$3,"Vencida",IF($J82-Inicio!$F$3&lt;=7,"Próxima","Pendiente")))))</f>
        <v/>
      </c>
      <c r="V82" s="14">
        <f>IF(OR($A82="",$T82&lt;=0,$J82&gt;=Inicio!$F$3),0,Inicio!$F$3-$J82)</f>
        <v>0</v>
      </c>
      <c r="W82" s="11"/>
      <c r="X82" s="11"/>
      <c r="Y82" s="12" t="str">
        <f>IF($A82="","",IF($T82&lt;=0,"Cerrada",IF($J82&lt;Inicio!$F$3,"Alta",IF($J82-Inicio!$F$3&lt;=7,"Media","Normal"))))</f>
        <v/>
      </c>
      <c r="Z82" s="11"/>
      <c r="AA82" s="21" t="str">
        <f t="shared" si="17"/>
        <v/>
      </c>
    </row>
    <row r="83" spans="1:27" ht="21" customHeight="1" x14ac:dyDescent="0.3">
      <c r="A83" s="11"/>
      <c r="B83" s="11"/>
      <c r="C83" s="12" t="str">
        <f>IF($B83="","",IFERROR(VLOOKUP($B83,Listas!$A$3:$G$13,2,FALSE),""))</f>
        <v/>
      </c>
      <c r="D83" s="12" t="str">
        <f>IF($B83="","",IFERROR(VLOOKUP($B83,Listas!$A$3:$G$13,3,FALSE),""))</f>
        <v/>
      </c>
      <c r="E83" s="11"/>
      <c r="F83" s="13"/>
      <c r="G83" s="13"/>
      <c r="H83" s="12" t="str">
        <f>IF($B83="","",IFERROR(VLOOKUP($B83,Listas!$A$3:$G$13,4,FALSE),""))</f>
        <v/>
      </c>
      <c r="I83" s="14" t="str">
        <f>IF($H83="","",IFERROR(VLOOKUP($H83,Listas!$J$3:$K$7,2,FALSE),""))</f>
        <v/>
      </c>
      <c r="J83" s="15" t="str">
        <f t="shared" si="12"/>
        <v/>
      </c>
      <c r="K83" s="11"/>
      <c r="L83" s="16"/>
      <c r="M83" s="17"/>
      <c r="N83" s="18" t="str">
        <f t="shared" si="13"/>
        <v/>
      </c>
      <c r="O83" s="17"/>
      <c r="P83" s="18" t="str">
        <f t="shared" si="14"/>
        <v/>
      </c>
      <c r="Q83" s="16"/>
      <c r="R83" s="18" t="str">
        <f t="shared" si="15"/>
        <v/>
      </c>
      <c r="S83" s="19" t="str">
        <f>IF($A83="","",SUMIFS(Pagos!$D$8:$D$300,Pagos!$A$8:$A$300,$A83,Pagos!$F$8:$F$300,"Aplicado"))</f>
        <v/>
      </c>
      <c r="T83" s="20" t="str">
        <f t="shared" si="16"/>
        <v/>
      </c>
      <c r="U83" s="12" t="str">
        <f>IF($A83="","",IF($T83&lt;=0.005,"Pagada",IF($S83&gt;0,IF($J83&lt;Inicio!$F$3,"Parcial vencida","Pago parcial"),IF($J83&lt;Inicio!$F$3,"Vencida",IF($J83-Inicio!$F$3&lt;=7,"Próxima","Pendiente")))))</f>
        <v/>
      </c>
      <c r="V83" s="14">
        <f>IF(OR($A83="",$T83&lt;=0,$J83&gt;=Inicio!$F$3),0,Inicio!$F$3-$J83)</f>
        <v>0</v>
      </c>
      <c r="W83" s="11"/>
      <c r="X83" s="11"/>
      <c r="Y83" s="12" t="str">
        <f>IF($A83="","",IF($T83&lt;=0,"Cerrada",IF($J83&lt;Inicio!$F$3,"Alta",IF($J83-Inicio!$F$3&lt;=7,"Media","Normal"))))</f>
        <v/>
      </c>
      <c r="Z83" s="11"/>
      <c r="AA83" s="21" t="str">
        <f t="shared" si="17"/>
        <v/>
      </c>
    </row>
    <row r="84" spans="1:27" ht="21" customHeight="1" x14ac:dyDescent="0.3">
      <c r="A84" s="11"/>
      <c r="B84" s="11"/>
      <c r="C84" s="12" t="str">
        <f>IF($B84="","",IFERROR(VLOOKUP($B84,Listas!$A$3:$G$13,2,FALSE),""))</f>
        <v/>
      </c>
      <c r="D84" s="12" t="str">
        <f>IF($B84="","",IFERROR(VLOOKUP($B84,Listas!$A$3:$G$13,3,FALSE),""))</f>
        <v/>
      </c>
      <c r="E84" s="11"/>
      <c r="F84" s="13"/>
      <c r="G84" s="13"/>
      <c r="H84" s="12" t="str">
        <f>IF($B84="","",IFERROR(VLOOKUP($B84,Listas!$A$3:$G$13,4,FALSE),""))</f>
        <v/>
      </c>
      <c r="I84" s="14" t="str">
        <f>IF($H84="","",IFERROR(VLOOKUP($H84,Listas!$J$3:$K$7,2,FALSE),""))</f>
        <v/>
      </c>
      <c r="J84" s="15" t="str">
        <f t="shared" si="12"/>
        <v/>
      </c>
      <c r="K84" s="11"/>
      <c r="L84" s="16"/>
      <c r="M84" s="17"/>
      <c r="N84" s="18" t="str">
        <f t="shared" si="13"/>
        <v/>
      </c>
      <c r="O84" s="17"/>
      <c r="P84" s="18" t="str">
        <f t="shared" si="14"/>
        <v/>
      </c>
      <c r="Q84" s="16"/>
      <c r="R84" s="18" t="str">
        <f t="shared" si="15"/>
        <v/>
      </c>
      <c r="S84" s="19" t="str">
        <f>IF($A84="","",SUMIFS(Pagos!$D$8:$D$300,Pagos!$A$8:$A$300,$A84,Pagos!$F$8:$F$300,"Aplicado"))</f>
        <v/>
      </c>
      <c r="T84" s="20" t="str">
        <f t="shared" si="16"/>
        <v/>
      </c>
      <c r="U84" s="12" t="str">
        <f>IF($A84="","",IF($T84&lt;=0.005,"Pagada",IF($S84&gt;0,IF($J84&lt;Inicio!$F$3,"Parcial vencida","Pago parcial"),IF($J84&lt;Inicio!$F$3,"Vencida",IF($J84-Inicio!$F$3&lt;=7,"Próxima","Pendiente")))))</f>
        <v/>
      </c>
      <c r="V84" s="14">
        <f>IF(OR($A84="",$T84&lt;=0,$J84&gt;=Inicio!$F$3),0,Inicio!$F$3-$J84)</f>
        <v>0</v>
      </c>
      <c r="W84" s="11"/>
      <c r="X84" s="11"/>
      <c r="Y84" s="12" t="str">
        <f>IF($A84="","",IF($T84&lt;=0,"Cerrada",IF($J84&lt;Inicio!$F$3,"Alta",IF($J84-Inicio!$F$3&lt;=7,"Media","Normal"))))</f>
        <v/>
      </c>
      <c r="Z84" s="11"/>
      <c r="AA84" s="21" t="str">
        <f t="shared" si="17"/>
        <v/>
      </c>
    </row>
    <row r="85" spans="1:27" ht="21" customHeight="1" x14ac:dyDescent="0.3">
      <c r="A85" s="11"/>
      <c r="B85" s="11"/>
      <c r="C85" s="12" t="str">
        <f>IF($B85="","",IFERROR(VLOOKUP($B85,Listas!$A$3:$G$13,2,FALSE),""))</f>
        <v/>
      </c>
      <c r="D85" s="12" t="str">
        <f>IF($B85="","",IFERROR(VLOOKUP($B85,Listas!$A$3:$G$13,3,FALSE),""))</f>
        <v/>
      </c>
      <c r="E85" s="11"/>
      <c r="F85" s="13"/>
      <c r="G85" s="13"/>
      <c r="H85" s="12" t="str">
        <f>IF($B85="","",IFERROR(VLOOKUP($B85,Listas!$A$3:$G$13,4,FALSE),""))</f>
        <v/>
      </c>
      <c r="I85" s="14" t="str">
        <f>IF($H85="","",IFERROR(VLOOKUP($H85,Listas!$J$3:$K$7,2,FALSE),""))</f>
        <v/>
      </c>
      <c r="J85" s="15" t="str">
        <f t="shared" si="12"/>
        <v/>
      </c>
      <c r="K85" s="11"/>
      <c r="L85" s="16"/>
      <c r="M85" s="17"/>
      <c r="N85" s="18" t="str">
        <f t="shared" si="13"/>
        <v/>
      </c>
      <c r="O85" s="17"/>
      <c r="P85" s="18" t="str">
        <f t="shared" si="14"/>
        <v/>
      </c>
      <c r="Q85" s="16"/>
      <c r="R85" s="18" t="str">
        <f t="shared" si="15"/>
        <v/>
      </c>
      <c r="S85" s="19" t="str">
        <f>IF($A85="","",SUMIFS(Pagos!$D$8:$D$300,Pagos!$A$8:$A$300,$A85,Pagos!$F$8:$F$300,"Aplicado"))</f>
        <v/>
      </c>
      <c r="T85" s="20" t="str">
        <f t="shared" si="16"/>
        <v/>
      </c>
      <c r="U85" s="12" t="str">
        <f>IF($A85="","",IF($T85&lt;=0.005,"Pagada",IF($S85&gt;0,IF($J85&lt;Inicio!$F$3,"Parcial vencida","Pago parcial"),IF($J85&lt;Inicio!$F$3,"Vencida",IF($J85-Inicio!$F$3&lt;=7,"Próxima","Pendiente")))))</f>
        <v/>
      </c>
      <c r="V85" s="14">
        <f>IF(OR($A85="",$T85&lt;=0,$J85&gt;=Inicio!$F$3),0,Inicio!$F$3-$J85)</f>
        <v>0</v>
      </c>
      <c r="W85" s="11"/>
      <c r="X85" s="11"/>
      <c r="Y85" s="12" t="str">
        <f>IF($A85="","",IF($T85&lt;=0,"Cerrada",IF($J85&lt;Inicio!$F$3,"Alta",IF($J85-Inicio!$F$3&lt;=7,"Media","Normal"))))</f>
        <v/>
      </c>
      <c r="Z85" s="11"/>
      <c r="AA85" s="21" t="str">
        <f t="shared" si="17"/>
        <v/>
      </c>
    </row>
    <row r="86" spans="1:27" ht="21" customHeight="1" x14ac:dyDescent="0.3">
      <c r="A86" s="11"/>
      <c r="B86" s="11"/>
      <c r="C86" s="12" t="str">
        <f>IF($B86="","",IFERROR(VLOOKUP($B86,Listas!$A$3:$G$13,2,FALSE),""))</f>
        <v/>
      </c>
      <c r="D86" s="12" t="str">
        <f>IF($B86="","",IFERROR(VLOOKUP($B86,Listas!$A$3:$G$13,3,FALSE),""))</f>
        <v/>
      </c>
      <c r="E86" s="11"/>
      <c r="F86" s="13"/>
      <c r="G86" s="13"/>
      <c r="H86" s="12" t="str">
        <f>IF($B86="","",IFERROR(VLOOKUP($B86,Listas!$A$3:$G$13,4,FALSE),""))</f>
        <v/>
      </c>
      <c r="I86" s="14" t="str">
        <f>IF($H86="","",IFERROR(VLOOKUP($H86,Listas!$J$3:$K$7,2,FALSE),""))</f>
        <v/>
      </c>
      <c r="J86" s="15" t="str">
        <f t="shared" si="12"/>
        <v/>
      </c>
      <c r="K86" s="11"/>
      <c r="L86" s="16"/>
      <c r="M86" s="17"/>
      <c r="N86" s="18" t="str">
        <f t="shared" si="13"/>
        <v/>
      </c>
      <c r="O86" s="17"/>
      <c r="P86" s="18" t="str">
        <f t="shared" si="14"/>
        <v/>
      </c>
      <c r="Q86" s="16"/>
      <c r="R86" s="18" t="str">
        <f t="shared" si="15"/>
        <v/>
      </c>
      <c r="S86" s="19" t="str">
        <f>IF($A86="","",SUMIFS(Pagos!$D$8:$D$300,Pagos!$A$8:$A$300,$A86,Pagos!$F$8:$F$300,"Aplicado"))</f>
        <v/>
      </c>
      <c r="T86" s="20" t="str">
        <f t="shared" si="16"/>
        <v/>
      </c>
      <c r="U86" s="12" t="str">
        <f>IF($A86="","",IF($T86&lt;=0.005,"Pagada",IF($S86&gt;0,IF($J86&lt;Inicio!$F$3,"Parcial vencida","Pago parcial"),IF($J86&lt;Inicio!$F$3,"Vencida",IF($J86-Inicio!$F$3&lt;=7,"Próxima","Pendiente")))))</f>
        <v/>
      </c>
      <c r="V86" s="14">
        <f>IF(OR($A86="",$T86&lt;=0,$J86&gt;=Inicio!$F$3),0,Inicio!$F$3-$J86)</f>
        <v>0</v>
      </c>
      <c r="W86" s="11"/>
      <c r="X86" s="11"/>
      <c r="Y86" s="12" t="str">
        <f>IF($A86="","",IF($T86&lt;=0,"Cerrada",IF($J86&lt;Inicio!$F$3,"Alta",IF($J86-Inicio!$F$3&lt;=7,"Media","Normal"))))</f>
        <v/>
      </c>
      <c r="Z86" s="11"/>
      <c r="AA86" s="21" t="str">
        <f t="shared" si="17"/>
        <v/>
      </c>
    </row>
    <row r="87" spans="1:27" ht="21" customHeight="1" x14ac:dyDescent="0.3">
      <c r="A87" s="11"/>
      <c r="B87" s="11"/>
      <c r="C87" s="12" t="str">
        <f>IF($B87="","",IFERROR(VLOOKUP($B87,Listas!$A$3:$G$13,2,FALSE),""))</f>
        <v/>
      </c>
      <c r="D87" s="12" t="str">
        <f>IF($B87="","",IFERROR(VLOOKUP($B87,Listas!$A$3:$G$13,3,FALSE),""))</f>
        <v/>
      </c>
      <c r="E87" s="11"/>
      <c r="F87" s="13"/>
      <c r="G87" s="13"/>
      <c r="H87" s="12" t="str">
        <f>IF($B87="","",IFERROR(VLOOKUP($B87,Listas!$A$3:$G$13,4,FALSE),""))</f>
        <v/>
      </c>
      <c r="I87" s="14" t="str">
        <f>IF($H87="","",IFERROR(VLOOKUP($H87,Listas!$J$3:$K$7,2,FALSE),""))</f>
        <v/>
      </c>
      <c r="J87" s="15" t="str">
        <f t="shared" si="12"/>
        <v/>
      </c>
      <c r="K87" s="11"/>
      <c r="L87" s="16"/>
      <c r="M87" s="17"/>
      <c r="N87" s="18" t="str">
        <f t="shared" si="13"/>
        <v/>
      </c>
      <c r="O87" s="17"/>
      <c r="P87" s="18" t="str">
        <f t="shared" si="14"/>
        <v/>
      </c>
      <c r="Q87" s="16"/>
      <c r="R87" s="18" t="str">
        <f t="shared" si="15"/>
        <v/>
      </c>
      <c r="S87" s="19" t="str">
        <f>IF($A87="","",SUMIFS(Pagos!$D$8:$D$300,Pagos!$A$8:$A$300,$A87,Pagos!$F$8:$F$300,"Aplicado"))</f>
        <v/>
      </c>
      <c r="T87" s="20" t="str">
        <f t="shared" si="16"/>
        <v/>
      </c>
      <c r="U87" s="12" t="str">
        <f>IF($A87="","",IF($T87&lt;=0.005,"Pagada",IF($S87&gt;0,IF($J87&lt;Inicio!$F$3,"Parcial vencida","Pago parcial"),IF($J87&lt;Inicio!$F$3,"Vencida",IF($J87-Inicio!$F$3&lt;=7,"Próxima","Pendiente")))))</f>
        <v/>
      </c>
      <c r="V87" s="14">
        <f>IF(OR($A87="",$T87&lt;=0,$J87&gt;=Inicio!$F$3),0,Inicio!$F$3-$J87)</f>
        <v>0</v>
      </c>
      <c r="W87" s="11"/>
      <c r="X87" s="11"/>
      <c r="Y87" s="12" t="str">
        <f>IF($A87="","",IF($T87&lt;=0,"Cerrada",IF($J87&lt;Inicio!$F$3,"Alta",IF($J87-Inicio!$F$3&lt;=7,"Media","Normal"))))</f>
        <v/>
      </c>
      <c r="Z87" s="11"/>
      <c r="AA87" s="21" t="str">
        <f t="shared" si="17"/>
        <v/>
      </c>
    </row>
    <row r="88" spans="1:27" ht="21" customHeight="1" x14ac:dyDescent="0.3">
      <c r="A88" s="11"/>
      <c r="B88" s="11"/>
      <c r="C88" s="12" t="str">
        <f>IF($B88="","",IFERROR(VLOOKUP($B88,Listas!$A$3:$G$13,2,FALSE),""))</f>
        <v/>
      </c>
      <c r="D88" s="12" t="str">
        <f>IF($B88="","",IFERROR(VLOOKUP($B88,Listas!$A$3:$G$13,3,FALSE),""))</f>
        <v/>
      </c>
      <c r="E88" s="11"/>
      <c r="F88" s="13"/>
      <c r="G88" s="13"/>
      <c r="H88" s="12" t="str">
        <f>IF($B88="","",IFERROR(VLOOKUP($B88,Listas!$A$3:$G$13,4,FALSE),""))</f>
        <v/>
      </c>
      <c r="I88" s="14" t="str">
        <f>IF($H88="","",IFERROR(VLOOKUP($H88,Listas!$J$3:$K$7,2,FALSE),""))</f>
        <v/>
      </c>
      <c r="J88" s="15" t="str">
        <f t="shared" si="12"/>
        <v/>
      </c>
      <c r="K88" s="11"/>
      <c r="L88" s="16"/>
      <c r="M88" s="17"/>
      <c r="N88" s="18" t="str">
        <f t="shared" si="13"/>
        <v/>
      </c>
      <c r="O88" s="17"/>
      <c r="P88" s="18" t="str">
        <f t="shared" si="14"/>
        <v/>
      </c>
      <c r="Q88" s="16"/>
      <c r="R88" s="18" t="str">
        <f t="shared" si="15"/>
        <v/>
      </c>
      <c r="S88" s="19" t="str">
        <f>IF($A88="","",SUMIFS(Pagos!$D$8:$D$300,Pagos!$A$8:$A$300,$A88,Pagos!$F$8:$F$300,"Aplicado"))</f>
        <v/>
      </c>
      <c r="T88" s="20" t="str">
        <f t="shared" si="16"/>
        <v/>
      </c>
      <c r="U88" s="12" t="str">
        <f>IF($A88="","",IF($T88&lt;=0.005,"Pagada",IF($S88&gt;0,IF($J88&lt;Inicio!$F$3,"Parcial vencida","Pago parcial"),IF($J88&lt;Inicio!$F$3,"Vencida",IF($J88-Inicio!$F$3&lt;=7,"Próxima","Pendiente")))))</f>
        <v/>
      </c>
      <c r="V88" s="14">
        <f>IF(OR($A88="",$T88&lt;=0,$J88&gt;=Inicio!$F$3),0,Inicio!$F$3-$J88)</f>
        <v>0</v>
      </c>
      <c r="W88" s="11"/>
      <c r="X88" s="11"/>
      <c r="Y88" s="12" t="str">
        <f>IF($A88="","",IF($T88&lt;=0,"Cerrada",IF($J88&lt;Inicio!$F$3,"Alta",IF($J88-Inicio!$F$3&lt;=7,"Media","Normal"))))</f>
        <v/>
      </c>
      <c r="Z88" s="11"/>
      <c r="AA88" s="21" t="str">
        <f t="shared" si="17"/>
        <v/>
      </c>
    </row>
    <row r="89" spans="1:27" ht="21" customHeight="1" x14ac:dyDescent="0.3">
      <c r="A89" s="11"/>
      <c r="B89" s="11"/>
      <c r="C89" s="12" t="str">
        <f>IF($B89="","",IFERROR(VLOOKUP($B89,Listas!$A$3:$G$13,2,FALSE),""))</f>
        <v/>
      </c>
      <c r="D89" s="12" t="str">
        <f>IF($B89="","",IFERROR(VLOOKUP($B89,Listas!$A$3:$G$13,3,FALSE),""))</f>
        <v/>
      </c>
      <c r="E89" s="11"/>
      <c r="F89" s="13"/>
      <c r="G89" s="13"/>
      <c r="H89" s="12" t="str">
        <f>IF($B89="","",IFERROR(VLOOKUP($B89,Listas!$A$3:$G$13,4,FALSE),""))</f>
        <v/>
      </c>
      <c r="I89" s="14" t="str">
        <f>IF($H89="","",IFERROR(VLOOKUP($H89,Listas!$J$3:$K$7,2,FALSE),""))</f>
        <v/>
      </c>
      <c r="J89" s="15" t="str">
        <f t="shared" si="12"/>
        <v/>
      </c>
      <c r="K89" s="11"/>
      <c r="L89" s="16"/>
      <c r="M89" s="17"/>
      <c r="N89" s="18" t="str">
        <f t="shared" si="13"/>
        <v/>
      </c>
      <c r="O89" s="17"/>
      <c r="P89" s="18" t="str">
        <f t="shared" si="14"/>
        <v/>
      </c>
      <c r="Q89" s="16"/>
      <c r="R89" s="18" t="str">
        <f t="shared" si="15"/>
        <v/>
      </c>
      <c r="S89" s="19" t="str">
        <f>IF($A89="","",SUMIFS(Pagos!$D$8:$D$300,Pagos!$A$8:$A$300,$A89,Pagos!$F$8:$F$300,"Aplicado"))</f>
        <v/>
      </c>
      <c r="T89" s="20" t="str">
        <f t="shared" si="16"/>
        <v/>
      </c>
      <c r="U89" s="12" t="str">
        <f>IF($A89="","",IF($T89&lt;=0.005,"Pagada",IF($S89&gt;0,IF($J89&lt;Inicio!$F$3,"Parcial vencida","Pago parcial"),IF($J89&lt;Inicio!$F$3,"Vencida",IF($J89-Inicio!$F$3&lt;=7,"Próxima","Pendiente")))))</f>
        <v/>
      </c>
      <c r="V89" s="14">
        <f>IF(OR($A89="",$T89&lt;=0,$J89&gt;=Inicio!$F$3),0,Inicio!$F$3-$J89)</f>
        <v>0</v>
      </c>
      <c r="W89" s="11"/>
      <c r="X89" s="11"/>
      <c r="Y89" s="12" t="str">
        <f>IF($A89="","",IF($T89&lt;=0,"Cerrada",IF($J89&lt;Inicio!$F$3,"Alta",IF($J89-Inicio!$F$3&lt;=7,"Media","Normal"))))</f>
        <v/>
      </c>
      <c r="Z89" s="11"/>
      <c r="AA89" s="21" t="str">
        <f t="shared" si="17"/>
        <v/>
      </c>
    </row>
    <row r="90" spans="1:27" ht="21" customHeight="1" x14ac:dyDescent="0.3">
      <c r="A90" s="11"/>
      <c r="B90" s="11"/>
      <c r="C90" s="12" t="str">
        <f>IF($B90="","",IFERROR(VLOOKUP($B90,Listas!$A$3:$G$13,2,FALSE),""))</f>
        <v/>
      </c>
      <c r="D90" s="12" t="str">
        <f>IF($B90="","",IFERROR(VLOOKUP($B90,Listas!$A$3:$G$13,3,FALSE),""))</f>
        <v/>
      </c>
      <c r="E90" s="11"/>
      <c r="F90" s="13"/>
      <c r="G90" s="13"/>
      <c r="H90" s="12" t="str">
        <f>IF($B90="","",IFERROR(VLOOKUP($B90,Listas!$A$3:$G$13,4,FALSE),""))</f>
        <v/>
      </c>
      <c r="I90" s="14" t="str">
        <f>IF($H90="","",IFERROR(VLOOKUP($H90,Listas!$J$3:$K$7,2,FALSE),""))</f>
        <v/>
      </c>
      <c r="J90" s="15" t="str">
        <f t="shared" si="12"/>
        <v/>
      </c>
      <c r="K90" s="11"/>
      <c r="L90" s="16"/>
      <c r="M90" s="17"/>
      <c r="N90" s="18" t="str">
        <f t="shared" si="13"/>
        <v/>
      </c>
      <c r="O90" s="17"/>
      <c r="P90" s="18" t="str">
        <f t="shared" si="14"/>
        <v/>
      </c>
      <c r="Q90" s="16"/>
      <c r="R90" s="18" t="str">
        <f t="shared" si="15"/>
        <v/>
      </c>
      <c r="S90" s="19" t="str">
        <f>IF($A90="","",SUMIFS(Pagos!$D$8:$D$300,Pagos!$A$8:$A$300,$A90,Pagos!$F$8:$F$300,"Aplicado"))</f>
        <v/>
      </c>
      <c r="T90" s="20" t="str">
        <f t="shared" si="16"/>
        <v/>
      </c>
      <c r="U90" s="12" t="str">
        <f>IF($A90="","",IF($T90&lt;=0.005,"Pagada",IF($S90&gt;0,IF($J90&lt;Inicio!$F$3,"Parcial vencida","Pago parcial"),IF($J90&lt;Inicio!$F$3,"Vencida",IF($J90-Inicio!$F$3&lt;=7,"Próxima","Pendiente")))))</f>
        <v/>
      </c>
      <c r="V90" s="14">
        <f>IF(OR($A90="",$T90&lt;=0,$J90&gt;=Inicio!$F$3),0,Inicio!$F$3-$J90)</f>
        <v>0</v>
      </c>
      <c r="W90" s="11"/>
      <c r="X90" s="11"/>
      <c r="Y90" s="12" t="str">
        <f>IF($A90="","",IF($T90&lt;=0,"Cerrada",IF($J90&lt;Inicio!$F$3,"Alta",IF($J90-Inicio!$F$3&lt;=7,"Media","Normal"))))</f>
        <v/>
      </c>
      <c r="Z90" s="11"/>
      <c r="AA90" s="21" t="str">
        <f t="shared" si="17"/>
        <v/>
      </c>
    </row>
    <row r="91" spans="1:27" ht="21" customHeight="1" x14ac:dyDescent="0.3">
      <c r="A91" s="11"/>
      <c r="B91" s="11"/>
      <c r="C91" s="12" t="str">
        <f>IF($B91="","",IFERROR(VLOOKUP($B91,Listas!$A$3:$G$13,2,FALSE),""))</f>
        <v/>
      </c>
      <c r="D91" s="12" t="str">
        <f>IF($B91="","",IFERROR(VLOOKUP($B91,Listas!$A$3:$G$13,3,FALSE),""))</f>
        <v/>
      </c>
      <c r="E91" s="11"/>
      <c r="F91" s="13"/>
      <c r="G91" s="13"/>
      <c r="H91" s="12" t="str">
        <f>IF($B91="","",IFERROR(VLOOKUP($B91,Listas!$A$3:$G$13,4,FALSE),""))</f>
        <v/>
      </c>
      <c r="I91" s="14" t="str">
        <f>IF($H91="","",IFERROR(VLOOKUP($H91,Listas!$J$3:$K$7,2,FALSE),""))</f>
        <v/>
      </c>
      <c r="J91" s="15" t="str">
        <f t="shared" si="12"/>
        <v/>
      </c>
      <c r="K91" s="11"/>
      <c r="L91" s="16"/>
      <c r="M91" s="17"/>
      <c r="N91" s="18" t="str">
        <f t="shared" si="13"/>
        <v/>
      </c>
      <c r="O91" s="17"/>
      <c r="P91" s="18" t="str">
        <f t="shared" si="14"/>
        <v/>
      </c>
      <c r="Q91" s="16"/>
      <c r="R91" s="18" t="str">
        <f t="shared" si="15"/>
        <v/>
      </c>
      <c r="S91" s="19" t="str">
        <f>IF($A91="","",SUMIFS(Pagos!$D$8:$D$300,Pagos!$A$8:$A$300,$A91,Pagos!$F$8:$F$300,"Aplicado"))</f>
        <v/>
      </c>
      <c r="T91" s="20" t="str">
        <f t="shared" si="16"/>
        <v/>
      </c>
      <c r="U91" s="12" t="str">
        <f>IF($A91="","",IF($T91&lt;=0.005,"Pagada",IF($S91&gt;0,IF($J91&lt;Inicio!$F$3,"Parcial vencida","Pago parcial"),IF($J91&lt;Inicio!$F$3,"Vencida",IF($J91-Inicio!$F$3&lt;=7,"Próxima","Pendiente")))))</f>
        <v/>
      </c>
      <c r="V91" s="14">
        <f>IF(OR($A91="",$T91&lt;=0,$J91&gt;=Inicio!$F$3),0,Inicio!$F$3-$J91)</f>
        <v>0</v>
      </c>
      <c r="W91" s="11"/>
      <c r="X91" s="11"/>
      <c r="Y91" s="12" t="str">
        <f>IF($A91="","",IF($T91&lt;=0,"Cerrada",IF($J91&lt;Inicio!$F$3,"Alta",IF($J91-Inicio!$F$3&lt;=7,"Media","Normal"))))</f>
        <v/>
      </c>
      <c r="Z91" s="11"/>
      <c r="AA91" s="21" t="str">
        <f t="shared" si="17"/>
        <v/>
      </c>
    </row>
    <row r="92" spans="1:27" ht="21" customHeight="1" x14ac:dyDescent="0.3">
      <c r="A92" s="11"/>
      <c r="B92" s="11"/>
      <c r="C92" s="12" t="str">
        <f>IF($B92="","",IFERROR(VLOOKUP($B92,Listas!$A$3:$G$13,2,FALSE),""))</f>
        <v/>
      </c>
      <c r="D92" s="12" t="str">
        <f>IF($B92="","",IFERROR(VLOOKUP($B92,Listas!$A$3:$G$13,3,FALSE),""))</f>
        <v/>
      </c>
      <c r="E92" s="11"/>
      <c r="F92" s="13"/>
      <c r="G92" s="13"/>
      <c r="H92" s="12" t="str">
        <f>IF($B92="","",IFERROR(VLOOKUP($B92,Listas!$A$3:$G$13,4,FALSE),""))</f>
        <v/>
      </c>
      <c r="I92" s="14" t="str">
        <f>IF($H92="","",IFERROR(VLOOKUP($H92,Listas!$J$3:$K$7,2,FALSE),""))</f>
        <v/>
      </c>
      <c r="J92" s="15" t="str">
        <f t="shared" si="12"/>
        <v/>
      </c>
      <c r="K92" s="11"/>
      <c r="L92" s="16"/>
      <c r="M92" s="17"/>
      <c r="N92" s="18" t="str">
        <f t="shared" si="13"/>
        <v/>
      </c>
      <c r="O92" s="17"/>
      <c r="P92" s="18" t="str">
        <f t="shared" si="14"/>
        <v/>
      </c>
      <c r="Q92" s="16"/>
      <c r="R92" s="18" t="str">
        <f t="shared" si="15"/>
        <v/>
      </c>
      <c r="S92" s="19" t="str">
        <f>IF($A92="","",SUMIFS(Pagos!$D$8:$D$300,Pagos!$A$8:$A$300,$A92,Pagos!$F$8:$F$300,"Aplicado"))</f>
        <v/>
      </c>
      <c r="T92" s="20" t="str">
        <f t="shared" si="16"/>
        <v/>
      </c>
      <c r="U92" s="12" t="str">
        <f>IF($A92="","",IF($T92&lt;=0.005,"Pagada",IF($S92&gt;0,IF($J92&lt;Inicio!$F$3,"Parcial vencida","Pago parcial"),IF($J92&lt;Inicio!$F$3,"Vencida",IF($J92-Inicio!$F$3&lt;=7,"Próxima","Pendiente")))))</f>
        <v/>
      </c>
      <c r="V92" s="14">
        <f>IF(OR($A92="",$T92&lt;=0,$J92&gt;=Inicio!$F$3),0,Inicio!$F$3-$J92)</f>
        <v>0</v>
      </c>
      <c r="W92" s="11"/>
      <c r="X92" s="11"/>
      <c r="Y92" s="12" t="str">
        <f>IF($A92="","",IF($T92&lt;=0,"Cerrada",IF($J92&lt;Inicio!$F$3,"Alta",IF($J92-Inicio!$F$3&lt;=7,"Media","Normal"))))</f>
        <v/>
      </c>
      <c r="Z92" s="11"/>
      <c r="AA92" s="21" t="str">
        <f t="shared" si="17"/>
        <v/>
      </c>
    </row>
    <row r="93" spans="1:27" ht="21" customHeight="1" x14ac:dyDescent="0.3">
      <c r="A93" s="11"/>
      <c r="B93" s="11"/>
      <c r="C93" s="12" t="str">
        <f>IF($B93="","",IFERROR(VLOOKUP($B93,Listas!$A$3:$G$13,2,FALSE),""))</f>
        <v/>
      </c>
      <c r="D93" s="12" t="str">
        <f>IF($B93="","",IFERROR(VLOOKUP($B93,Listas!$A$3:$G$13,3,FALSE),""))</f>
        <v/>
      </c>
      <c r="E93" s="11"/>
      <c r="F93" s="13"/>
      <c r="G93" s="13"/>
      <c r="H93" s="12" t="str">
        <f>IF($B93="","",IFERROR(VLOOKUP($B93,Listas!$A$3:$G$13,4,FALSE),""))</f>
        <v/>
      </c>
      <c r="I93" s="14" t="str">
        <f>IF($H93="","",IFERROR(VLOOKUP($H93,Listas!$J$3:$K$7,2,FALSE),""))</f>
        <v/>
      </c>
      <c r="J93" s="15" t="str">
        <f t="shared" si="12"/>
        <v/>
      </c>
      <c r="K93" s="11"/>
      <c r="L93" s="16"/>
      <c r="M93" s="17"/>
      <c r="N93" s="18" t="str">
        <f t="shared" si="13"/>
        <v/>
      </c>
      <c r="O93" s="17"/>
      <c r="P93" s="18" t="str">
        <f t="shared" si="14"/>
        <v/>
      </c>
      <c r="Q93" s="16"/>
      <c r="R93" s="18" t="str">
        <f t="shared" si="15"/>
        <v/>
      </c>
      <c r="S93" s="19" t="str">
        <f>IF($A93="","",SUMIFS(Pagos!$D$8:$D$300,Pagos!$A$8:$A$300,$A93,Pagos!$F$8:$F$300,"Aplicado"))</f>
        <v/>
      </c>
      <c r="T93" s="20" t="str">
        <f t="shared" si="16"/>
        <v/>
      </c>
      <c r="U93" s="12" t="str">
        <f>IF($A93="","",IF($T93&lt;=0.005,"Pagada",IF($S93&gt;0,IF($J93&lt;Inicio!$F$3,"Parcial vencida","Pago parcial"),IF($J93&lt;Inicio!$F$3,"Vencida",IF($J93-Inicio!$F$3&lt;=7,"Próxima","Pendiente")))))</f>
        <v/>
      </c>
      <c r="V93" s="14">
        <f>IF(OR($A93="",$T93&lt;=0,$J93&gt;=Inicio!$F$3),0,Inicio!$F$3-$J93)</f>
        <v>0</v>
      </c>
      <c r="W93" s="11"/>
      <c r="X93" s="11"/>
      <c r="Y93" s="12" t="str">
        <f>IF($A93="","",IF($T93&lt;=0,"Cerrada",IF($J93&lt;Inicio!$F$3,"Alta",IF($J93-Inicio!$F$3&lt;=7,"Media","Normal"))))</f>
        <v/>
      </c>
      <c r="Z93" s="11"/>
      <c r="AA93" s="21" t="str">
        <f t="shared" si="17"/>
        <v/>
      </c>
    </row>
    <row r="94" spans="1:27" ht="21" customHeight="1" x14ac:dyDescent="0.3">
      <c r="A94" s="11"/>
      <c r="B94" s="11"/>
      <c r="C94" s="12" t="str">
        <f>IF($B94="","",IFERROR(VLOOKUP($B94,Listas!$A$3:$G$13,2,FALSE),""))</f>
        <v/>
      </c>
      <c r="D94" s="12" t="str">
        <f>IF($B94="","",IFERROR(VLOOKUP($B94,Listas!$A$3:$G$13,3,FALSE),""))</f>
        <v/>
      </c>
      <c r="E94" s="11"/>
      <c r="F94" s="13"/>
      <c r="G94" s="13"/>
      <c r="H94" s="12" t="str">
        <f>IF($B94="","",IFERROR(VLOOKUP($B94,Listas!$A$3:$G$13,4,FALSE),""))</f>
        <v/>
      </c>
      <c r="I94" s="14" t="str">
        <f>IF($H94="","",IFERROR(VLOOKUP($H94,Listas!$J$3:$K$7,2,FALSE),""))</f>
        <v/>
      </c>
      <c r="J94" s="15" t="str">
        <f t="shared" si="12"/>
        <v/>
      </c>
      <c r="K94" s="11"/>
      <c r="L94" s="16"/>
      <c r="M94" s="17"/>
      <c r="N94" s="18" t="str">
        <f t="shared" si="13"/>
        <v/>
      </c>
      <c r="O94" s="17"/>
      <c r="P94" s="18" t="str">
        <f t="shared" si="14"/>
        <v/>
      </c>
      <c r="Q94" s="16"/>
      <c r="R94" s="18" t="str">
        <f t="shared" si="15"/>
        <v/>
      </c>
      <c r="S94" s="19" t="str">
        <f>IF($A94="","",SUMIFS(Pagos!$D$8:$D$300,Pagos!$A$8:$A$300,$A94,Pagos!$F$8:$F$300,"Aplicado"))</f>
        <v/>
      </c>
      <c r="T94" s="20" t="str">
        <f t="shared" si="16"/>
        <v/>
      </c>
      <c r="U94" s="12" t="str">
        <f>IF($A94="","",IF($T94&lt;=0.005,"Pagada",IF($S94&gt;0,IF($J94&lt;Inicio!$F$3,"Parcial vencida","Pago parcial"),IF($J94&lt;Inicio!$F$3,"Vencida",IF($J94-Inicio!$F$3&lt;=7,"Próxima","Pendiente")))))</f>
        <v/>
      </c>
      <c r="V94" s="14">
        <f>IF(OR($A94="",$T94&lt;=0,$J94&gt;=Inicio!$F$3),0,Inicio!$F$3-$J94)</f>
        <v>0</v>
      </c>
      <c r="W94" s="11"/>
      <c r="X94" s="11"/>
      <c r="Y94" s="12" t="str">
        <f>IF($A94="","",IF($T94&lt;=0,"Cerrada",IF($J94&lt;Inicio!$F$3,"Alta",IF($J94-Inicio!$F$3&lt;=7,"Media","Normal"))))</f>
        <v/>
      </c>
      <c r="Z94" s="11"/>
      <c r="AA94" s="21" t="str">
        <f t="shared" si="17"/>
        <v/>
      </c>
    </row>
    <row r="95" spans="1:27" ht="21" customHeight="1" x14ac:dyDescent="0.3">
      <c r="A95" s="11"/>
      <c r="B95" s="11"/>
      <c r="C95" s="12" t="str">
        <f>IF($B95="","",IFERROR(VLOOKUP($B95,Listas!$A$3:$G$13,2,FALSE),""))</f>
        <v/>
      </c>
      <c r="D95" s="12" t="str">
        <f>IF($B95="","",IFERROR(VLOOKUP($B95,Listas!$A$3:$G$13,3,FALSE),""))</f>
        <v/>
      </c>
      <c r="E95" s="11"/>
      <c r="F95" s="13"/>
      <c r="G95" s="13"/>
      <c r="H95" s="12" t="str">
        <f>IF($B95="","",IFERROR(VLOOKUP($B95,Listas!$A$3:$G$13,4,FALSE),""))</f>
        <v/>
      </c>
      <c r="I95" s="14" t="str">
        <f>IF($H95="","",IFERROR(VLOOKUP($H95,Listas!$J$3:$K$7,2,FALSE),""))</f>
        <v/>
      </c>
      <c r="J95" s="15" t="str">
        <f t="shared" si="12"/>
        <v/>
      </c>
      <c r="K95" s="11"/>
      <c r="L95" s="16"/>
      <c r="M95" s="17"/>
      <c r="N95" s="18" t="str">
        <f t="shared" si="13"/>
        <v/>
      </c>
      <c r="O95" s="17"/>
      <c r="P95" s="18" t="str">
        <f t="shared" si="14"/>
        <v/>
      </c>
      <c r="Q95" s="16"/>
      <c r="R95" s="18" t="str">
        <f t="shared" si="15"/>
        <v/>
      </c>
      <c r="S95" s="19" t="str">
        <f>IF($A95="","",SUMIFS(Pagos!$D$8:$D$300,Pagos!$A$8:$A$300,$A95,Pagos!$F$8:$F$300,"Aplicado"))</f>
        <v/>
      </c>
      <c r="T95" s="20" t="str">
        <f t="shared" si="16"/>
        <v/>
      </c>
      <c r="U95" s="12" t="str">
        <f>IF($A95="","",IF($T95&lt;=0.005,"Pagada",IF($S95&gt;0,IF($J95&lt;Inicio!$F$3,"Parcial vencida","Pago parcial"),IF($J95&lt;Inicio!$F$3,"Vencida",IF($J95-Inicio!$F$3&lt;=7,"Próxima","Pendiente")))))</f>
        <v/>
      </c>
      <c r="V95" s="14">
        <f>IF(OR($A95="",$T95&lt;=0,$J95&gt;=Inicio!$F$3),0,Inicio!$F$3-$J95)</f>
        <v>0</v>
      </c>
      <c r="W95" s="11"/>
      <c r="X95" s="11"/>
      <c r="Y95" s="12" t="str">
        <f>IF($A95="","",IF($T95&lt;=0,"Cerrada",IF($J95&lt;Inicio!$F$3,"Alta",IF($J95-Inicio!$F$3&lt;=7,"Media","Normal"))))</f>
        <v/>
      </c>
      <c r="Z95" s="11"/>
      <c r="AA95" s="21" t="str">
        <f t="shared" si="17"/>
        <v/>
      </c>
    </row>
    <row r="96" spans="1:27" ht="21" customHeight="1" x14ac:dyDescent="0.3">
      <c r="A96" s="11"/>
      <c r="B96" s="11"/>
      <c r="C96" s="12" t="str">
        <f>IF($B96="","",IFERROR(VLOOKUP($B96,Listas!$A$3:$G$13,2,FALSE),""))</f>
        <v/>
      </c>
      <c r="D96" s="12" t="str">
        <f>IF($B96="","",IFERROR(VLOOKUP($B96,Listas!$A$3:$G$13,3,FALSE),""))</f>
        <v/>
      </c>
      <c r="E96" s="11"/>
      <c r="F96" s="13"/>
      <c r="G96" s="13"/>
      <c r="H96" s="12" t="str">
        <f>IF($B96="","",IFERROR(VLOOKUP($B96,Listas!$A$3:$G$13,4,FALSE),""))</f>
        <v/>
      </c>
      <c r="I96" s="14" t="str">
        <f>IF($H96="","",IFERROR(VLOOKUP($H96,Listas!$J$3:$K$7,2,FALSE),""))</f>
        <v/>
      </c>
      <c r="J96" s="15" t="str">
        <f t="shared" si="12"/>
        <v/>
      </c>
      <c r="K96" s="11"/>
      <c r="L96" s="16"/>
      <c r="M96" s="17"/>
      <c r="N96" s="18" t="str">
        <f t="shared" si="13"/>
        <v/>
      </c>
      <c r="O96" s="17"/>
      <c r="P96" s="18" t="str">
        <f t="shared" si="14"/>
        <v/>
      </c>
      <c r="Q96" s="16"/>
      <c r="R96" s="18" t="str">
        <f t="shared" si="15"/>
        <v/>
      </c>
      <c r="S96" s="19" t="str">
        <f>IF($A96="","",SUMIFS(Pagos!$D$8:$D$300,Pagos!$A$8:$A$300,$A96,Pagos!$F$8:$F$300,"Aplicado"))</f>
        <v/>
      </c>
      <c r="T96" s="20" t="str">
        <f t="shared" si="16"/>
        <v/>
      </c>
      <c r="U96" s="12" t="str">
        <f>IF($A96="","",IF($T96&lt;=0.005,"Pagada",IF($S96&gt;0,IF($J96&lt;Inicio!$F$3,"Parcial vencida","Pago parcial"),IF($J96&lt;Inicio!$F$3,"Vencida",IF($J96-Inicio!$F$3&lt;=7,"Próxima","Pendiente")))))</f>
        <v/>
      </c>
      <c r="V96" s="14">
        <f>IF(OR($A96="",$T96&lt;=0,$J96&gt;=Inicio!$F$3),0,Inicio!$F$3-$J96)</f>
        <v>0</v>
      </c>
      <c r="W96" s="11"/>
      <c r="X96" s="11"/>
      <c r="Y96" s="12" t="str">
        <f>IF($A96="","",IF($T96&lt;=0,"Cerrada",IF($J96&lt;Inicio!$F$3,"Alta",IF($J96-Inicio!$F$3&lt;=7,"Media","Normal"))))</f>
        <v/>
      </c>
      <c r="Z96" s="11"/>
      <c r="AA96" s="21" t="str">
        <f t="shared" si="17"/>
        <v/>
      </c>
    </row>
    <row r="97" spans="1:27" ht="21" customHeight="1" x14ac:dyDescent="0.3">
      <c r="A97" s="11"/>
      <c r="B97" s="11"/>
      <c r="C97" s="12" t="str">
        <f>IF($B97="","",IFERROR(VLOOKUP($B97,Listas!$A$3:$G$13,2,FALSE),""))</f>
        <v/>
      </c>
      <c r="D97" s="12" t="str">
        <f>IF($B97="","",IFERROR(VLOOKUP($B97,Listas!$A$3:$G$13,3,FALSE),""))</f>
        <v/>
      </c>
      <c r="E97" s="11"/>
      <c r="F97" s="13"/>
      <c r="G97" s="13"/>
      <c r="H97" s="12" t="str">
        <f>IF($B97="","",IFERROR(VLOOKUP($B97,Listas!$A$3:$G$13,4,FALSE),""))</f>
        <v/>
      </c>
      <c r="I97" s="14" t="str">
        <f>IF($H97="","",IFERROR(VLOOKUP($H97,Listas!$J$3:$K$7,2,FALSE),""))</f>
        <v/>
      </c>
      <c r="J97" s="15" t="str">
        <f t="shared" si="12"/>
        <v/>
      </c>
      <c r="K97" s="11"/>
      <c r="L97" s="16"/>
      <c r="M97" s="17"/>
      <c r="N97" s="18" t="str">
        <f t="shared" si="13"/>
        <v/>
      </c>
      <c r="O97" s="17"/>
      <c r="P97" s="18" t="str">
        <f t="shared" si="14"/>
        <v/>
      </c>
      <c r="Q97" s="16"/>
      <c r="R97" s="18" t="str">
        <f t="shared" si="15"/>
        <v/>
      </c>
      <c r="S97" s="19" t="str">
        <f>IF($A97="","",SUMIFS(Pagos!$D$8:$D$300,Pagos!$A$8:$A$300,$A97,Pagos!$F$8:$F$300,"Aplicado"))</f>
        <v/>
      </c>
      <c r="T97" s="20" t="str">
        <f t="shared" si="16"/>
        <v/>
      </c>
      <c r="U97" s="12" t="str">
        <f>IF($A97="","",IF($T97&lt;=0.005,"Pagada",IF($S97&gt;0,IF($J97&lt;Inicio!$F$3,"Parcial vencida","Pago parcial"),IF($J97&lt;Inicio!$F$3,"Vencida",IF($J97-Inicio!$F$3&lt;=7,"Próxima","Pendiente")))))</f>
        <v/>
      </c>
      <c r="V97" s="14">
        <f>IF(OR($A97="",$T97&lt;=0,$J97&gt;=Inicio!$F$3),0,Inicio!$F$3-$J97)</f>
        <v>0</v>
      </c>
      <c r="W97" s="11"/>
      <c r="X97" s="11"/>
      <c r="Y97" s="12" t="str">
        <f>IF($A97="","",IF($T97&lt;=0,"Cerrada",IF($J97&lt;Inicio!$F$3,"Alta",IF($J97-Inicio!$F$3&lt;=7,"Media","Normal"))))</f>
        <v/>
      </c>
      <c r="Z97" s="11"/>
      <c r="AA97" s="21" t="str">
        <f t="shared" si="17"/>
        <v/>
      </c>
    </row>
    <row r="98" spans="1:27" ht="21" customHeight="1" x14ac:dyDescent="0.3">
      <c r="A98" s="11"/>
      <c r="B98" s="11"/>
      <c r="C98" s="12" t="str">
        <f>IF($B98="","",IFERROR(VLOOKUP($B98,Listas!$A$3:$G$13,2,FALSE),""))</f>
        <v/>
      </c>
      <c r="D98" s="12" t="str">
        <f>IF($B98="","",IFERROR(VLOOKUP($B98,Listas!$A$3:$G$13,3,FALSE),""))</f>
        <v/>
      </c>
      <c r="E98" s="11"/>
      <c r="F98" s="13"/>
      <c r="G98" s="13"/>
      <c r="H98" s="12" t="str">
        <f>IF($B98="","",IFERROR(VLOOKUP($B98,Listas!$A$3:$G$13,4,FALSE),""))</f>
        <v/>
      </c>
      <c r="I98" s="14" t="str">
        <f>IF($H98="","",IFERROR(VLOOKUP($H98,Listas!$J$3:$K$7,2,FALSE),""))</f>
        <v/>
      </c>
      <c r="J98" s="15" t="str">
        <f t="shared" si="12"/>
        <v/>
      </c>
      <c r="K98" s="11"/>
      <c r="L98" s="16"/>
      <c r="M98" s="17"/>
      <c r="N98" s="18" t="str">
        <f t="shared" si="13"/>
        <v/>
      </c>
      <c r="O98" s="17"/>
      <c r="P98" s="18" t="str">
        <f t="shared" si="14"/>
        <v/>
      </c>
      <c r="Q98" s="16"/>
      <c r="R98" s="18" t="str">
        <f t="shared" si="15"/>
        <v/>
      </c>
      <c r="S98" s="19" t="str">
        <f>IF($A98="","",SUMIFS(Pagos!$D$8:$D$300,Pagos!$A$8:$A$300,$A98,Pagos!$F$8:$F$300,"Aplicado"))</f>
        <v/>
      </c>
      <c r="T98" s="20" t="str">
        <f t="shared" si="16"/>
        <v/>
      </c>
      <c r="U98" s="12" t="str">
        <f>IF($A98="","",IF($T98&lt;=0.005,"Pagada",IF($S98&gt;0,IF($J98&lt;Inicio!$F$3,"Parcial vencida","Pago parcial"),IF($J98&lt;Inicio!$F$3,"Vencida",IF($J98-Inicio!$F$3&lt;=7,"Próxima","Pendiente")))))</f>
        <v/>
      </c>
      <c r="V98" s="14">
        <f>IF(OR($A98="",$T98&lt;=0,$J98&gt;=Inicio!$F$3),0,Inicio!$F$3-$J98)</f>
        <v>0</v>
      </c>
      <c r="W98" s="11"/>
      <c r="X98" s="11"/>
      <c r="Y98" s="12" t="str">
        <f>IF($A98="","",IF($T98&lt;=0,"Cerrada",IF($J98&lt;Inicio!$F$3,"Alta",IF($J98-Inicio!$F$3&lt;=7,"Media","Normal"))))</f>
        <v/>
      </c>
      <c r="Z98" s="11"/>
      <c r="AA98" s="21" t="str">
        <f t="shared" si="17"/>
        <v/>
      </c>
    </row>
    <row r="99" spans="1:27" ht="21" customHeight="1" x14ac:dyDescent="0.3">
      <c r="A99" s="11"/>
      <c r="B99" s="11"/>
      <c r="C99" s="12" t="str">
        <f>IF($B99="","",IFERROR(VLOOKUP($B99,Listas!$A$3:$G$13,2,FALSE),""))</f>
        <v/>
      </c>
      <c r="D99" s="12" t="str">
        <f>IF($B99="","",IFERROR(VLOOKUP($B99,Listas!$A$3:$G$13,3,FALSE),""))</f>
        <v/>
      </c>
      <c r="E99" s="11"/>
      <c r="F99" s="13"/>
      <c r="G99" s="13"/>
      <c r="H99" s="12" t="str">
        <f>IF($B99="","",IFERROR(VLOOKUP($B99,Listas!$A$3:$G$13,4,FALSE),""))</f>
        <v/>
      </c>
      <c r="I99" s="14" t="str">
        <f>IF($H99="","",IFERROR(VLOOKUP($H99,Listas!$J$3:$K$7,2,FALSE),""))</f>
        <v/>
      </c>
      <c r="J99" s="15" t="str">
        <f t="shared" si="12"/>
        <v/>
      </c>
      <c r="K99" s="11"/>
      <c r="L99" s="16"/>
      <c r="M99" s="17"/>
      <c r="N99" s="18" t="str">
        <f t="shared" si="13"/>
        <v/>
      </c>
      <c r="O99" s="17"/>
      <c r="P99" s="18" t="str">
        <f t="shared" si="14"/>
        <v/>
      </c>
      <c r="Q99" s="16"/>
      <c r="R99" s="18" t="str">
        <f t="shared" si="15"/>
        <v/>
      </c>
      <c r="S99" s="19" t="str">
        <f>IF($A99="","",SUMIFS(Pagos!$D$8:$D$300,Pagos!$A$8:$A$300,$A99,Pagos!$F$8:$F$300,"Aplicado"))</f>
        <v/>
      </c>
      <c r="T99" s="20" t="str">
        <f t="shared" si="16"/>
        <v/>
      </c>
      <c r="U99" s="12" t="str">
        <f>IF($A99="","",IF($T99&lt;=0.005,"Pagada",IF($S99&gt;0,IF($J99&lt;Inicio!$F$3,"Parcial vencida","Pago parcial"),IF($J99&lt;Inicio!$F$3,"Vencida",IF($J99-Inicio!$F$3&lt;=7,"Próxima","Pendiente")))))</f>
        <v/>
      </c>
      <c r="V99" s="14">
        <f>IF(OR($A99="",$T99&lt;=0,$J99&gt;=Inicio!$F$3),0,Inicio!$F$3-$J99)</f>
        <v>0</v>
      </c>
      <c r="W99" s="11"/>
      <c r="X99" s="11"/>
      <c r="Y99" s="12" t="str">
        <f>IF($A99="","",IF($T99&lt;=0,"Cerrada",IF($J99&lt;Inicio!$F$3,"Alta",IF($J99-Inicio!$F$3&lt;=7,"Media","Normal"))))</f>
        <v/>
      </c>
      <c r="Z99" s="11"/>
      <c r="AA99" s="21" t="str">
        <f t="shared" si="17"/>
        <v/>
      </c>
    </row>
    <row r="100" spans="1:27" ht="21" customHeight="1" x14ac:dyDescent="0.3">
      <c r="A100" s="11"/>
      <c r="B100" s="11"/>
      <c r="C100" s="12" t="str">
        <f>IF($B100="","",IFERROR(VLOOKUP($B100,Listas!$A$3:$G$13,2,FALSE),""))</f>
        <v/>
      </c>
      <c r="D100" s="12" t="str">
        <f>IF($B100="","",IFERROR(VLOOKUP($B100,Listas!$A$3:$G$13,3,FALSE),""))</f>
        <v/>
      </c>
      <c r="E100" s="11"/>
      <c r="F100" s="13"/>
      <c r="G100" s="13"/>
      <c r="H100" s="12" t="str">
        <f>IF($B100="","",IFERROR(VLOOKUP($B100,Listas!$A$3:$G$13,4,FALSE),""))</f>
        <v/>
      </c>
      <c r="I100" s="14" t="str">
        <f>IF($H100="","",IFERROR(VLOOKUP($H100,Listas!$J$3:$K$7,2,FALSE),""))</f>
        <v/>
      </c>
      <c r="J100" s="15" t="str">
        <f t="shared" si="12"/>
        <v/>
      </c>
      <c r="K100" s="11"/>
      <c r="L100" s="16"/>
      <c r="M100" s="17"/>
      <c r="N100" s="18" t="str">
        <f t="shared" si="13"/>
        <v/>
      </c>
      <c r="O100" s="17"/>
      <c r="P100" s="18" t="str">
        <f t="shared" si="14"/>
        <v/>
      </c>
      <c r="Q100" s="16"/>
      <c r="R100" s="18" t="str">
        <f t="shared" si="15"/>
        <v/>
      </c>
      <c r="S100" s="19" t="str">
        <f>IF($A100="","",SUMIFS(Pagos!$D$8:$D$300,Pagos!$A$8:$A$300,$A100,Pagos!$F$8:$F$300,"Aplicado"))</f>
        <v/>
      </c>
      <c r="T100" s="20" t="str">
        <f t="shared" si="16"/>
        <v/>
      </c>
      <c r="U100" s="12" t="str">
        <f>IF($A100="","",IF($T100&lt;=0.005,"Pagada",IF($S100&gt;0,IF($J100&lt;Inicio!$F$3,"Parcial vencida","Pago parcial"),IF($J100&lt;Inicio!$F$3,"Vencida",IF($J100-Inicio!$F$3&lt;=7,"Próxima","Pendiente")))))</f>
        <v/>
      </c>
      <c r="V100" s="14">
        <f>IF(OR($A100="",$T100&lt;=0,$J100&gt;=Inicio!$F$3),0,Inicio!$F$3-$J100)</f>
        <v>0</v>
      </c>
      <c r="W100" s="11"/>
      <c r="X100" s="11"/>
      <c r="Y100" s="12" t="str">
        <f>IF($A100="","",IF($T100&lt;=0,"Cerrada",IF($J100&lt;Inicio!$F$3,"Alta",IF($J100-Inicio!$F$3&lt;=7,"Media","Normal"))))</f>
        <v/>
      </c>
      <c r="Z100" s="11"/>
      <c r="AA100" s="21" t="str">
        <f t="shared" si="17"/>
        <v/>
      </c>
    </row>
    <row r="101" spans="1:27" ht="21" customHeight="1" x14ac:dyDescent="0.3">
      <c r="A101" s="11"/>
      <c r="B101" s="11"/>
      <c r="C101" s="12" t="str">
        <f>IF($B101="","",IFERROR(VLOOKUP($B101,Listas!$A$3:$G$13,2,FALSE),""))</f>
        <v/>
      </c>
      <c r="D101" s="12" t="str">
        <f>IF($B101="","",IFERROR(VLOOKUP($B101,Listas!$A$3:$G$13,3,FALSE),""))</f>
        <v/>
      </c>
      <c r="E101" s="11"/>
      <c r="F101" s="13"/>
      <c r="G101" s="13"/>
      <c r="H101" s="12" t="str">
        <f>IF($B101="","",IFERROR(VLOOKUP($B101,Listas!$A$3:$G$13,4,FALSE),""))</f>
        <v/>
      </c>
      <c r="I101" s="14" t="str">
        <f>IF($H101="","",IFERROR(VLOOKUP($H101,Listas!$J$3:$K$7,2,FALSE),""))</f>
        <v/>
      </c>
      <c r="J101" s="15" t="str">
        <f t="shared" si="12"/>
        <v/>
      </c>
      <c r="K101" s="11"/>
      <c r="L101" s="16"/>
      <c r="M101" s="17"/>
      <c r="N101" s="18" t="str">
        <f t="shared" si="13"/>
        <v/>
      </c>
      <c r="O101" s="17"/>
      <c r="P101" s="18" t="str">
        <f t="shared" si="14"/>
        <v/>
      </c>
      <c r="Q101" s="16"/>
      <c r="R101" s="18" t="str">
        <f t="shared" si="15"/>
        <v/>
      </c>
      <c r="S101" s="19" t="str">
        <f>IF($A101="","",SUMIFS(Pagos!$D$8:$D$300,Pagos!$A$8:$A$300,$A101,Pagos!$F$8:$F$300,"Aplicado"))</f>
        <v/>
      </c>
      <c r="T101" s="20" t="str">
        <f t="shared" si="16"/>
        <v/>
      </c>
      <c r="U101" s="12" t="str">
        <f>IF($A101="","",IF($T101&lt;=0.005,"Pagada",IF($S101&gt;0,IF($J101&lt;Inicio!$F$3,"Parcial vencida","Pago parcial"),IF($J101&lt;Inicio!$F$3,"Vencida",IF($J101-Inicio!$F$3&lt;=7,"Próxima","Pendiente")))))</f>
        <v/>
      </c>
      <c r="V101" s="14">
        <f>IF(OR($A101="",$T101&lt;=0,$J101&gt;=Inicio!$F$3),0,Inicio!$F$3-$J101)</f>
        <v>0</v>
      </c>
      <c r="W101" s="11"/>
      <c r="X101" s="11"/>
      <c r="Y101" s="12" t="str">
        <f>IF($A101="","",IF($T101&lt;=0,"Cerrada",IF($J101&lt;Inicio!$F$3,"Alta",IF($J101-Inicio!$F$3&lt;=7,"Media","Normal"))))</f>
        <v/>
      </c>
      <c r="Z101" s="11"/>
      <c r="AA101" s="21" t="str">
        <f t="shared" si="17"/>
        <v/>
      </c>
    </row>
    <row r="102" spans="1:27" ht="21" customHeight="1" x14ac:dyDescent="0.3">
      <c r="A102" s="11"/>
      <c r="B102" s="11"/>
      <c r="C102" s="12" t="str">
        <f>IF($B102="","",IFERROR(VLOOKUP($B102,Listas!$A$3:$G$13,2,FALSE),""))</f>
        <v/>
      </c>
      <c r="D102" s="12" t="str">
        <f>IF($B102="","",IFERROR(VLOOKUP($B102,Listas!$A$3:$G$13,3,FALSE),""))</f>
        <v/>
      </c>
      <c r="E102" s="11"/>
      <c r="F102" s="13"/>
      <c r="G102" s="13"/>
      <c r="H102" s="12" t="str">
        <f>IF($B102="","",IFERROR(VLOOKUP($B102,Listas!$A$3:$G$13,4,FALSE),""))</f>
        <v/>
      </c>
      <c r="I102" s="14" t="str">
        <f>IF($H102="","",IFERROR(VLOOKUP($H102,Listas!$J$3:$K$7,2,FALSE),""))</f>
        <v/>
      </c>
      <c r="J102" s="15" t="str">
        <f t="shared" si="12"/>
        <v/>
      </c>
      <c r="K102" s="11"/>
      <c r="L102" s="16"/>
      <c r="M102" s="17"/>
      <c r="N102" s="18" t="str">
        <f t="shared" si="13"/>
        <v/>
      </c>
      <c r="O102" s="17"/>
      <c r="P102" s="18" t="str">
        <f t="shared" si="14"/>
        <v/>
      </c>
      <c r="Q102" s="16"/>
      <c r="R102" s="18" t="str">
        <f t="shared" si="15"/>
        <v/>
      </c>
      <c r="S102" s="19" t="str">
        <f>IF($A102="","",SUMIFS(Pagos!$D$8:$D$300,Pagos!$A$8:$A$300,$A102,Pagos!$F$8:$F$300,"Aplicado"))</f>
        <v/>
      </c>
      <c r="T102" s="20" t="str">
        <f t="shared" si="16"/>
        <v/>
      </c>
      <c r="U102" s="12" t="str">
        <f>IF($A102="","",IF($T102&lt;=0.005,"Pagada",IF($S102&gt;0,IF($J102&lt;Inicio!$F$3,"Parcial vencida","Pago parcial"),IF($J102&lt;Inicio!$F$3,"Vencida",IF($J102-Inicio!$F$3&lt;=7,"Próxima","Pendiente")))))</f>
        <v/>
      </c>
      <c r="V102" s="14">
        <f>IF(OR($A102="",$T102&lt;=0,$J102&gt;=Inicio!$F$3),0,Inicio!$F$3-$J102)</f>
        <v>0</v>
      </c>
      <c r="W102" s="11"/>
      <c r="X102" s="11"/>
      <c r="Y102" s="12" t="str">
        <f>IF($A102="","",IF($T102&lt;=0,"Cerrada",IF($J102&lt;Inicio!$F$3,"Alta",IF($J102-Inicio!$F$3&lt;=7,"Media","Normal"))))</f>
        <v/>
      </c>
      <c r="Z102" s="11"/>
      <c r="AA102" s="21" t="str">
        <f t="shared" si="17"/>
        <v/>
      </c>
    </row>
    <row r="103" spans="1:27" ht="21" customHeight="1" x14ac:dyDescent="0.3">
      <c r="A103" s="11"/>
      <c r="B103" s="11"/>
      <c r="C103" s="12" t="str">
        <f>IF($B103="","",IFERROR(VLOOKUP($B103,Listas!$A$3:$G$13,2,FALSE),""))</f>
        <v/>
      </c>
      <c r="D103" s="12" t="str">
        <f>IF($B103="","",IFERROR(VLOOKUP($B103,Listas!$A$3:$G$13,3,FALSE),""))</f>
        <v/>
      </c>
      <c r="E103" s="11"/>
      <c r="F103" s="13"/>
      <c r="G103" s="13"/>
      <c r="H103" s="12" t="str">
        <f>IF($B103="","",IFERROR(VLOOKUP($B103,Listas!$A$3:$G$13,4,FALSE),""))</f>
        <v/>
      </c>
      <c r="I103" s="14" t="str">
        <f>IF($H103="","",IFERROR(VLOOKUP($H103,Listas!$J$3:$K$7,2,FALSE),""))</f>
        <v/>
      </c>
      <c r="J103" s="15" t="str">
        <f t="shared" si="12"/>
        <v/>
      </c>
      <c r="K103" s="11"/>
      <c r="L103" s="16"/>
      <c r="M103" s="17"/>
      <c r="N103" s="18" t="str">
        <f t="shared" si="13"/>
        <v/>
      </c>
      <c r="O103" s="17"/>
      <c r="P103" s="18" t="str">
        <f t="shared" si="14"/>
        <v/>
      </c>
      <c r="Q103" s="16"/>
      <c r="R103" s="18" t="str">
        <f t="shared" si="15"/>
        <v/>
      </c>
      <c r="S103" s="19" t="str">
        <f>IF($A103="","",SUMIFS(Pagos!$D$8:$D$300,Pagos!$A$8:$A$300,$A103,Pagos!$F$8:$F$300,"Aplicado"))</f>
        <v/>
      </c>
      <c r="T103" s="20" t="str">
        <f t="shared" si="16"/>
        <v/>
      </c>
      <c r="U103" s="12" t="str">
        <f>IF($A103="","",IF($T103&lt;=0.005,"Pagada",IF($S103&gt;0,IF($J103&lt;Inicio!$F$3,"Parcial vencida","Pago parcial"),IF($J103&lt;Inicio!$F$3,"Vencida",IF($J103-Inicio!$F$3&lt;=7,"Próxima","Pendiente")))))</f>
        <v/>
      </c>
      <c r="V103" s="14">
        <f>IF(OR($A103="",$T103&lt;=0,$J103&gt;=Inicio!$F$3),0,Inicio!$F$3-$J103)</f>
        <v>0</v>
      </c>
      <c r="W103" s="11"/>
      <c r="X103" s="11"/>
      <c r="Y103" s="12" t="str">
        <f>IF($A103="","",IF($T103&lt;=0,"Cerrada",IF($J103&lt;Inicio!$F$3,"Alta",IF($J103-Inicio!$F$3&lt;=7,"Media","Normal"))))</f>
        <v/>
      </c>
      <c r="Z103" s="11"/>
      <c r="AA103" s="21" t="str">
        <f t="shared" si="17"/>
        <v/>
      </c>
    </row>
    <row r="104" spans="1:27" ht="21" customHeight="1" x14ac:dyDescent="0.3">
      <c r="A104" s="11"/>
      <c r="B104" s="11"/>
      <c r="C104" s="12" t="str">
        <f>IF($B104="","",IFERROR(VLOOKUP($B104,Listas!$A$3:$G$13,2,FALSE),""))</f>
        <v/>
      </c>
      <c r="D104" s="12" t="str">
        <f>IF($B104="","",IFERROR(VLOOKUP($B104,Listas!$A$3:$G$13,3,FALSE),""))</f>
        <v/>
      </c>
      <c r="E104" s="11"/>
      <c r="F104" s="13"/>
      <c r="G104" s="13"/>
      <c r="H104" s="12" t="str">
        <f>IF($B104="","",IFERROR(VLOOKUP($B104,Listas!$A$3:$G$13,4,FALSE),""))</f>
        <v/>
      </c>
      <c r="I104" s="14" t="str">
        <f>IF($H104="","",IFERROR(VLOOKUP($H104,Listas!$J$3:$K$7,2,FALSE),""))</f>
        <v/>
      </c>
      <c r="J104" s="15" t="str">
        <f t="shared" ref="J104:J120" si="18">IF($G104="","",$G104+$I104)</f>
        <v/>
      </c>
      <c r="K104" s="11"/>
      <c r="L104" s="16"/>
      <c r="M104" s="17"/>
      <c r="N104" s="18" t="str">
        <f t="shared" ref="N104:N120" si="19">IF($L104="","",$L104*$M104)</f>
        <v/>
      </c>
      <c r="O104" s="17"/>
      <c r="P104" s="18" t="str">
        <f t="shared" ref="P104:P120" si="20">IF($L104="","",$L104*$O104)</f>
        <v/>
      </c>
      <c r="Q104" s="16"/>
      <c r="R104" s="18" t="str">
        <f t="shared" ref="R104:R120" si="21">IF($L104="","",$L104+$N104-$P104-$Q104)</f>
        <v/>
      </c>
      <c r="S104" s="19" t="str">
        <f>IF($A104="","",SUMIFS(Pagos!$D$8:$D$300,Pagos!$A$8:$A$300,$A104,Pagos!$F$8:$F$300,"Aplicado"))</f>
        <v/>
      </c>
      <c r="T104" s="20" t="str">
        <f t="shared" ref="T104:T120" si="22">IF($A104="","",MAX(0,$R104-$S104))</f>
        <v/>
      </c>
      <c r="U104" s="12" t="str">
        <f>IF($A104="","",IF($T104&lt;=0.005,"Pagada",IF($S104&gt;0,IF($J104&lt;Inicio!$F$3,"Parcial vencida","Pago parcial"),IF($J104&lt;Inicio!$F$3,"Vencida",IF($J104-Inicio!$F$3&lt;=7,"Próxima","Pendiente")))))</f>
        <v/>
      </c>
      <c r="V104" s="14">
        <f>IF(OR($A104="",$T104&lt;=0,$J104&gt;=Inicio!$F$3),0,Inicio!$F$3-$J104)</f>
        <v>0</v>
      </c>
      <c r="W104" s="11"/>
      <c r="X104" s="11"/>
      <c r="Y104" s="12" t="str">
        <f>IF($A104="","",IF($T104&lt;=0,"Cerrada",IF($J104&lt;Inicio!$F$3,"Alta",IF($J104-Inicio!$F$3&lt;=7,"Media","Normal"))))</f>
        <v/>
      </c>
      <c r="Z104" s="11"/>
      <c r="AA104" s="21" t="str">
        <f t="shared" ref="AA104:AA120" si="23">IF($A104="","",IF($T104&gt;0,COUNTIFS($J$8:$J$300,"&lt;"&amp;$J104,$T$8:$T$300,"&gt;0")+COUNTIFS($J$8:$J$300,$J104,$A$8:$A$300,"&lt;"&amp;$A104,$T$8:$T$300,"&gt;0")+1,""))</f>
        <v/>
      </c>
    </row>
    <row r="105" spans="1:27" ht="21" customHeight="1" x14ac:dyDescent="0.3">
      <c r="A105" s="11"/>
      <c r="B105" s="11"/>
      <c r="C105" s="12" t="str">
        <f>IF($B105="","",IFERROR(VLOOKUP($B105,Listas!$A$3:$G$13,2,FALSE),""))</f>
        <v/>
      </c>
      <c r="D105" s="12" t="str">
        <f>IF($B105="","",IFERROR(VLOOKUP($B105,Listas!$A$3:$G$13,3,FALSE),""))</f>
        <v/>
      </c>
      <c r="E105" s="11"/>
      <c r="F105" s="13"/>
      <c r="G105" s="13"/>
      <c r="H105" s="12" t="str">
        <f>IF($B105="","",IFERROR(VLOOKUP($B105,Listas!$A$3:$G$13,4,FALSE),""))</f>
        <v/>
      </c>
      <c r="I105" s="14" t="str">
        <f>IF($H105="","",IFERROR(VLOOKUP($H105,Listas!$J$3:$K$7,2,FALSE),""))</f>
        <v/>
      </c>
      <c r="J105" s="15" t="str">
        <f t="shared" si="18"/>
        <v/>
      </c>
      <c r="K105" s="11"/>
      <c r="L105" s="16"/>
      <c r="M105" s="17"/>
      <c r="N105" s="18" t="str">
        <f t="shared" si="19"/>
        <v/>
      </c>
      <c r="O105" s="17"/>
      <c r="P105" s="18" t="str">
        <f t="shared" si="20"/>
        <v/>
      </c>
      <c r="Q105" s="16"/>
      <c r="R105" s="18" t="str">
        <f t="shared" si="21"/>
        <v/>
      </c>
      <c r="S105" s="19" t="str">
        <f>IF($A105="","",SUMIFS(Pagos!$D$8:$D$300,Pagos!$A$8:$A$300,$A105,Pagos!$F$8:$F$300,"Aplicado"))</f>
        <v/>
      </c>
      <c r="T105" s="20" t="str">
        <f t="shared" si="22"/>
        <v/>
      </c>
      <c r="U105" s="12" t="str">
        <f>IF($A105="","",IF($T105&lt;=0.005,"Pagada",IF($S105&gt;0,IF($J105&lt;Inicio!$F$3,"Parcial vencida","Pago parcial"),IF($J105&lt;Inicio!$F$3,"Vencida",IF($J105-Inicio!$F$3&lt;=7,"Próxima","Pendiente")))))</f>
        <v/>
      </c>
      <c r="V105" s="14">
        <f>IF(OR($A105="",$T105&lt;=0,$J105&gt;=Inicio!$F$3),0,Inicio!$F$3-$J105)</f>
        <v>0</v>
      </c>
      <c r="W105" s="11"/>
      <c r="X105" s="11"/>
      <c r="Y105" s="12" t="str">
        <f>IF($A105="","",IF($T105&lt;=0,"Cerrada",IF($J105&lt;Inicio!$F$3,"Alta",IF($J105-Inicio!$F$3&lt;=7,"Media","Normal"))))</f>
        <v/>
      </c>
      <c r="Z105" s="11"/>
      <c r="AA105" s="21" t="str">
        <f t="shared" si="23"/>
        <v/>
      </c>
    </row>
    <row r="106" spans="1:27" ht="21" customHeight="1" x14ac:dyDescent="0.3">
      <c r="A106" s="11"/>
      <c r="B106" s="11"/>
      <c r="C106" s="12" t="str">
        <f>IF($B106="","",IFERROR(VLOOKUP($B106,Listas!$A$3:$G$13,2,FALSE),""))</f>
        <v/>
      </c>
      <c r="D106" s="12" t="str">
        <f>IF($B106="","",IFERROR(VLOOKUP($B106,Listas!$A$3:$G$13,3,FALSE),""))</f>
        <v/>
      </c>
      <c r="E106" s="11"/>
      <c r="F106" s="13"/>
      <c r="G106" s="13"/>
      <c r="H106" s="12" t="str">
        <f>IF($B106="","",IFERROR(VLOOKUP($B106,Listas!$A$3:$G$13,4,FALSE),""))</f>
        <v/>
      </c>
      <c r="I106" s="14" t="str">
        <f>IF($H106="","",IFERROR(VLOOKUP($H106,Listas!$J$3:$K$7,2,FALSE),""))</f>
        <v/>
      </c>
      <c r="J106" s="15" t="str">
        <f t="shared" si="18"/>
        <v/>
      </c>
      <c r="K106" s="11"/>
      <c r="L106" s="16"/>
      <c r="M106" s="17"/>
      <c r="N106" s="18" t="str">
        <f t="shared" si="19"/>
        <v/>
      </c>
      <c r="O106" s="17"/>
      <c r="P106" s="18" t="str">
        <f t="shared" si="20"/>
        <v/>
      </c>
      <c r="Q106" s="16"/>
      <c r="R106" s="18" t="str">
        <f t="shared" si="21"/>
        <v/>
      </c>
      <c r="S106" s="19" t="str">
        <f>IF($A106="","",SUMIFS(Pagos!$D$8:$D$300,Pagos!$A$8:$A$300,$A106,Pagos!$F$8:$F$300,"Aplicado"))</f>
        <v/>
      </c>
      <c r="T106" s="20" t="str">
        <f t="shared" si="22"/>
        <v/>
      </c>
      <c r="U106" s="12" t="str">
        <f>IF($A106="","",IF($T106&lt;=0.005,"Pagada",IF($S106&gt;0,IF($J106&lt;Inicio!$F$3,"Parcial vencida","Pago parcial"),IF($J106&lt;Inicio!$F$3,"Vencida",IF($J106-Inicio!$F$3&lt;=7,"Próxima","Pendiente")))))</f>
        <v/>
      </c>
      <c r="V106" s="14">
        <f>IF(OR($A106="",$T106&lt;=0,$J106&gt;=Inicio!$F$3),0,Inicio!$F$3-$J106)</f>
        <v>0</v>
      </c>
      <c r="W106" s="11"/>
      <c r="X106" s="11"/>
      <c r="Y106" s="12" t="str">
        <f>IF($A106="","",IF($T106&lt;=0,"Cerrada",IF($J106&lt;Inicio!$F$3,"Alta",IF($J106-Inicio!$F$3&lt;=7,"Media","Normal"))))</f>
        <v/>
      </c>
      <c r="Z106" s="11"/>
      <c r="AA106" s="21" t="str">
        <f t="shared" si="23"/>
        <v/>
      </c>
    </row>
    <row r="107" spans="1:27" ht="21" customHeight="1" x14ac:dyDescent="0.3">
      <c r="A107" s="11"/>
      <c r="B107" s="11"/>
      <c r="C107" s="12" t="str">
        <f>IF($B107="","",IFERROR(VLOOKUP($B107,Listas!$A$3:$G$13,2,FALSE),""))</f>
        <v/>
      </c>
      <c r="D107" s="12" t="str">
        <f>IF($B107="","",IFERROR(VLOOKUP($B107,Listas!$A$3:$G$13,3,FALSE),""))</f>
        <v/>
      </c>
      <c r="E107" s="11"/>
      <c r="F107" s="13"/>
      <c r="G107" s="13"/>
      <c r="H107" s="12" t="str">
        <f>IF($B107="","",IFERROR(VLOOKUP($B107,Listas!$A$3:$G$13,4,FALSE),""))</f>
        <v/>
      </c>
      <c r="I107" s="14" t="str">
        <f>IF($H107="","",IFERROR(VLOOKUP($H107,Listas!$J$3:$K$7,2,FALSE),""))</f>
        <v/>
      </c>
      <c r="J107" s="15" t="str">
        <f t="shared" si="18"/>
        <v/>
      </c>
      <c r="K107" s="11"/>
      <c r="L107" s="16"/>
      <c r="M107" s="17"/>
      <c r="N107" s="18" t="str">
        <f t="shared" si="19"/>
        <v/>
      </c>
      <c r="O107" s="17"/>
      <c r="P107" s="18" t="str">
        <f t="shared" si="20"/>
        <v/>
      </c>
      <c r="Q107" s="16"/>
      <c r="R107" s="18" t="str">
        <f t="shared" si="21"/>
        <v/>
      </c>
      <c r="S107" s="19" t="str">
        <f>IF($A107="","",SUMIFS(Pagos!$D$8:$D$300,Pagos!$A$8:$A$300,$A107,Pagos!$F$8:$F$300,"Aplicado"))</f>
        <v/>
      </c>
      <c r="T107" s="20" t="str">
        <f t="shared" si="22"/>
        <v/>
      </c>
      <c r="U107" s="12" t="str">
        <f>IF($A107="","",IF($T107&lt;=0.005,"Pagada",IF($S107&gt;0,IF($J107&lt;Inicio!$F$3,"Parcial vencida","Pago parcial"),IF($J107&lt;Inicio!$F$3,"Vencida",IF($J107-Inicio!$F$3&lt;=7,"Próxima","Pendiente")))))</f>
        <v/>
      </c>
      <c r="V107" s="14">
        <f>IF(OR($A107="",$T107&lt;=0,$J107&gt;=Inicio!$F$3),0,Inicio!$F$3-$J107)</f>
        <v>0</v>
      </c>
      <c r="W107" s="11"/>
      <c r="X107" s="11"/>
      <c r="Y107" s="12" t="str">
        <f>IF($A107="","",IF($T107&lt;=0,"Cerrada",IF($J107&lt;Inicio!$F$3,"Alta",IF($J107-Inicio!$F$3&lt;=7,"Media","Normal"))))</f>
        <v/>
      </c>
      <c r="Z107" s="11"/>
      <c r="AA107" s="21" t="str">
        <f t="shared" si="23"/>
        <v/>
      </c>
    </row>
    <row r="108" spans="1:27" ht="21" customHeight="1" x14ac:dyDescent="0.3">
      <c r="A108" s="11"/>
      <c r="B108" s="11"/>
      <c r="C108" s="12" t="str">
        <f>IF($B108="","",IFERROR(VLOOKUP($B108,Listas!$A$3:$G$13,2,FALSE),""))</f>
        <v/>
      </c>
      <c r="D108" s="12" t="str">
        <f>IF($B108="","",IFERROR(VLOOKUP($B108,Listas!$A$3:$G$13,3,FALSE),""))</f>
        <v/>
      </c>
      <c r="E108" s="11"/>
      <c r="F108" s="13"/>
      <c r="G108" s="13"/>
      <c r="H108" s="12" t="str">
        <f>IF($B108="","",IFERROR(VLOOKUP($B108,Listas!$A$3:$G$13,4,FALSE),""))</f>
        <v/>
      </c>
      <c r="I108" s="14" t="str">
        <f>IF($H108="","",IFERROR(VLOOKUP($H108,Listas!$J$3:$K$7,2,FALSE),""))</f>
        <v/>
      </c>
      <c r="J108" s="15" t="str">
        <f t="shared" si="18"/>
        <v/>
      </c>
      <c r="K108" s="11"/>
      <c r="L108" s="16"/>
      <c r="M108" s="17"/>
      <c r="N108" s="18" t="str">
        <f t="shared" si="19"/>
        <v/>
      </c>
      <c r="O108" s="17"/>
      <c r="P108" s="18" t="str">
        <f t="shared" si="20"/>
        <v/>
      </c>
      <c r="Q108" s="16"/>
      <c r="R108" s="18" t="str">
        <f t="shared" si="21"/>
        <v/>
      </c>
      <c r="S108" s="19" t="str">
        <f>IF($A108="","",SUMIFS(Pagos!$D$8:$D$300,Pagos!$A$8:$A$300,$A108,Pagos!$F$8:$F$300,"Aplicado"))</f>
        <v/>
      </c>
      <c r="T108" s="20" t="str">
        <f t="shared" si="22"/>
        <v/>
      </c>
      <c r="U108" s="12" t="str">
        <f>IF($A108="","",IF($T108&lt;=0.005,"Pagada",IF($S108&gt;0,IF($J108&lt;Inicio!$F$3,"Parcial vencida","Pago parcial"),IF($J108&lt;Inicio!$F$3,"Vencida",IF($J108-Inicio!$F$3&lt;=7,"Próxima","Pendiente")))))</f>
        <v/>
      </c>
      <c r="V108" s="14">
        <f>IF(OR($A108="",$T108&lt;=0,$J108&gt;=Inicio!$F$3),0,Inicio!$F$3-$J108)</f>
        <v>0</v>
      </c>
      <c r="W108" s="11"/>
      <c r="X108" s="11"/>
      <c r="Y108" s="12" t="str">
        <f>IF($A108="","",IF($T108&lt;=0,"Cerrada",IF($J108&lt;Inicio!$F$3,"Alta",IF($J108-Inicio!$F$3&lt;=7,"Media","Normal"))))</f>
        <v/>
      </c>
      <c r="Z108" s="11"/>
      <c r="AA108" s="21" t="str">
        <f t="shared" si="23"/>
        <v/>
      </c>
    </row>
    <row r="109" spans="1:27" ht="21" customHeight="1" x14ac:dyDescent="0.3">
      <c r="A109" s="11"/>
      <c r="B109" s="11"/>
      <c r="C109" s="12" t="str">
        <f>IF($B109="","",IFERROR(VLOOKUP($B109,Listas!$A$3:$G$13,2,FALSE),""))</f>
        <v/>
      </c>
      <c r="D109" s="12" t="str">
        <f>IF($B109="","",IFERROR(VLOOKUP($B109,Listas!$A$3:$G$13,3,FALSE),""))</f>
        <v/>
      </c>
      <c r="E109" s="11"/>
      <c r="F109" s="13"/>
      <c r="G109" s="13"/>
      <c r="H109" s="12" t="str">
        <f>IF($B109="","",IFERROR(VLOOKUP($B109,Listas!$A$3:$G$13,4,FALSE),""))</f>
        <v/>
      </c>
      <c r="I109" s="14" t="str">
        <f>IF($H109="","",IFERROR(VLOOKUP($H109,Listas!$J$3:$K$7,2,FALSE),""))</f>
        <v/>
      </c>
      <c r="J109" s="15" t="str">
        <f t="shared" si="18"/>
        <v/>
      </c>
      <c r="K109" s="11"/>
      <c r="L109" s="16"/>
      <c r="M109" s="17"/>
      <c r="N109" s="18" t="str">
        <f t="shared" si="19"/>
        <v/>
      </c>
      <c r="O109" s="17"/>
      <c r="P109" s="18" t="str">
        <f t="shared" si="20"/>
        <v/>
      </c>
      <c r="Q109" s="16"/>
      <c r="R109" s="18" t="str">
        <f t="shared" si="21"/>
        <v/>
      </c>
      <c r="S109" s="19" t="str">
        <f>IF($A109="","",SUMIFS(Pagos!$D$8:$D$300,Pagos!$A$8:$A$300,$A109,Pagos!$F$8:$F$300,"Aplicado"))</f>
        <v/>
      </c>
      <c r="T109" s="20" t="str">
        <f t="shared" si="22"/>
        <v/>
      </c>
      <c r="U109" s="12" t="str">
        <f>IF($A109="","",IF($T109&lt;=0.005,"Pagada",IF($S109&gt;0,IF($J109&lt;Inicio!$F$3,"Parcial vencida","Pago parcial"),IF($J109&lt;Inicio!$F$3,"Vencida",IF($J109-Inicio!$F$3&lt;=7,"Próxima","Pendiente")))))</f>
        <v/>
      </c>
      <c r="V109" s="14">
        <f>IF(OR($A109="",$T109&lt;=0,$J109&gt;=Inicio!$F$3),0,Inicio!$F$3-$J109)</f>
        <v>0</v>
      </c>
      <c r="W109" s="11"/>
      <c r="X109" s="11"/>
      <c r="Y109" s="12" t="str">
        <f>IF($A109="","",IF($T109&lt;=0,"Cerrada",IF($J109&lt;Inicio!$F$3,"Alta",IF($J109-Inicio!$F$3&lt;=7,"Media","Normal"))))</f>
        <v/>
      </c>
      <c r="Z109" s="11"/>
      <c r="AA109" s="21" t="str">
        <f t="shared" si="23"/>
        <v/>
      </c>
    </row>
    <row r="110" spans="1:27" ht="21" customHeight="1" x14ac:dyDescent="0.3">
      <c r="A110" s="11"/>
      <c r="B110" s="11"/>
      <c r="C110" s="12" t="str">
        <f>IF($B110="","",IFERROR(VLOOKUP($B110,Listas!$A$3:$G$13,2,FALSE),""))</f>
        <v/>
      </c>
      <c r="D110" s="12" t="str">
        <f>IF($B110="","",IFERROR(VLOOKUP($B110,Listas!$A$3:$G$13,3,FALSE),""))</f>
        <v/>
      </c>
      <c r="E110" s="11"/>
      <c r="F110" s="13"/>
      <c r="G110" s="13"/>
      <c r="H110" s="12" t="str">
        <f>IF($B110="","",IFERROR(VLOOKUP($B110,Listas!$A$3:$G$13,4,FALSE),""))</f>
        <v/>
      </c>
      <c r="I110" s="14" t="str">
        <f>IF($H110="","",IFERROR(VLOOKUP($H110,Listas!$J$3:$K$7,2,FALSE),""))</f>
        <v/>
      </c>
      <c r="J110" s="15" t="str">
        <f t="shared" si="18"/>
        <v/>
      </c>
      <c r="K110" s="11"/>
      <c r="L110" s="16"/>
      <c r="M110" s="17"/>
      <c r="N110" s="18" t="str">
        <f t="shared" si="19"/>
        <v/>
      </c>
      <c r="O110" s="17"/>
      <c r="P110" s="18" t="str">
        <f t="shared" si="20"/>
        <v/>
      </c>
      <c r="Q110" s="16"/>
      <c r="R110" s="18" t="str">
        <f t="shared" si="21"/>
        <v/>
      </c>
      <c r="S110" s="19" t="str">
        <f>IF($A110="","",SUMIFS(Pagos!$D$8:$D$300,Pagos!$A$8:$A$300,$A110,Pagos!$F$8:$F$300,"Aplicado"))</f>
        <v/>
      </c>
      <c r="T110" s="20" t="str">
        <f t="shared" si="22"/>
        <v/>
      </c>
      <c r="U110" s="12" t="str">
        <f>IF($A110="","",IF($T110&lt;=0.005,"Pagada",IF($S110&gt;0,IF($J110&lt;Inicio!$F$3,"Parcial vencida","Pago parcial"),IF($J110&lt;Inicio!$F$3,"Vencida",IF($J110-Inicio!$F$3&lt;=7,"Próxima","Pendiente")))))</f>
        <v/>
      </c>
      <c r="V110" s="14">
        <f>IF(OR($A110="",$T110&lt;=0,$J110&gt;=Inicio!$F$3),0,Inicio!$F$3-$J110)</f>
        <v>0</v>
      </c>
      <c r="W110" s="11"/>
      <c r="X110" s="11"/>
      <c r="Y110" s="12" t="str">
        <f>IF($A110="","",IF($T110&lt;=0,"Cerrada",IF($J110&lt;Inicio!$F$3,"Alta",IF($J110-Inicio!$F$3&lt;=7,"Media","Normal"))))</f>
        <v/>
      </c>
      <c r="Z110" s="11"/>
      <c r="AA110" s="21" t="str">
        <f t="shared" si="23"/>
        <v/>
      </c>
    </row>
    <row r="111" spans="1:27" ht="21" customHeight="1" x14ac:dyDescent="0.3">
      <c r="A111" s="11"/>
      <c r="B111" s="11"/>
      <c r="C111" s="12" t="str">
        <f>IF($B111="","",IFERROR(VLOOKUP($B111,Listas!$A$3:$G$13,2,FALSE),""))</f>
        <v/>
      </c>
      <c r="D111" s="12" t="str">
        <f>IF($B111="","",IFERROR(VLOOKUP($B111,Listas!$A$3:$G$13,3,FALSE),""))</f>
        <v/>
      </c>
      <c r="E111" s="11"/>
      <c r="F111" s="13"/>
      <c r="G111" s="13"/>
      <c r="H111" s="12" t="str">
        <f>IF($B111="","",IFERROR(VLOOKUP($B111,Listas!$A$3:$G$13,4,FALSE),""))</f>
        <v/>
      </c>
      <c r="I111" s="14" t="str">
        <f>IF($H111="","",IFERROR(VLOOKUP($H111,Listas!$J$3:$K$7,2,FALSE),""))</f>
        <v/>
      </c>
      <c r="J111" s="15" t="str">
        <f t="shared" si="18"/>
        <v/>
      </c>
      <c r="K111" s="11"/>
      <c r="L111" s="16"/>
      <c r="M111" s="17"/>
      <c r="N111" s="18" t="str">
        <f t="shared" si="19"/>
        <v/>
      </c>
      <c r="O111" s="17"/>
      <c r="P111" s="18" t="str">
        <f t="shared" si="20"/>
        <v/>
      </c>
      <c r="Q111" s="16"/>
      <c r="R111" s="18" t="str">
        <f t="shared" si="21"/>
        <v/>
      </c>
      <c r="S111" s="19" t="str">
        <f>IF($A111="","",SUMIFS(Pagos!$D$8:$D$300,Pagos!$A$8:$A$300,$A111,Pagos!$F$8:$F$300,"Aplicado"))</f>
        <v/>
      </c>
      <c r="T111" s="20" t="str">
        <f t="shared" si="22"/>
        <v/>
      </c>
      <c r="U111" s="12" t="str">
        <f>IF($A111="","",IF($T111&lt;=0.005,"Pagada",IF($S111&gt;0,IF($J111&lt;Inicio!$F$3,"Parcial vencida","Pago parcial"),IF($J111&lt;Inicio!$F$3,"Vencida",IF($J111-Inicio!$F$3&lt;=7,"Próxima","Pendiente")))))</f>
        <v/>
      </c>
      <c r="V111" s="14">
        <f>IF(OR($A111="",$T111&lt;=0,$J111&gt;=Inicio!$F$3),0,Inicio!$F$3-$J111)</f>
        <v>0</v>
      </c>
      <c r="W111" s="11"/>
      <c r="X111" s="11"/>
      <c r="Y111" s="12" t="str">
        <f>IF($A111="","",IF($T111&lt;=0,"Cerrada",IF($J111&lt;Inicio!$F$3,"Alta",IF($J111-Inicio!$F$3&lt;=7,"Media","Normal"))))</f>
        <v/>
      </c>
      <c r="Z111" s="11"/>
      <c r="AA111" s="21" t="str">
        <f t="shared" si="23"/>
        <v/>
      </c>
    </row>
    <row r="112" spans="1:27" ht="21" customHeight="1" x14ac:dyDescent="0.3">
      <c r="A112" s="11"/>
      <c r="B112" s="11"/>
      <c r="C112" s="12" t="str">
        <f>IF($B112="","",IFERROR(VLOOKUP($B112,Listas!$A$3:$G$13,2,FALSE),""))</f>
        <v/>
      </c>
      <c r="D112" s="12" t="str">
        <f>IF($B112="","",IFERROR(VLOOKUP($B112,Listas!$A$3:$G$13,3,FALSE),""))</f>
        <v/>
      </c>
      <c r="E112" s="11"/>
      <c r="F112" s="13"/>
      <c r="G112" s="13"/>
      <c r="H112" s="12" t="str">
        <f>IF($B112="","",IFERROR(VLOOKUP($B112,Listas!$A$3:$G$13,4,FALSE),""))</f>
        <v/>
      </c>
      <c r="I112" s="14" t="str">
        <f>IF($H112="","",IFERROR(VLOOKUP($H112,Listas!$J$3:$K$7,2,FALSE),""))</f>
        <v/>
      </c>
      <c r="J112" s="15" t="str">
        <f t="shared" si="18"/>
        <v/>
      </c>
      <c r="K112" s="11"/>
      <c r="L112" s="16"/>
      <c r="M112" s="17"/>
      <c r="N112" s="18" t="str">
        <f t="shared" si="19"/>
        <v/>
      </c>
      <c r="O112" s="17"/>
      <c r="P112" s="18" t="str">
        <f t="shared" si="20"/>
        <v/>
      </c>
      <c r="Q112" s="16"/>
      <c r="R112" s="18" t="str">
        <f t="shared" si="21"/>
        <v/>
      </c>
      <c r="S112" s="19" t="str">
        <f>IF($A112="","",SUMIFS(Pagos!$D$8:$D$300,Pagos!$A$8:$A$300,$A112,Pagos!$F$8:$F$300,"Aplicado"))</f>
        <v/>
      </c>
      <c r="T112" s="20" t="str">
        <f t="shared" si="22"/>
        <v/>
      </c>
      <c r="U112" s="12" t="str">
        <f>IF($A112="","",IF($T112&lt;=0.005,"Pagada",IF($S112&gt;0,IF($J112&lt;Inicio!$F$3,"Parcial vencida","Pago parcial"),IF($J112&lt;Inicio!$F$3,"Vencida",IF($J112-Inicio!$F$3&lt;=7,"Próxima","Pendiente")))))</f>
        <v/>
      </c>
      <c r="V112" s="14">
        <f>IF(OR($A112="",$T112&lt;=0,$J112&gt;=Inicio!$F$3),0,Inicio!$F$3-$J112)</f>
        <v>0</v>
      </c>
      <c r="W112" s="11"/>
      <c r="X112" s="11"/>
      <c r="Y112" s="12" t="str">
        <f>IF($A112="","",IF($T112&lt;=0,"Cerrada",IF($J112&lt;Inicio!$F$3,"Alta",IF($J112-Inicio!$F$3&lt;=7,"Media","Normal"))))</f>
        <v/>
      </c>
      <c r="Z112" s="11"/>
      <c r="AA112" s="21" t="str">
        <f t="shared" si="23"/>
        <v/>
      </c>
    </row>
    <row r="113" spans="1:27" ht="21" customHeight="1" x14ac:dyDescent="0.3">
      <c r="A113" s="11"/>
      <c r="B113" s="11"/>
      <c r="C113" s="12" t="str">
        <f>IF($B113="","",IFERROR(VLOOKUP($B113,Listas!$A$3:$G$13,2,FALSE),""))</f>
        <v/>
      </c>
      <c r="D113" s="12" t="str">
        <f>IF($B113="","",IFERROR(VLOOKUP($B113,Listas!$A$3:$G$13,3,FALSE),""))</f>
        <v/>
      </c>
      <c r="E113" s="11"/>
      <c r="F113" s="13"/>
      <c r="G113" s="13"/>
      <c r="H113" s="12" t="str">
        <f>IF($B113="","",IFERROR(VLOOKUP($B113,Listas!$A$3:$G$13,4,FALSE),""))</f>
        <v/>
      </c>
      <c r="I113" s="14" t="str">
        <f>IF($H113="","",IFERROR(VLOOKUP($H113,Listas!$J$3:$K$7,2,FALSE),""))</f>
        <v/>
      </c>
      <c r="J113" s="15" t="str">
        <f t="shared" si="18"/>
        <v/>
      </c>
      <c r="K113" s="11"/>
      <c r="L113" s="16"/>
      <c r="M113" s="17"/>
      <c r="N113" s="18" t="str">
        <f t="shared" si="19"/>
        <v/>
      </c>
      <c r="O113" s="17"/>
      <c r="P113" s="18" t="str">
        <f t="shared" si="20"/>
        <v/>
      </c>
      <c r="Q113" s="16"/>
      <c r="R113" s="18" t="str">
        <f t="shared" si="21"/>
        <v/>
      </c>
      <c r="S113" s="19" t="str">
        <f>IF($A113="","",SUMIFS(Pagos!$D$8:$D$300,Pagos!$A$8:$A$300,$A113,Pagos!$F$8:$F$300,"Aplicado"))</f>
        <v/>
      </c>
      <c r="T113" s="20" t="str">
        <f t="shared" si="22"/>
        <v/>
      </c>
      <c r="U113" s="12" t="str">
        <f>IF($A113="","",IF($T113&lt;=0.005,"Pagada",IF($S113&gt;0,IF($J113&lt;Inicio!$F$3,"Parcial vencida","Pago parcial"),IF($J113&lt;Inicio!$F$3,"Vencida",IF($J113-Inicio!$F$3&lt;=7,"Próxima","Pendiente")))))</f>
        <v/>
      </c>
      <c r="V113" s="14">
        <f>IF(OR($A113="",$T113&lt;=0,$J113&gt;=Inicio!$F$3),0,Inicio!$F$3-$J113)</f>
        <v>0</v>
      </c>
      <c r="W113" s="11"/>
      <c r="X113" s="11"/>
      <c r="Y113" s="12" t="str">
        <f>IF($A113="","",IF($T113&lt;=0,"Cerrada",IF($J113&lt;Inicio!$F$3,"Alta",IF($J113-Inicio!$F$3&lt;=7,"Media","Normal"))))</f>
        <v/>
      </c>
      <c r="Z113" s="11"/>
      <c r="AA113" s="21" t="str">
        <f t="shared" si="23"/>
        <v/>
      </c>
    </row>
    <row r="114" spans="1:27" ht="21" customHeight="1" x14ac:dyDescent="0.3">
      <c r="A114" s="11"/>
      <c r="B114" s="11"/>
      <c r="C114" s="12" t="str">
        <f>IF($B114="","",IFERROR(VLOOKUP($B114,Listas!$A$3:$G$13,2,FALSE),""))</f>
        <v/>
      </c>
      <c r="D114" s="12" t="str">
        <f>IF($B114="","",IFERROR(VLOOKUP($B114,Listas!$A$3:$G$13,3,FALSE),""))</f>
        <v/>
      </c>
      <c r="E114" s="11"/>
      <c r="F114" s="13"/>
      <c r="G114" s="13"/>
      <c r="H114" s="12" t="str">
        <f>IF($B114="","",IFERROR(VLOOKUP($B114,Listas!$A$3:$G$13,4,FALSE),""))</f>
        <v/>
      </c>
      <c r="I114" s="14" t="str">
        <f>IF($H114="","",IFERROR(VLOOKUP($H114,Listas!$J$3:$K$7,2,FALSE),""))</f>
        <v/>
      </c>
      <c r="J114" s="15" t="str">
        <f t="shared" si="18"/>
        <v/>
      </c>
      <c r="K114" s="11"/>
      <c r="L114" s="16"/>
      <c r="M114" s="17"/>
      <c r="N114" s="18" t="str">
        <f t="shared" si="19"/>
        <v/>
      </c>
      <c r="O114" s="17"/>
      <c r="P114" s="18" t="str">
        <f t="shared" si="20"/>
        <v/>
      </c>
      <c r="Q114" s="16"/>
      <c r="R114" s="18" t="str">
        <f t="shared" si="21"/>
        <v/>
      </c>
      <c r="S114" s="19" t="str">
        <f>IF($A114="","",SUMIFS(Pagos!$D$8:$D$300,Pagos!$A$8:$A$300,$A114,Pagos!$F$8:$F$300,"Aplicado"))</f>
        <v/>
      </c>
      <c r="T114" s="20" t="str">
        <f t="shared" si="22"/>
        <v/>
      </c>
      <c r="U114" s="12" t="str">
        <f>IF($A114="","",IF($T114&lt;=0.005,"Pagada",IF($S114&gt;0,IF($J114&lt;Inicio!$F$3,"Parcial vencida","Pago parcial"),IF($J114&lt;Inicio!$F$3,"Vencida",IF($J114-Inicio!$F$3&lt;=7,"Próxima","Pendiente")))))</f>
        <v/>
      </c>
      <c r="V114" s="14">
        <f>IF(OR($A114="",$T114&lt;=0,$J114&gt;=Inicio!$F$3),0,Inicio!$F$3-$J114)</f>
        <v>0</v>
      </c>
      <c r="W114" s="11"/>
      <c r="X114" s="11"/>
      <c r="Y114" s="12" t="str">
        <f>IF($A114="","",IF($T114&lt;=0,"Cerrada",IF($J114&lt;Inicio!$F$3,"Alta",IF($J114-Inicio!$F$3&lt;=7,"Media","Normal"))))</f>
        <v/>
      </c>
      <c r="Z114" s="11"/>
      <c r="AA114" s="21" t="str">
        <f t="shared" si="23"/>
        <v/>
      </c>
    </row>
    <row r="115" spans="1:27" ht="21" customHeight="1" x14ac:dyDescent="0.3">
      <c r="A115" s="11"/>
      <c r="B115" s="11"/>
      <c r="C115" s="12" t="str">
        <f>IF($B115="","",IFERROR(VLOOKUP($B115,Listas!$A$3:$G$13,2,FALSE),""))</f>
        <v/>
      </c>
      <c r="D115" s="12" t="str">
        <f>IF($B115="","",IFERROR(VLOOKUP($B115,Listas!$A$3:$G$13,3,FALSE),""))</f>
        <v/>
      </c>
      <c r="E115" s="11"/>
      <c r="F115" s="13"/>
      <c r="G115" s="13"/>
      <c r="H115" s="12" t="str">
        <f>IF($B115="","",IFERROR(VLOOKUP($B115,Listas!$A$3:$G$13,4,FALSE),""))</f>
        <v/>
      </c>
      <c r="I115" s="14" t="str">
        <f>IF($H115="","",IFERROR(VLOOKUP($H115,Listas!$J$3:$K$7,2,FALSE),""))</f>
        <v/>
      </c>
      <c r="J115" s="15" t="str">
        <f t="shared" si="18"/>
        <v/>
      </c>
      <c r="K115" s="11"/>
      <c r="L115" s="16"/>
      <c r="M115" s="17"/>
      <c r="N115" s="18" t="str">
        <f t="shared" si="19"/>
        <v/>
      </c>
      <c r="O115" s="17"/>
      <c r="P115" s="18" t="str">
        <f t="shared" si="20"/>
        <v/>
      </c>
      <c r="Q115" s="16"/>
      <c r="R115" s="18" t="str">
        <f t="shared" si="21"/>
        <v/>
      </c>
      <c r="S115" s="19" t="str">
        <f>IF($A115="","",SUMIFS(Pagos!$D$8:$D$300,Pagos!$A$8:$A$300,$A115,Pagos!$F$8:$F$300,"Aplicado"))</f>
        <v/>
      </c>
      <c r="T115" s="20" t="str">
        <f t="shared" si="22"/>
        <v/>
      </c>
      <c r="U115" s="12" t="str">
        <f>IF($A115="","",IF($T115&lt;=0.005,"Pagada",IF($S115&gt;0,IF($J115&lt;Inicio!$F$3,"Parcial vencida","Pago parcial"),IF($J115&lt;Inicio!$F$3,"Vencida",IF($J115-Inicio!$F$3&lt;=7,"Próxima","Pendiente")))))</f>
        <v/>
      </c>
      <c r="V115" s="14">
        <f>IF(OR($A115="",$T115&lt;=0,$J115&gt;=Inicio!$F$3),0,Inicio!$F$3-$J115)</f>
        <v>0</v>
      </c>
      <c r="W115" s="11"/>
      <c r="X115" s="11"/>
      <c r="Y115" s="12" t="str">
        <f>IF($A115="","",IF($T115&lt;=0,"Cerrada",IF($J115&lt;Inicio!$F$3,"Alta",IF($J115-Inicio!$F$3&lt;=7,"Media","Normal"))))</f>
        <v/>
      </c>
      <c r="Z115" s="11"/>
      <c r="AA115" s="21" t="str">
        <f t="shared" si="23"/>
        <v/>
      </c>
    </row>
    <row r="116" spans="1:27" ht="21" customHeight="1" x14ac:dyDescent="0.3">
      <c r="A116" s="11"/>
      <c r="B116" s="11"/>
      <c r="C116" s="12" t="str">
        <f>IF($B116="","",IFERROR(VLOOKUP($B116,Listas!$A$3:$G$13,2,FALSE),""))</f>
        <v/>
      </c>
      <c r="D116" s="12" t="str">
        <f>IF($B116="","",IFERROR(VLOOKUP($B116,Listas!$A$3:$G$13,3,FALSE),""))</f>
        <v/>
      </c>
      <c r="E116" s="11"/>
      <c r="F116" s="13"/>
      <c r="G116" s="13"/>
      <c r="H116" s="12" t="str">
        <f>IF($B116="","",IFERROR(VLOOKUP($B116,Listas!$A$3:$G$13,4,FALSE),""))</f>
        <v/>
      </c>
      <c r="I116" s="14" t="str">
        <f>IF($H116="","",IFERROR(VLOOKUP($H116,Listas!$J$3:$K$7,2,FALSE),""))</f>
        <v/>
      </c>
      <c r="J116" s="15" t="str">
        <f t="shared" si="18"/>
        <v/>
      </c>
      <c r="K116" s="11"/>
      <c r="L116" s="16"/>
      <c r="M116" s="17"/>
      <c r="N116" s="18" t="str">
        <f t="shared" si="19"/>
        <v/>
      </c>
      <c r="O116" s="17"/>
      <c r="P116" s="18" t="str">
        <f t="shared" si="20"/>
        <v/>
      </c>
      <c r="Q116" s="16"/>
      <c r="R116" s="18" t="str">
        <f t="shared" si="21"/>
        <v/>
      </c>
      <c r="S116" s="19" t="str">
        <f>IF($A116="","",SUMIFS(Pagos!$D$8:$D$300,Pagos!$A$8:$A$300,$A116,Pagos!$F$8:$F$300,"Aplicado"))</f>
        <v/>
      </c>
      <c r="T116" s="20" t="str">
        <f t="shared" si="22"/>
        <v/>
      </c>
      <c r="U116" s="12" t="str">
        <f>IF($A116="","",IF($T116&lt;=0.005,"Pagada",IF($S116&gt;0,IF($J116&lt;Inicio!$F$3,"Parcial vencida","Pago parcial"),IF($J116&lt;Inicio!$F$3,"Vencida",IF($J116-Inicio!$F$3&lt;=7,"Próxima","Pendiente")))))</f>
        <v/>
      </c>
      <c r="V116" s="14">
        <f>IF(OR($A116="",$T116&lt;=0,$J116&gt;=Inicio!$F$3),0,Inicio!$F$3-$J116)</f>
        <v>0</v>
      </c>
      <c r="W116" s="11"/>
      <c r="X116" s="11"/>
      <c r="Y116" s="12" t="str">
        <f>IF($A116="","",IF($T116&lt;=0,"Cerrada",IF($J116&lt;Inicio!$F$3,"Alta",IF($J116-Inicio!$F$3&lt;=7,"Media","Normal"))))</f>
        <v/>
      </c>
      <c r="Z116" s="11"/>
      <c r="AA116" s="21" t="str">
        <f t="shared" si="23"/>
        <v/>
      </c>
    </row>
    <row r="117" spans="1:27" ht="21" customHeight="1" x14ac:dyDescent="0.3">
      <c r="A117" s="11"/>
      <c r="B117" s="11"/>
      <c r="C117" s="12" t="str">
        <f>IF($B117="","",IFERROR(VLOOKUP($B117,Listas!$A$3:$G$13,2,FALSE),""))</f>
        <v/>
      </c>
      <c r="D117" s="12" t="str">
        <f>IF($B117="","",IFERROR(VLOOKUP($B117,Listas!$A$3:$G$13,3,FALSE),""))</f>
        <v/>
      </c>
      <c r="E117" s="11"/>
      <c r="F117" s="13"/>
      <c r="G117" s="13"/>
      <c r="H117" s="12" t="str">
        <f>IF($B117="","",IFERROR(VLOOKUP($B117,Listas!$A$3:$G$13,4,FALSE),""))</f>
        <v/>
      </c>
      <c r="I117" s="14" t="str">
        <f>IF($H117="","",IFERROR(VLOOKUP($H117,Listas!$J$3:$K$7,2,FALSE),""))</f>
        <v/>
      </c>
      <c r="J117" s="15" t="str">
        <f t="shared" si="18"/>
        <v/>
      </c>
      <c r="K117" s="11"/>
      <c r="L117" s="16"/>
      <c r="M117" s="17"/>
      <c r="N117" s="18" t="str">
        <f t="shared" si="19"/>
        <v/>
      </c>
      <c r="O117" s="17"/>
      <c r="P117" s="18" t="str">
        <f t="shared" si="20"/>
        <v/>
      </c>
      <c r="Q117" s="16"/>
      <c r="R117" s="18" t="str">
        <f t="shared" si="21"/>
        <v/>
      </c>
      <c r="S117" s="19" t="str">
        <f>IF($A117="","",SUMIFS(Pagos!$D$8:$D$300,Pagos!$A$8:$A$300,$A117,Pagos!$F$8:$F$300,"Aplicado"))</f>
        <v/>
      </c>
      <c r="T117" s="20" t="str">
        <f t="shared" si="22"/>
        <v/>
      </c>
      <c r="U117" s="12" t="str">
        <f>IF($A117="","",IF($T117&lt;=0.005,"Pagada",IF($S117&gt;0,IF($J117&lt;Inicio!$F$3,"Parcial vencida","Pago parcial"),IF($J117&lt;Inicio!$F$3,"Vencida",IF($J117-Inicio!$F$3&lt;=7,"Próxima","Pendiente")))))</f>
        <v/>
      </c>
      <c r="V117" s="14">
        <f>IF(OR($A117="",$T117&lt;=0,$J117&gt;=Inicio!$F$3),0,Inicio!$F$3-$J117)</f>
        <v>0</v>
      </c>
      <c r="W117" s="11"/>
      <c r="X117" s="11"/>
      <c r="Y117" s="12" t="str">
        <f>IF($A117="","",IF($T117&lt;=0,"Cerrada",IF($J117&lt;Inicio!$F$3,"Alta",IF($J117-Inicio!$F$3&lt;=7,"Media","Normal"))))</f>
        <v/>
      </c>
      <c r="Z117" s="11"/>
      <c r="AA117" s="21" t="str">
        <f t="shared" si="23"/>
        <v/>
      </c>
    </row>
    <row r="118" spans="1:27" ht="21" customHeight="1" x14ac:dyDescent="0.3">
      <c r="A118" s="11"/>
      <c r="B118" s="11"/>
      <c r="C118" s="12" t="str">
        <f>IF($B118="","",IFERROR(VLOOKUP($B118,Listas!$A$3:$G$13,2,FALSE),""))</f>
        <v/>
      </c>
      <c r="D118" s="12" t="str">
        <f>IF($B118="","",IFERROR(VLOOKUP($B118,Listas!$A$3:$G$13,3,FALSE),""))</f>
        <v/>
      </c>
      <c r="E118" s="11"/>
      <c r="F118" s="13"/>
      <c r="G118" s="13"/>
      <c r="H118" s="12" t="str">
        <f>IF($B118="","",IFERROR(VLOOKUP($B118,Listas!$A$3:$G$13,4,FALSE),""))</f>
        <v/>
      </c>
      <c r="I118" s="14" t="str">
        <f>IF($H118="","",IFERROR(VLOOKUP($H118,Listas!$J$3:$K$7,2,FALSE),""))</f>
        <v/>
      </c>
      <c r="J118" s="15" t="str">
        <f t="shared" si="18"/>
        <v/>
      </c>
      <c r="K118" s="11"/>
      <c r="L118" s="16"/>
      <c r="M118" s="17"/>
      <c r="N118" s="18" t="str">
        <f t="shared" si="19"/>
        <v/>
      </c>
      <c r="O118" s="17"/>
      <c r="P118" s="18" t="str">
        <f t="shared" si="20"/>
        <v/>
      </c>
      <c r="Q118" s="16"/>
      <c r="R118" s="18" t="str">
        <f t="shared" si="21"/>
        <v/>
      </c>
      <c r="S118" s="19" t="str">
        <f>IF($A118="","",SUMIFS(Pagos!$D$8:$D$300,Pagos!$A$8:$A$300,$A118,Pagos!$F$8:$F$300,"Aplicado"))</f>
        <v/>
      </c>
      <c r="T118" s="20" t="str">
        <f t="shared" si="22"/>
        <v/>
      </c>
      <c r="U118" s="12" t="str">
        <f>IF($A118="","",IF($T118&lt;=0.005,"Pagada",IF($S118&gt;0,IF($J118&lt;Inicio!$F$3,"Parcial vencida","Pago parcial"),IF($J118&lt;Inicio!$F$3,"Vencida",IF($J118-Inicio!$F$3&lt;=7,"Próxima","Pendiente")))))</f>
        <v/>
      </c>
      <c r="V118" s="14">
        <f>IF(OR($A118="",$T118&lt;=0,$J118&gt;=Inicio!$F$3),0,Inicio!$F$3-$J118)</f>
        <v>0</v>
      </c>
      <c r="W118" s="11"/>
      <c r="X118" s="11"/>
      <c r="Y118" s="12" t="str">
        <f>IF($A118="","",IF($T118&lt;=0,"Cerrada",IF($J118&lt;Inicio!$F$3,"Alta",IF($J118-Inicio!$F$3&lt;=7,"Media","Normal"))))</f>
        <v/>
      </c>
      <c r="Z118" s="11"/>
      <c r="AA118" s="21" t="str">
        <f t="shared" si="23"/>
        <v/>
      </c>
    </row>
    <row r="119" spans="1:27" ht="21" customHeight="1" x14ac:dyDescent="0.3">
      <c r="A119" s="11"/>
      <c r="B119" s="11"/>
      <c r="C119" s="12" t="str">
        <f>IF($B119="","",IFERROR(VLOOKUP($B119,Listas!$A$3:$G$13,2,FALSE),""))</f>
        <v/>
      </c>
      <c r="D119" s="12" t="str">
        <f>IF($B119="","",IFERROR(VLOOKUP($B119,Listas!$A$3:$G$13,3,FALSE),""))</f>
        <v/>
      </c>
      <c r="E119" s="11"/>
      <c r="F119" s="13"/>
      <c r="G119" s="13"/>
      <c r="H119" s="12" t="str">
        <f>IF($B119="","",IFERROR(VLOOKUP($B119,Listas!$A$3:$G$13,4,FALSE),""))</f>
        <v/>
      </c>
      <c r="I119" s="14" t="str">
        <f>IF($H119="","",IFERROR(VLOOKUP($H119,Listas!$J$3:$K$7,2,FALSE),""))</f>
        <v/>
      </c>
      <c r="J119" s="15" t="str">
        <f t="shared" si="18"/>
        <v/>
      </c>
      <c r="K119" s="11"/>
      <c r="L119" s="16"/>
      <c r="M119" s="17"/>
      <c r="N119" s="18" t="str">
        <f t="shared" si="19"/>
        <v/>
      </c>
      <c r="O119" s="17"/>
      <c r="P119" s="18" t="str">
        <f t="shared" si="20"/>
        <v/>
      </c>
      <c r="Q119" s="16"/>
      <c r="R119" s="18" t="str">
        <f t="shared" si="21"/>
        <v/>
      </c>
      <c r="S119" s="19" t="str">
        <f>IF($A119="","",SUMIFS(Pagos!$D$8:$D$300,Pagos!$A$8:$A$300,$A119,Pagos!$F$8:$F$300,"Aplicado"))</f>
        <v/>
      </c>
      <c r="T119" s="20" t="str">
        <f t="shared" si="22"/>
        <v/>
      </c>
      <c r="U119" s="12" t="str">
        <f>IF($A119="","",IF($T119&lt;=0.005,"Pagada",IF($S119&gt;0,IF($J119&lt;Inicio!$F$3,"Parcial vencida","Pago parcial"),IF($J119&lt;Inicio!$F$3,"Vencida",IF($J119-Inicio!$F$3&lt;=7,"Próxima","Pendiente")))))</f>
        <v/>
      </c>
      <c r="V119" s="14">
        <f>IF(OR($A119="",$T119&lt;=0,$J119&gt;=Inicio!$F$3),0,Inicio!$F$3-$J119)</f>
        <v>0</v>
      </c>
      <c r="W119" s="11"/>
      <c r="X119" s="11"/>
      <c r="Y119" s="12" t="str">
        <f>IF($A119="","",IF($T119&lt;=0,"Cerrada",IF($J119&lt;Inicio!$F$3,"Alta",IF($J119-Inicio!$F$3&lt;=7,"Media","Normal"))))</f>
        <v/>
      </c>
      <c r="Z119" s="11"/>
      <c r="AA119" s="21" t="str">
        <f t="shared" si="23"/>
        <v/>
      </c>
    </row>
    <row r="120" spans="1:27" ht="21" customHeight="1" x14ac:dyDescent="0.3">
      <c r="A120" s="11"/>
      <c r="B120" s="11"/>
      <c r="C120" s="12" t="str">
        <f>IF($B120="","",IFERROR(VLOOKUP($B120,Listas!$A$3:$G$13,2,FALSE),""))</f>
        <v/>
      </c>
      <c r="D120" s="12" t="str">
        <f>IF($B120="","",IFERROR(VLOOKUP($B120,Listas!$A$3:$G$13,3,FALSE),""))</f>
        <v/>
      </c>
      <c r="E120" s="11"/>
      <c r="F120" s="13"/>
      <c r="G120" s="13"/>
      <c r="H120" s="12" t="str">
        <f>IF($B120="","",IFERROR(VLOOKUP($B120,Listas!$A$3:$G$13,4,FALSE),""))</f>
        <v/>
      </c>
      <c r="I120" s="14" t="str">
        <f>IF($H120="","",IFERROR(VLOOKUP($H120,Listas!$J$3:$K$7,2,FALSE),""))</f>
        <v/>
      </c>
      <c r="J120" s="15" t="str">
        <f t="shared" si="18"/>
        <v/>
      </c>
      <c r="K120" s="11"/>
      <c r="L120" s="16"/>
      <c r="M120" s="17"/>
      <c r="N120" s="18" t="str">
        <f t="shared" si="19"/>
        <v/>
      </c>
      <c r="O120" s="17"/>
      <c r="P120" s="18" t="str">
        <f t="shared" si="20"/>
        <v/>
      </c>
      <c r="Q120" s="16"/>
      <c r="R120" s="18" t="str">
        <f t="shared" si="21"/>
        <v/>
      </c>
      <c r="S120" s="19" t="str">
        <f>IF($A120="","",SUMIFS(Pagos!$D$8:$D$300,Pagos!$A$8:$A$300,$A120,Pagos!$F$8:$F$300,"Aplicado"))</f>
        <v/>
      </c>
      <c r="T120" s="20" t="str">
        <f t="shared" si="22"/>
        <v/>
      </c>
      <c r="U120" s="12" t="str">
        <f>IF($A120="","",IF($T120&lt;=0.005,"Pagada",IF($S120&gt;0,IF($J120&lt;Inicio!$F$3,"Parcial vencida","Pago parcial"),IF($J120&lt;Inicio!$F$3,"Vencida",IF($J120-Inicio!$F$3&lt;=7,"Próxima","Pendiente")))))</f>
        <v/>
      </c>
      <c r="V120" s="14">
        <f>IF(OR($A120="",$T120&lt;=0,$J120&gt;=Inicio!$F$3),0,Inicio!$F$3-$J120)</f>
        <v>0</v>
      </c>
      <c r="W120" s="11"/>
      <c r="X120" s="11"/>
      <c r="Y120" s="12" t="str">
        <f>IF($A120="","",IF($T120&lt;=0,"Cerrada",IF($J120&lt;Inicio!$F$3,"Alta",IF($J120-Inicio!$F$3&lt;=7,"Media","Normal"))))</f>
        <v/>
      </c>
      <c r="Z120" s="11"/>
      <c r="AA120" s="21" t="str">
        <f t="shared" si="23"/>
        <v/>
      </c>
    </row>
    <row r="121" spans="1:27" ht="21" customHeight="1" x14ac:dyDescent="0.3"/>
    <row r="122" spans="1:27" ht="21" customHeight="1" x14ac:dyDescent="0.3"/>
    <row r="123" spans="1:27" ht="21" customHeight="1" x14ac:dyDescent="0.3"/>
    <row r="124" spans="1:27" ht="21" customHeight="1" x14ac:dyDescent="0.3"/>
    <row r="125" spans="1:27" ht="21" customHeight="1" x14ac:dyDescent="0.3"/>
    <row r="126" spans="1:27" ht="21" customHeight="1" x14ac:dyDescent="0.3"/>
    <row r="127" spans="1:27" ht="21" customHeight="1" x14ac:dyDescent="0.3"/>
    <row r="128" spans="1:27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  <row r="276" ht="21" customHeight="1" x14ac:dyDescent="0.3"/>
    <row r="277" ht="21" customHeight="1" x14ac:dyDescent="0.3"/>
    <row r="278" ht="21" customHeight="1" x14ac:dyDescent="0.3"/>
    <row r="279" ht="21" customHeight="1" x14ac:dyDescent="0.3"/>
    <row r="280" ht="21" customHeight="1" x14ac:dyDescent="0.3"/>
    <row r="281" ht="21" customHeight="1" x14ac:dyDescent="0.3"/>
    <row r="282" ht="21" customHeight="1" x14ac:dyDescent="0.3"/>
    <row r="283" ht="21" customHeight="1" x14ac:dyDescent="0.3"/>
    <row r="284" ht="21" customHeight="1" x14ac:dyDescent="0.3"/>
    <row r="285" ht="21" customHeight="1" x14ac:dyDescent="0.3"/>
    <row r="286" ht="21" customHeight="1" x14ac:dyDescent="0.3"/>
    <row r="287" ht="21" customHeight="1" x14ac:dyDescent="0.3"/>
    <row r="288" ht="21" customHeight="1" x14ac:dyDescent="0.3"/>
    <row r="289" ht="21" customHeight="1" x14ac:dyDescent="0.3"/>
    <row r="290" ht="21" customHeight="1" x14ac:dyDescent="0.3"/>
    <row r="291" ht="21" customHeight="1" x14ac:dyDescent="0.3"/>
    <row r="292" ht="21" customHeight="1" x14ac:dyDescent="0.3"/>
    <row r="293" ht="21" customHeight="1" x14ac:dyDescent="0.3"/>
    <row r="294" ht="21" customHeight="1" x14ac:dyDescent="0.3"/>
    <row r="295" ht="21" customHeight="1" x14ac:dyDescent="0.3"/>
    <row r="296" ht="21" customHeight="1" x14ac:dyDescent="0.3"/>
    <row r="297" ht="21" customHeight="1" x14ac:dyDescent="0.3"/>
    <row r="298" ht="21" customHeight="1" x14ac:dyDescent="0.3"/>
    <row r="299" ht="21" customHeight="1" x14ac:dyDescent="0.3"/>
    <row r="300" ht="21" customHeight="1" x14ac:dyDescent="0.3"/>
  </sheetData>
  <autoFilter ref="A7:AA120" xr:uid="{00000000-0009-0000-0000-000001000000}"/>
  <mergeCells count="10">
    <mergeCell ref="A1:AA1"/>
    <mergeCell ref="B4:C4"/>
    <mergeCell ref="E4:F4"/>
    <mergeCell ref="B5:C5"/>
    <mergeCell ref="A2:AA2"/>
    <mergeCell ref="E5:F5"/>
    <mergeCell ref="K5:L5"/>
    <mergeCell ref="H5:I5"/>
    <mergeCell ref="H4:I4"/>
    <mergeCell ref="K4:L4"/>
  </mergeCells>
  <conditionalFormatting sqref="T8:T300">
    <cfRule type="cellIs" dxfId="7" priority="5" operator="greaterThan">
      <formula>0</formula>
    </cfRule>
  </conditionalFormatting>
  <conditionalFormatting sqref="U8:U300">
    <cfRule type="expression" dxfId="6" priority="1" stopIfTrue="1">
      <formula>$U8="Vencida"</formula>
    </cfRule>
    <cfRule type="expression" dxfId="5" priority="2" stopIfTrue="1">
      <formula>$U8="Parcial vencida"</formula>
    </cfRule>
    <cfRule type="expression" dxfId="4" priority="3" stopIfTrue="1">
      <formula>$U8="Próxima"</formula>
    </cfRule>
    <cfRule type="expression" dxfId="3" priority="4" stopIfTrue="1">
      <formula>$U8="Pagada"</formula>
    </cfRule>
  </conditionalFormatting>
  <dataValidations count="6">
    <dataValidation type="list" allowBlank="1" error="El valor no coincide con la lista maestra." prompt="Selecciona un valor de la lista" sqref="B8:B300" xr:uid="{00000000-0002-0000-0100-000000000000}">
      <formula1>ListaProveedores</formula1>
    </dataValidation>
    <dataValidation type="list" allowBlank="1" error="El valor no coincide con la lista maestra." prompt="Selecciona un valor de la lista" sqref="E8:E300" xr:uid="{00000000-0002-0000-0100-000001000000}">
      <formula1>ListaCentros</formula1>
    </dataValidation>
    <dataValidation type="list" allowBlank="1" error="El valor no coincide con la lista maestra." prompt="Selecciona un valor de la lista" sqref="H8:H300" xr:uid="{00000000-0002-0000-0100-000002000000}">
      <formula1>ListaCondiciones</formula1>
    </dataValidation>
    <dataValidation type="list" allowBlank="1" error="El valor no coincide con la lista maestra." prompt="Selecciona un valor de la lista" sqref="M8:M300" xr:uid="{00000000-0002-0000-0100-000003000000}">
      <formula1>ListaIVA</formula1>
    </dataValidation>
    <dataValidation type="list" allowBlank="1" error="El valor no coincide con la lista maestra." prompt="Selecciona un valor de la lista" sqref="O8:O300" xr:uid="{00000000-0002-0000-0100-000004000000}">
      <formula1>ListaRet</formula1>
    </dataValidation>
    <dataValidation type="list" allowBlank="1" error="El valor no coincide con la lista maestra." prompt="Selecciona un valor de la lista" sqref="W8:W300" xr:uid="{00000000-0002-0000-0100-000005000000}">
      <formula1>ListaResponsables</formula1>
    </dataValidation>
  </dataValidations>
  <pageMargins left="0.75" right="0.75" top="1" bottom="1" header="0.5" footer="0.5"/>
  <legacy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6" id="{00000000-000E-0000-0100-000006000000}">
            <xm:f>AND($T8&gt;0,$J8&lt;Inicio!$F$3)</xm:f>
            <x14:dxf>
              <fill>
                <patternFill patternType="solid">
                  <fgColor rgb="FFFEE2E2"/>
                </patternFill>
              </fill>
            </x14:dxf>
          </x14:cfRule>
          <xm:sqref>J8:J300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20"/>
  <sheetViews>
    <sheetView showGridLines="0" workbookViewId="0">
      <pane ySplit="7" topLeftCell="A8" activePane="bottomLeft" state="frozen"/>
      <selection pane="bottomLeft" sqref="A1:I1"/>
    </sheetView>
  </sheetViews>
  <sheetFormatPr baseColWidth="10" defaultColWidth="8.88671875" defaultRowHeight="14.4" x14ac:dyDescent="0.3"/>
  <cols>
    <col min="1" max="1" width="13" customWidth="1"/>
    <col min="2" max="2" width="28" customWidth="1"/>
    <col min="3" max="3" width="12" customWidth="1"/>
    <col min="4" max="4" width="13" customWidth="1"/>
    <col min="5" max="5" width="18" customWidth="1"/>
    <col min="6" max="6" width="14" customWidth="1"/>
    <col min="7" max="7" width="16" customWidth="1"/>
    <col min="8" max="8" width="24" customWidth="1"/>
    <col min="9" max="9" width="10" customWidth="1"/>
  </cols>
  <sheetData>
    <row r="1" spans="1:9" ht="21" x14ac:dyDescent="0.4">
      <c r="A1" s="64" t="s">
        <v>169</v>
      </c>
      <c r="B1" s="40"/>
      <c r="C1" s="40"/>
      <c r="D1" s="40"/>
      <c r="E1" s="40"/>
      <c r="F1" s="40"/>
      <c r="G1" s="40"/>
      <c r="H1" s="40"/>
      <c r="I1" s="40"/>
    </row>
    <row r="2" spans="1:9" x14ac:dyDescent="0.3">
      <c r="A2" s="47" t="s">
        <v>170</v>
      </c>
      <c r="B2" s="40"/>
      <c r="C2" s="40"/>
      <c r="D2" s="40"/>
      <c r="E2" s="40"/>
      <c r="F2" s="40"/>
      <c r="G2" s="40"/>
      <c r="H2" s="40"/>
      <c r="I2" s="40"/>
    </row>
    <row r="4" spans="1:9" x14ac:dyDescent="0.3">
      <c r="B4" s="65" t="s">
        <v>36</v>
      </c>
      <c r="C4" s="40"/>
      <c r="E4" s="62" t="s">
        <v>171</v>
      </c>
      <c r="F4" s="40"/>
      <c r="H4" s="66" t="s">
        <v>172</v>
      </c>
    </row>
    <row r="5" spans="1:9" ht="17.399999999999999" x14ac:dyDescent="0.35">
      <c r="B5" s="63">
        <f>SUMIFS($D$8:$D$300,$F$8:$F$300,"Aplicado")</f>
        <v>7626</v>
      </c>
      <c r="C5" s="40"/>
      <c r="E5" s="63">
        <f>SUMIFS($D$8:$D$300,$F$8:$F$300,"Programado")</f>
        <v>1907.9</v>
      </c>
      <c r="F5" s="40"/>
      <c r="H5" s="61">
        <f>COUNTIF($A$8:$A$300,"&lt;&gt;")</f>
        <v>10</v>
      </c>
    </row>
    <row r="7" spans="1:9" ht="31.95" customHeight="1" x14ac:dyDescent="0.3">
      <c r="A7" s="22" t="s">
        <v>44</v>
      </c>
      <c r="B7" s="22" t="s">
        <v>24</v>
      </c>
      <c r="C7" s="22" t="s">
        <v>173</v>
      </c>
      <c r="D7" s="22" t="s">
        <v>174</v>
      </c>
      <c r="E7" s="22" t="s">
        <v>175</v>
      </c>
      <c r="F7" s="22" t="s">
        <v>176</v>
      </c>
      <c r="G7" s="22" t="s">
        <v>177</v>
      </c>
      <c r="H7" s="22" t="s">
        <v>66</v>
      </c>
      <c r="I7" s="22" t="s">
        <v>178</v>
      </c>
    </row>
    <row r="8" spans="1:9" x14ac:dyDescent="0.3">
      <c r="A8" s="23" t="s">
        <v>68</v>
      </c>
      <c r="B8" s="24" t="str">
        <f>IF($A8="","",IFERROR(VLOOKUP($A8,Facturas!$A$8:$B$300,2,FALSE),""))</f>
        <v>Nebula Audio Services S.L.</v>
      </c>
      <c r="C8" s="25">
        <v>46063</v>
      </c>
      <c r="D8" s="26">
        <v>1185.8</v>
      </c>
      <c r="E8" s="23" t="s">
        <v>179</v>
      </c>
      <c r="F8" s="23" t="s">
        <v>180</v>
      </c>
      <c r="G8" s="23" t="s">
        <v>181</v>
      </c>
      <c r="H8" s="23" t="s">
        <v>182</v>
      </c>
      <c r="I8" s="27">
        <f t="shared" ref="I8:I39" si="0">IF($C8="","",DATE(YEAR($C8),MONTH($C8),1))</f>
        <v>46054</v>
      </c>
    </row>
    <row r="9" spans="1:9" x14ac:dyDescent="0.3">
      <c r="A9" s="23" t="s">
        <v>75</v>
      </c>
      <c r="B9" s="24" t="str">
        <f>IF($A9="","",IFERROR(VLOOKUP($A9,Facturas!$A$8:$B$300,2,FALSE),""))</f>
        <v>Pixel Bruma Creativa S.L.</v>
      </c>
      <c r="C9" s="25">
        <v>46068</v>
      </c>
      <c r="D9" s="26">
        <v>1000</v>
      </c>
      <c r="E9" s="23" t="s">
        <v>179</v>
      </c>
      <c r="F9" s="23" t="s">
        <v>180</v>
      </c>
      <c r="G9" s="23" t="s">
        <v>183</v>
      </c>
      <c r="H9" s="23" t="s">
        <v>184</v>
      </c>
      <c r="I9" s="27">
        <f t="shared" si="0"/>
        <v>46054</v>
      </c>
    </row>
    <row r="10" spans="1:9" x14ac:dyDescent="0.3">
      <c r="A10" s="23" t="s">
        <v>75</v>
      </c>
      <c r="B10" s="24" t="str">
        <f>IF($A10="","",IFERROR(VLOOKUP($A10,Facturas!$A$8:$B$300,2,FALSE),""))</f>
        <v>Pixel Bruma Creativa S.L.</v>
      </c>
      <c r="C10" s="25">
        <v>46134</v>
      </c>
      <c r="D10" s="26">
        <v>754.5</v>
      </c>
      <c r="E10" s="23" t="s">
        <v>179</v>
      </c>
      <c r="F10" s="23" t="s">
        <v>37</v>
      </c>
      <c r="G10" s="23" t="s">
        <v>185</v>
      </c>
      <c r="H10" s="23" t="s">
        <v>186</v>
      </c>
      <c r="I10" s="27">
        <f t="shared" si="0"/>
        <v>46113</v>
      </c>
    </row>
    <row r="11" spans="1:9" x14ac:dyDescent="0.3">
      <c r="A11" s="23" t="s">
        <v>96</v>
      </c>
      <c r="B11" s="24" t="str">
        <f>IF($A11="","",IFERROR(VLOOKUP($A11,Facturas!$A$8:$B$300,2,FALSE),""))</f>
        <v>Aster Cloud Hosting S.L.</v>
      </c>
      <c r="C11" s="25">
        <v>46087</v>
      </c>
      <c r="D11" s="26">
        <v>2178</v>
      </c>
      <c r="E11" s="23" t="s">
        <v>187</v>
      </c>
      <c r="F11" s="23" t="s">
        <v>180</v>
      </c>
      <c r="G11" s="23" t="s">
        <v>188</v>
      </c>
      <c r="H11" s="23" t="s">
        <v>189</v>
      </c>
      <c r="I11" s="27">
        <f t="shared" si="0"/>
        <v>46082</v>
      </c>
    </row>
    <row r="12" spans="1:9" x14ac:dyDescent="0.3">
      <c r="A12" s="23" t="s">
        <v>103</v>
      </c>
      <c r="B12" s="24" t="str">
        <f>IF($A12="","",IFERROR(VLOOKUP($A12,Facturas!$A$8:$B$300,2,FALSE),""))</f>
        <v>Prisma Legal Advisory S.L.P.</v>
      </c>
      <c r="C12" s="25">
        <v>46101</v>
      </c>
      <c r="D12" s="26">
        <v>954</v>
      </c>
      <c r="E12" s="23" t="s">
        <v>179</v>
      </c>
      <c r="F12" s="23" t="s">
        <v>180</v>
      </c>
      <c r="G12" s="23" t="s">
        <v>190</v>
      </c>
      <c r="H12" s="23" t="s">
        <v>191</v>
      </c>
      <c r="I12" s="27">
        <f t="shared" si="0"/>
        <v>46082</v>
      </c>
    </row>
    <row r="13" spans="1:9" x14ac:dyDescent="0.3">
      <c r="A13" s="23" t="s">
        <v>118</v>
      </c>
      <c r="B13" s="24" t="str">
        <f>IF($A13="","",IFERROR(VLOOKUP($A13,Facturas!$A$8:$B$300,2,FALSE),""))</f>
        <v>Taller Vía Dos S.L.</v>
      </c>
      <c r="C13" s="25">
        <v>46119</v>
      </c>
      <c r="D13" s="26">
        <v>1500</v>
      </c>
      <c r="E13" s="23" t="s">
        <v>179</v>
      </c>
      <c r="F13" s="23" t="s">
        <v>180</v>
      </c>
      <c r="G13" s="23" t="s">
        <v>192</v>
      </c>
      <c r="H13" s="23" t="s">
        <v>193</v>
      </c>
      <c r="I13" s="27">
        <f t="shared" si="0"/>
        <v>46113</v>
      </c>
    </row>
    <row r="14" spans="1:9" x14ac:dyDescent="0.3">
      <c r="A14" s="23" t="s">
        <v>123</v>
      </c>
      <c r="B14" s="24" t="str">
        <f>IF($A14="","",IFERROR(VLOOKUP($A14,Facturas!$A$8:$B$300,2,FALSE),""))</f>
        <v>Nebula Audio Services S.L.</v>
      </c>
      <c r="C14" s="25">
        <v>46121</v>
      </c>
      <c r="D14" s="26">
        <v>508.2</v>
      </c>
      <c r="E14" s="23" t="s">
        <v>179</v>
      </c>
      <c r="F14" s="23" t="s">
        <v>180</v>
      </c>
      <c r="G14" s="23" t="s">
        <v>194</v>
      </c>
      <c r="H14" s="23" t="s">
        <v>195</v>
      </c>
      <c r="I14" s="27">
        <f t="shared" si="0"/>
        <v>46113</v>
      </c>
    </row>
    <row r="15" spans="1:9" x14ac:dyDescent="0.3">
      <c r="A15" s="23" t="s">
        <v>127</v>
      </c>
      <c r="B15" s="24" t="str">
        <f>IF($A15="","",IFERROR(VLOOKUP($A15,Facturas!$A$8:$B$300,2,FALSE),""))</f>
        <v>Pixel Bruma Creativa S.L.</v>
      </c>
      <c r="C15" s="25">
        <v>46128</v>
      </c>
      <c r="D15" s="26">
        <v>300</v>
      </c>
      <c r="E15" s="23" t="s">
        <v>196</v>
      </c>
      <c r="F15" s="23" t="s">
        <v>180</v>
      </c>
      <c r="G15" s="23" t="s">
        <v>197</v>
      </c>
      <c r="H15" s="23" t="s">
        <v>198</v>
      </c>
      <c r="I15" s="27">
        <f t="shared" si="0"/>
        <v>46113</v>
      </c>
    </row>
    <row r="16" spans="1:9" x14ac:dyDescent="0.3">
      <c r="A16" s="23" t="s">
        <v>140</v>
      </c>
      <c r="B16" s="24" t="str">
        <f>IF($A16="","",IFERROR(VLOOKUP($A16,Facturas!$A$8:$B$300,2,FALSE),""))</f>
        <v>Foco y Trama Escenografía S.L.</v>
      </c>
      <c r="C16" s="25">
        <v>46141</v>
      </c>
      <c r="D16" s="26">
        <v>500</v>
      </c>
      <c r="E16" s="23" t="s">
        <v>179</v>
      </c>
      <c r="F16" s="23" t="s">
        <v>37</v>
      </c>
      <c r="G16" s="23" t="s">
        <v>199</v>
      </c>
      <c r="H16" s="23" t="s">
        <v>200</v>
      </c>
      <c r="I16" s="27">
        <f t="shared" si="0"/>
        <v>46113</v>
      </c>
    </row>
    <row r="17" spans="1:9" x14ac:dyDescent="0.3">
      <c r="A17" s="23" t="s">
        <v>148</v>
      </c>
      <c r="B17" s="24" t="str">
        <f>IF($A17="","",IFERROR(VLOOKUP($A17,Facturas!$A$8:$B$300,2,FALSE),""))</f>
        <v>Pulso Formación Técnica S.L.</v>
      </c>
      <c r="C17" s="25">
        <v>46134</v>
      </c>
      <c r="D17" s="26">
        <v>653.4</v>
      </c>
      <c r="E17" s="23" t="s">
        <v>179</v>
      </c>
      <c r="F17" s="23" t="s">
        <v>37</v>
      </c>
      <c r="G17" s="23" t="s">
        <v>201</v>
      </c>
      <c r="H17" s="23" t="s">
        <v>202</v>
      </c>
      <c r="I17" s="27">
        <f t="shared" si="0"/>
        <v>46113</v>
      </c>
    </row>
    <row r="18" spans="1:9" x14ac:dyDescent="0.3">
      <c r="A18" s="23"/>
      <c r="B18" s="24" t="str">
        <f>IF($A18="","",IFERROR(VLOOKUP($A18,Facturas!$A$8:$B$300,2,FALSE),""))</f>
        <v/>
      </c>
      <c r="C18" s="25"/>
      <c r="D18" s="26"/>
      <c r="E18" s="23"/>
      <c r="F18" s="23"/>
      <c r="G18" s="23"/>
      <c r="H18" s="23"/>
      <c r="I18" s="27" t="str">
        <f t="shared" si="0"/>
        <v/>
      </c>
    </row>
    <row r="19" spans="1:9" x14ac:dyDescent="0.3">
      <c r="A19" s="23"/>
      <c r="B19" s="24" t="str">
        <f>IF($A19="","",IFERROR(VLOOKUP($A19,Facturas!$A$8:$B$300,2,FALSE),""))</f>
        <v/>
      </c>
      <c r="C19" s="25"/>
      <c r="D19" s="26"/>
      <c r="E19" s="23"/>
      <c r="F19" s="23"/>
      <c r="G19" s="23"/>
      <c r="H19" s="23"/>
      <c r="I19" s="27" t="str">
        <f t="shared" si="0"/>
        <v/>
      </c>
    </row>
    <row r="20" spans="1:9" x14ac:dyDescent="0.3">
      <c r="A20" s="23"/>
      <c r="B20" s="24" t="str">
        <f>IF($A20="","",IFERROR(VLOOKUP($A20,Facturas!$A$8:$B$300,2,FALSE),""))</f>
        <v/>
      </c>
      <c r="C20" s="25"/>
      <c r="D20" s="26"/>
      <c r="E20" s="23"/>
      <c r="F20" s="23"/>
      <c r="G20" s="23"/>
      <c r="H20" s="23"/>
      <c r="I20" s="27" t="str">
        <f t="shared" si="0"/>
        <v/>
      </c>
    </row>
    <row r="21" spans="1:9" x14ac:dyDescent="0.3">
      <c r="A21" s="23"/>
      <c r="B21" s="24" t="str">
        <f>IF($A21="","",IFERROR(VLOOKUP($A21,Facturas!$A$8:$B$300,2,FALSE),""))</f>
        <v/>
      </c>
      <c r="C21" s="25"/>
      <c r="D21" s="26"/>
      <c r="E21" s="23"/>
      <c r="F21" s="23"/>
      <c r="G21" s="23"/>
      <c r="H21" s="23"/>
      <c r="I21" s="27" t="str">
        <f t="shared" si="0"/>
        <v/>
      </c>
    </row>
    <row r="22" spans="1:9" x14ac:dyDescent="0.3">
      <c r="A22" s="23"/>
      <c r="B22" s="24" t="str">
        <f>IF($A22="","",IFERROR(VLOOKUP($A22,Facturas!$A$8:$B$300,2,FALSE),""))</f>
        <v/>
      </c>
      <c r="C22" s="25"/>
      <c r="D22" s="26"/>
      <c r="E22" s="23"/>
      <c r="F22" s="23"/>
      <c r="G22" s="23"/>
      <c r="H22" s="23"/>
      <c r="I22" s="27" t="str">
        <f t="shared" si="0"/>
        <v/>
      </c>
    </row>
    <row r="23" spans="1:9" x14ac:dyDescent="0.3">
      <c r="A23" s="23"/>
      <c r="B23" s="24" t="str">
        <f>IF($A23="","",IFERROR(VLOOKUP($A23,Facturas!$A$8:$B$300,2,FALSE),""))</f>
        <v/>
      </c>
      <c r="C23" s="25"/>
      <c r="D23" s="26"/>
      <c r="E23" s="23"/>
      <c r="F23" s="23"/>
      <c r="G23" s="23"/>
      <c r="H23" s="23"/>
      <c r="I23" s="27" t="str">
        <f t="shared" si="0"/>
        <v/>
      </c>
    </row>
    <row r="24" spans="1:9" x14ac:dyDescent="0.3">
      <c r="A24" s="23"/>
      <c r="B24" s="24" t="str">
        <f>IF($A24="","",IFERROR(VLOOKUP($A24,Facturas!$A$8:$B$300,2,FALSE),""))</f>
        <v/>
      </c>
      <c r="C24" s="25"/>
      <c r="D24" s="26"/>
      <c r="E24" s="23"/>
      <c r="F24" s="23"/>
      <c r="G24" s="23"/>
      <c r="H24" s="23"/>
      <c r="I24" s="27" t="str">
        <f t="shared" si="0"/>
        <v/>
      </c>
    </row>
    <row r="25" spans="1:9" x14ac:dyDescent="0.3">
      <c r="A25" s="23"/>
      <c r="B25" s="24" t="str">
        <f>IF($A25="","",IFERROR(VLOOKUP($A25,Facturas!$A$8:$B$300,2,FALSE),""))</f>
        <v/>
      </c>
      <c r="C25" s="25"/>
      <c r="D25" s="26"/>
      <c r="E25" s="23"/>
      <c r="F25" s="23"/>
      <c r="G25" s="23"/>
      <c r="H25" s="23"/>
      <c r="I25" s="27" t="str">
        <f t="shared" si="0"/>
        <v/>
      </c>
    </row>
    <row r="26" spans="1:9" x14ac:dyDescent="0.3">
      <c r="A26" s="23"/>
      <c r="B26" s="24" t="str">
        <f>IF($A26="","",IFERROR(VLOOKUP($A26,Facturas!$A$8:$B$300,2,FALSE),""))</f>
        <v/>
      </c>
      <c r="C26" s="25"/>
      <c r="D26" s="26"/>
      <c r="E26" s="23"/>
      <c r="F26" s="23"/>
      <c r="G26" s="23"/>
      <c r="H26" s="23"/>
      <c r="I26" s="27" t="str">
        <f t="shared" si="0"/>
        <v/>
      </c>
    </row>
    <row r="27" spans="1:9" x14ac:dyDescent="0.3">
      <c r="A27" s="23"/>
      <c r="B27" s="24" t="str">
        <f>IF($A27="","",IFERROR(VLOOKUP($A27,Facturas!$A$8:$B$300,2,FALSE),""))</f>
        <v/>
      </c>
      <c r="C27" s="25"/>
      <c r="D27" s="26"/>
      <c r="E27" s="23"/>
      <c r="F27" s="23"/>
      <c r="G27" s="23"/>
      <c r="H27" s="23"/>
      <c r="I27" s="27" t="str">
        <f t="shared" si="0"/>
        <v/>
      </c>
    </row>
    <row r="28" spans="1:9" x14ac:dyDescent="0.3">
      <c r="A28" s="23"/>
      <c r="B28" s="24" t="str">
        <f>IF($A28="","",IFERROR(VLOOKUP($A28,Facturas!$A$8:$B$300,2,FALSE),""))</f>
        <v/>
      </c>
      <c r="C28" s="25"/>
      <c r="D28" s="26"/>
      <c r="E28" s="23"/>
      <c r="F28" s="23"/>
      <c r="G28" s="23"/>
      <c r="H28" s="23"/>
      <c r="I28" s="27" t="str">
        <f t="shared" si="0"/>
        <v/>
      </c>
    </row>
    <row r="29" spans="1:9" x14ac:dyDescent="0.3">
      <c r="A29" s="23"/>
      <c r="B29" s="24" t="str">
        <f>IF($A29="","",IFERROR(VLOOKUP($A29,Facturas!$A$8:$B$300,2,FALSE),""))</f>
        <v/>
      </c>
      <c r="C29" s="25"/>
      <c r="D29" s="26"/>
      <c r="E29" s="23"/>
      <c r="F29" s="23"/>
      <c r="G29" s="23"/>
      <c r="H29" s="23"/>
      <c r="I29" s="27" t="str">
        <f t="shared" si="0"/>
        <v/>
      </c>
    </row>
    <row r="30" spans="1:9" x14ac:dyDescent="0.3">
      <c r="A30" s="23"/>
      <c r="B30" s="24" t="str">
        <f>IF($A30="","",IFERROR(VLOOKUP($A30,Facturas!$A$8:$B$300,2,FALSE),""))</f>
        <v/>
      </c>
      <c r="C30" s="25"/>
      <c r="D30" s="26"/>
      <c r="E30" s="23"/>
      <c r="F30" s="23"/>
      <c r="G30" s="23"/>
      <c r="H30" s="23"/>
      <c r="I30" s="27" t="str">
        <f t="shared" si="0"/>
        <v/>
      </c>
    </row>
    <row r="31" spans="1:9" x14ac:dyDescent="0.3">
      <c r="A31" s="23"/>
      <c r="B31" s="24" t="str">
        <f>IF($A31="","",IFERROR(VLOOKUP($A31,Facturas!$A$8:$B$300,2,FALSE),""))</f>
        <v/>
      </c>
      <c r="C31" s="25"/>
      <c r="D31" s="26"/>
      <c r="E31" s="23"/>
      <c r="F31" s="23"/>
      <c r="G31" s="23"/>
      <c r="H31" s="23"/>
      <c r="I31" s="27" t="str">
        <f t="shared" si="0"/>
        <v/>
      </c>
    </row>
    <row r="32" spans="1:9" x14ac:dyDescent="0.3">
      <c r="A32" s="23"/>
      <c r="B32" s="24" t="str">
        <f>IF($A32="","",IFERROR(VLOOKUP($A32,Facturas!$A$8:$B$300,2,FALSE),""))</f>
        <v/>
      </c>
      <c r="C32" s="25"/>
      <c r="D32" s="26"/>
      <c r="E32" s="23"/>
      <c r="F32" s="23"/>
      <c r="G32" s="23"/>
      <c r="H32" s="23"/>
      <c r="I32" s="27" t="str">
        <f t="shared" si="0"/>
        <v/>
      </c>
    </row>
    <row r="33" spans="1:9" x14ac:dyDescent="0.3">
      <c r="A33" s="23"/>
      <c r="B33" s="24" t="str">
        <f>IF($A33="","",IFERROR(VLOOKUP($A33,Facturas!$A$8:$B$300,2,FALSE),""))</f>
        <v/>
      </c>
      <c r="C33" s="25"/>
      <c r="D33" s="26"/>
      <c r="E33" s="23"/>
      <c r="F33" s="23"/>
      <c r="G33" s="23"/>
      <c r="H33" s="23"/>
      <c r="I33" s="27" t="str">
        <f t="shared" si="0"/>
        <v/>
      </c>
    </row>
    <row r="34" spans="1:9" x14ac:dyDescent="0.3">
      <c r="A34" s="23"/>
      <c r="B34" s="24" t="str">
        <f>IF($A34="","",IFERROR(VLOOKUP($A34,Facturas!$A$8:$B$300,2,FALSE),""))</f>
        <v/>
      </c>
      <c r="C34" s="25"/>
      <c r="D34" s="26"/>
      <c r="E34" s="23"/>
      <c r="F34" s="23"/>
      <c r="G34" s="23"/>
      <c r="H34" s="23"/>
      <c r="I34" s="27" t="str">
        <f t="shared" si="0"/>
        <v/>
      </c>
    </row>
    <row r="35" spans="1:9" x14ac:dyDescent="0.3">
      <c r="A35" s="23"/>
      <c r="B35" s="24" t="str">
        <f>IF($A35="","",IFERROR(VLOOKUP($A35,Facturas!$A$8:$B$300,2,FALSE),""))</f>
        <v/>
      </c>
      <c r="C35" s="25"/>
      <c r="D35" s="26"/>
      <c r="E35" s="23"/>
      <c r="F35" s="23"/>
      <c r="G35" s="23"/>
      <c r="H35" s="23"/>
      <c r="I35" s="27" t="str">
        <f t="shared" si="0"/>
        <v/>
      </c>
    </row>
    <row r="36" spans="1:9" x14ac:dyDescent="0.3">
      <c r="A36" s="23"/>
      <c r="B36" s="24" t="str">
        <f>IF($A36="","",IFERROR(VLOOKUP($A36,Facturas!$A$8:$B$300,2,FALSE),""))</f>
        <v/>
      </c>
      <c r="C36" s="25"/>
      <c r="D36" s="26"/>
      <c r="E36" s="23"/>
      <c r="F36" s="23"/>
      <c r="G36" s="23"/>
      <c r="H36" s="23"/>
      <c r="I36" s="27" t="str">
        <f t="shared" si="0"/>
        <v/>
      </c>
    </row>
    <row r="37" spans="1:9" x14ac:dyDescent="0.3">
      <c r="A37" s="23"/>
      <c r="B37" s="24" t="str">
        <f>IF($A37="","",IFERROR(VLOOKUP($A37,Facturas!$A$8:$B$300,2,FALSE),""))</f>
        <v/>
      </c>
      <c r="C37" s="25"/>
      <c r="D37" s="26"/>
      <c r="E37" s="23"/>
      <c r="F37" s="23"/>
      <c r="G37" s="23"/>
      <c r="H37" s="23"/>
      <c r="I37" s="27" t="str">
        <f t="shared" si="0"/>
        <v/>
      </c>
    </row>
    <row r="38" spans="1:9" x14ac:dyDescent="0.3">
      <c r="A38" s="23"/>
      <c r="B38" s="24" t="str">
        <f>IF($A38="","",IFERROR(VLOOKUP($A38,Facturas!$A$8:$B$300,2,FALSE),""))</f>
        <v/>
      </c>
      <c r="C38" s="25"/>
      <c r="D38" s="26"/>
      <c r="E38" s="23"/>
      <c r="F38" s="23"/>
      <c r="G38" s="23"/>
      <c r="H38" s="23"/>
      <c r="I38" s="27" t="str">
        <f t="shared" si="0"/>
        <v/>
      </c>
    </row>
    <row r="39" spans="1:9" x14ac:dyDescent="0.3">
      <c r="A39" s="23"/>
      <c r="B39" s="24" t="str">
        <f>IF($A39="","",IFERROR(VLOOKUP($A39,Facturas!$A$8:$B$300,2,FALSE),""))</f>
        <v/>
      </c>
      <c r="C39" s="25"/>
      <c r="D39" s="26"/>
      <c r="E39" s="23"/>
      <c r="F39" s="23"/>
      <c r="G39" s="23"/>
      <c r="H39" s="23"/>
      <c r="I39" s="27" t="str">
        <f t="shared" si="0"/>
        <v/>
      </c>
    </row>
    <row r="40" spans="1:9" x14ac:dyDescent="0.3">
      <c r="A40" s="23"/>
      <c r="B40" s="24" t="str">
        <f>IF($A40="","",IFERROR(VLOOKUP($A40,Facturas!$A$8:$B$300,2,FALSE),""))</f>
        <v/>
      </c>
      <c r="C40" s="25"/>
      <c r="D40" s="26"/>
      <c r="E40" s="23"/>
      <c r="F40" s="23"/>
      <c r="G40" s="23"/>
      <c r="H40" s="23"/>
      <c r="I40" s="27" t="str">
        <f t="shared" ref="I40:I71" si="1">IF($C40="","",DATE(YEAR($C40),MONTH($C40),1))</f>
        <v/>
      </c>
    </row>
    <row r="41" spans="1:9" x14ac:dyDescent="0.3">
      <c r="A41" s="23"/>
      <c r="B41" s="24" t="str">
        <f>IF($A41="","",IFERROR(VLOOKUP($A41,Facturas!$A$8:$B$300,2,FALSE),""))</f>
        <v/>
      </c>
      <c r="C41" s="25"/>
      <c r="D41" s="26"/>
      <c r="E41" s="23"/>
      <c r="F41" s="23"/>
      <c r="G41" s="23"/>
      <c r="H41" s="23"/>
      <c r="I41" s="27" t="str">
        <f t="shared" si="1"/>
        <v/>
      </c>
    </row>
    <row r="42" spans="1:9" x14ac:dyDescent="0.3">
      <c r="A42" s="23"/>
      <c r="B42" s="24" t="str">
        <f>IF($A42="","",IFERROR(VLOOKUP($A42,Facturas!$A$8:$B$300,2,FALSE),""))</f>
        <v/>
      </c>
      <c r="C42" s="25"/>
      <c r="D42" s="26"/>
      <c r="E42" s="23"/>
      <c r="F42" s="23"/>
      <c r="G42" s="23"/>
      <c r="H42" s="23"/>
      <c r="I42" s="27" t="str">
        <f t="shared" si="1"/>
        <v/>
      </c>
    </row>
    <row r="43" spans="1:9" x14ac:dyDescent="0.3">
      <c r="A43" s="23"/>
      <c r="B43" s="24" t="str">
        <f>IF($A43="","",IFERROR(VLOOKUP($A43,Facturas!$A$8:$B$300,2,FALSE),""))</f>
        <v/>
      </c>
      <c r="C43" s="25"/>
      <c r="D43" s="26"/>
      <c r="E43" s="23"/>
      <c r="F43" s="23"/>
      <c r="G43" s="23"/>
      <c r="H43" s="23"/>
      <c r="I43" s="27" t="str">
        <f t="shared" si="1"/>
        <v/>
      </c>
    </row>
    <row r="44" spans="1:9" x14ac:dyDescent="0.3">
      <c r="A44" s="23"/>
      <c r="B44" s="24" t="str">
        <f>IF($A44="","",IFERROR(VLOOKUP($A44,Facturas!$A$8:$B$300,2,FALSE),""))</f>
        <v/>
      </c>
      <c r="C44" s="25"/>
      <c r="D44" s="26"/>
      <c r="E44" s="23"/>
      <c r="F44" s="23"/>
      <c r="G44" s="23"/>
      <c r="H44" s="23"/>
      <c r="I44" s="27" t="str">
        <f t="shared" si="1"/>
        <v/>
      </c>
    </row>
    <row r="45" spans="1:9" x14ac:dyDescent="0.3">
      <c r="A45" s="23"/>
      <c r="B45" s="24" t="str">
        <f>IF($A45="","",IFERROR(VLOOKUP($A45,Facturas!$A$8:$B$300,2,FALSE),""))</f>
        <v/>
      </c>
      <c r="C45" s="25"/>
      <c r="D45" s="26"/>
      <c r="E45" s="23"/>
      <c r="F45" s="23"/>
      <c r="G45" s="23"/>
      <c r="H45" s="23"/>
      <c r="I45" s="27" t="str">
        <f t="shared" si="1"/>
        <v/>
      </c>
    </row>
    <row r="46" spans="1:9" x14ac:dyDescent="0.3">
      <c r="A46" s="23"/>
      <c r="B46" s="24" t="str">
        <f>IF($A46="","",IFERROR(VLOOKUP($A46,Facturas!$A$8:$B$300,2,FALSE),""))</f>
        <v/>
      </c>
      <c r="C46" s="25"/>
      <c r="D46" s="26"/>
      <c r="E46" s="23"/>
      <c r="F46" s="23"/>
      <c r="G46" s="23"/>
      <c r="H46" s="23"/>
      <c r="I46" s="27" t="str">
        <f t="shared" si="1"/>
        <v/>
      </c>
    </row>
    <row r="47" spans="1:9" x14ac:dyDescent="0.3">
      <c r="A47" s="23"/>
      <c r="B47" s="24" t="str">
        <f>IF($A47="","",IFERROR(VLOOKUP($A47,Facturas!$A$8:$B$300,2,FALSE),""))</f>
        <v/>
      </c>
      <c r="C47" s="25"/>
      <c r="D47" s="26"/>
      <c r="E47" s="23"/>
      <c r="F47" s="23"/>
      <c r="G47" s="23"/>
      <c r="H47" s="23"/>
      <c r="I47" s="27" t="str">
        <f t="shared" si="1"/>
        <v/>
      </c>
    </row>
    <row r="48" spans="1:9" x14ac:dyDescent="0.3">
      <c r="A48" s="23"/>
      <c r="B48" s="24" t="str">
        <f>IF($A48="","",IFERROR(VLOOKUP($A48,Facturas!$A$8:$B$300,2,FALSE),""))</f>
        <v/>
      </c>
      <c r="C48" s="25"/>
      <c r="D48" s="26"/>
      <c r="E48" s="23"/>
      <c r="F48" s="23"/>
      <c r="G48" s="23"/>
      <c r="H48" s="23"/>
      <c r="I48" s="27" t="str">
        <f t="shared" si="1"/>
        <v/>
      </c>
    </row>
    <row r="49" spans="1:9" x14ac:dyDescent="0.3">
      <c r="A49" s="23"/>
      <c r="B49" s="24" t="str">
        <f>IF($A49="","",IFERROR(VLOOKUP($A49,Facturas!$A$8:$B$300,2,FALSE),""))</f>
        <v/>
      </c>
      <c r="C49" s="25"/>
      <c r="D49" s="26"/>
      <c r="E49" s="23"/>
      <c r="F49" s="23"/>
      <c r="G49" s="23"/>
      <c r="H49" s="23"/>
      <c r="I49" s="27" t="str">
        <f t="shared" si="1"/>
        <v/>
      </c>
    </row>
    <row r="50" spans="1:9" x14ac:dyDescent="0.3">
      <c r="A50" s="23"/>
      <c r="B50" s="24" t="str">
        <f>IF($A50="","",IFERROR(VLOOKUP($A50,Facturas!$A$8:$B$300,2,FALSE),""))</f>
        <v/>
      </c>
      <c r="C50" s="25"/>
      <c r="D50" s="26"/>
      <c r="E50" s="23"/>
      <c r="F50" s="23"/>
      <c r="G50" s="23"/>
      <c r="H50" s="23"/>
      <c r="I50" s="27" t="str">
        <f t="shared" si="1"/>
        <v/>
      </c>
    </row>
    <row r="51" spans="1:9" x14ac:dyDescent="0.3">
      <c r="A51" s="23"/>
      <c r="B51" s="24" t="str">
        <f>IF($A51="","",IFERROR(VLOOKUP($A51,Facturas!$A$8:$B$300,2,FALSE),""))</f>
        <v/>
      </c>
      <c r="C51" s="25"/>
      <c r="D51" s="26"/>
      <c r="E51" s="23"/>
      <c r="F51" s="23"/>
      <c r="G51" s="23"/>
      <c r="H51" s="23"/>
      <c r="I51" s="27" t="str">
        <f t="shared" si="1"/>
        <v/>
      </c>
    </row>
    <row r="52" spans="1:9" x14ac:dyDescent="0.3">
      <c r="A52" s="23"/>
      <c r="B52" s="24" t="str">
        <f>IF($A52="","",IFERROR(VLOOKUP($A52,Facturas!$A$8:$B$300,2,FALSE),""))</f>
        <v/>
      </c>
      <c r="C52" s="25"/>
      <c r="D52" s="26"/>
      <c r="E52" s="23"/>
      <c r="F52" s="23"/>
      <c r="G52" s="23"/>
      <c r="H52" s="23"/>
      <c r="I52" s="27" t="str">
        <f t="shared" si="1"/>
        <v/>
      </c>
    </row>
    <row r="53" spans="1:9" x14ac:dyDescent="0.3">
      <c r="A53" s="23"/>
      <c r="B53" s="24" t="str">
        <f>IF($A53="","",IFERROR(VLOOKUP($A53,Facturas!$A$8:$B$300,2,FALSE),""))</f>
        <v/>
      </c>
      <c r="C53" s="25"/>
      <c r="D53" s="26"/>
      <c r="E53" s="23"/>
      <c r="F53" s="23"/>
      <c r="G53" s="23"/>
      <c r="H53" s="23"/>
      <c r="I53" s="27" t="str">
        <f t="shared" si="1"/>
        <v/>
      </c>
    </row>
    <row r="54" spans="1:9" x14ac:dyDescent="0.3">
      <c r="A54" s="23"/>
      <c r="B54" s="24" t="str">
        <f>IF($A54="","",IFERROR(VLOOKUP($A54,Facturas!$A$8:$B$300,2,FALSE),""))</f>
        <v/>
      </c>
      <c r="C54" s="25"/>
      <c r="D54" s="26"/>
      <c r="E54" s="23"/>
      <c r="F54" s="23"/>
      <c r="G54" s="23"/>
      <c r="H54" s="23"/>
      <c r="I54" s="27" t="str">
        <f t="shared" si="1"/>
        <v/>
      </c>
    </row>
    <row r="55" spans="1:9" x14ac:dyDescent="0.3">
      <c r="A55" s="23"/>
      <c r="B55" s="24" t="str">
        <f>IF($A55="","",IFERROR(VLOOKUP($A55,Facturas!$A$8:$B$300,2,FALSE),""))</f>
        <v/>
      </c>
      <c r="C55" s="25"/>
      <c r="D55" s="26"/>
      <c r="E55" s="23"/>
      <c r="F55" s="23"/>
      <c r="G55" s="23"/>
      <c r="H55" s="23"/>
      <c r="I55" s="27" t="str">
        <f t="shared" si="1"/>
        <v/>
      </c>
    </row>
    <row r="56" spans="1:9" x14ac:dyDescent="0.3">
      <c r="A56" s="23"/>
      <c r="B56" s="24" t="str">
        <f>IF($A56="","",IFERROR(VLOOKUP($A56,Facturas!$A$8:$B$300,2,FALSE),""))</f>
        <v/>
      </c>
      <c r="C56" s="25"/>
      <c r="D56" s="26"/>
      <c r="E56" s="23"/>
      <c r="F56" s="23"/>
      <c r="G56" s="23"/>
      <c r="H56" s="23"/>
      <c r="I56" s="27" t="str">
        <f t="shared" si="1"/>
        <v/>
      </c>
    </row>
    <row r="57" spans="1:9" x14ac:dyDescent="0.3">
      <c r="A57" s="23"/>
      <c r="B57" s="24" t="str">
        <f>IF($A57="","",IFERROR(VLOOKUP($A57,Facturas!$A$8:$B$300,2,FALSE),""))</f>
        <v/>
      </c>
      <c r="C57" s="25"/>
      <c r="D57" s="26"/>
      <c r="E57" s="23"/>
      <c r="F57" s="23"/>
      <c r="G57" s="23"/>
      <c r="H57" s="23"/>
      <c r="I57" s="27" t="str">
        <f t="shared" si="1"/>
        <v/>
      </c>
    </row>
    <row r="58" spans="1:9" x14ac:dyDescent="0.3">
      <c r="A58" s="23"/>
      <c r="B58" s="24" t="str">
        <f>IF($A58="","",IFERROR(VLOOKUP($A58,Facturas!$A$8:$B$300,2,FALSE),""))</f>
        <v/>
      </c>
      <c r="C58" s="25"/>
      <c r="D58" s="26"/>
      <c r="E58" s="23"/>
      <c r="F58" s="23"/>
      <c r="G58" s="23"/>
      <c r="H58" s="23"/>
      <c r="I58" s="27" t="str">
        <f t="shared" si="1"/>
        <v/>
      </c>
    </row>
    <row r="59" spans="1:9" x14ac:dyDescent="0.3">
      <c r="A59" s="23"/>
      <c r="B59" s="24" t="str">
        <f>IF($A59="","",IFERROR(VLOOKUP($A59,Facturas!$A$8:$B$300,2,FALSE),""))</f>
        <v/>
      </c>
      <c r="C59" s="25"/>
      <c r="D59" s="26"/>
      <c r="E59" s="23"/>
      <c r="F59" s="23"/>
      <c r="G59" s="23"/>
      <c r="H59" s="23"/>
      <c r="I59" s="27" t="str">
        <f t="shared" si="1"/>
        <v/>
      </c>
    </row>
    <row r="60" spans="1:9" x14ac:dyDescent="0.3">
      <c r="A60" s="23"/>
      <c r="B60" s="24" t="str">
        <f>IF($A60="","",IFERROR(VLOOKUP($A60,Facturas!$A$8:$B$300,2,FALSE),""))</f>
        <v/>
      </c>
      <c r="C60" s="25"/>
      <c r="D60" s="26"/>
      <c r="E60" s="23"/>
      <c r="F60" s="23"/>
      <c r="G60" s="23"/>
      <c r="H60" s="23"/>
      <c r="I60" s="27" t="str">
        <f t="shared" si="1"/>
        <v/>
      </c>
    </row>
    <row r="61" spans="1:9" x14ac:dyDescent="0.3">
      <c r="A61" s="23"/>
      <c r="B61" s="24" t="str">
        <f>IF($A61="","",IFERROR(VLOOKUP($A61,Facturas!$A$8:$B$300,2,FALSE),""))</f>
        <v/>
      </c>
      <c r="C61" s="25"/>
      <c r="D61" s="26"/>
      <c r="E61" s="23"/>
      <c r="F61" s="23"/>
      <c r="G61" s="23"/>
      <c r="H61" s="23"/>
      <c r="I61" s="27" t="str">
        <f t="shared" si="1"/>
        <v/>
      </c>
    </row>
    <row r="62" spans="1:9" x14ac:dyDescent="0.3">
      <c r="A62" s="23"/>
      <c r="B62" s="24" t="str">
        <f>IF($A62="","",IFERROR(VLOOKUP($A62,Facturas!$A$8:$B$300,2,FALSE),""))</f>
        <v/>
      </c>
      <c r="C62" s="25"/>
      <c r="D62" s="26"/>
      <c r="E62" s="23"/>
      <c r="F62" s="23"/>
      <c r="G62" s="23"/>
      <c r="H62" s="23"/>
      <c r="I62" s="27" t="str">
        <f t="shared" si="1"/>
        <v/>
      </c>
    </row>
    <row r="63" spans="1:9" x14ac:dyDescent="0.3">
      <c r="A63" s="23"/>
      <c r="B63" s="24" t="str">
        <f>IF($A63="","",IFERROR(VLOOKUP($A63,Facturas!$A$8:$B$300,2,FALSE),""))</f>
        <v/>
      </c>
      <c r="C63" s="25"/>
      <c r="D63" s="26"/>
      <c r="E63" s="23"/>
      <c r="F63" s="23"/>
      <c r="G63" s="23"/>
      <c r="H63" s="23"/>
      <c r="I63" s="27" t="str">
        <f t="shared" si="1"/>
        <v/>
      </c>
    </row>
    <row r="64" spans="1:9" x14ac:dyDescent="0.3">
      <c r="A64" s="23"/>
      <c r="B64" s="24" t="str">
        <f>IF($A64="","",IFERROR(VLOOKUP($A64,Facturas!$A$8:$B$300,2,FALSE),""))</f>
        <v/>
      </c>
      <c r="C64" s="25"/>
      <c r="D64" s="26"/>
      <c r="E64" s="23"/>
      <c r="F64" s="23"/>
      <c r="G64" s="23"/>
      <c r="H64" s="23"/>
      <c r="I64" s="27" t="str">
        <f t="shared" si="1"/>
        <v/>
      </c>
    </row>
    <row r="65" spans="1:9" x14ac:dyDescent="0.3">
      <c r="A65" s="23"/>
      <c r="B65" s="24" t="str">
        <f>IF($A65="","",IFERROR(VLOOKUP($A65,Facturas!$A$8:$B$300,2,FALSE),""))</f>
        <v/>
      </c>
      <c r="C65" s="25"/>
      <c r="D65" s="26"/>
      <c r="E65" s="23"/>
      <c r="F65" s="23"/>
      <c r="G65" s="23"/>
      <c r="H65" s="23"/>
      <c r="I65" s="27" t="str">
        <f t="shared" si="1"/>
        <v/>
      </c>
    </row>
    <row r="66" spans="1:9" x14ac:dyDescent="0.3">
      <c r="A66" s="23"/>
      <c r="B66" s="24" t="str">
        <f>IF($A66="","",IFERROR(VLOOKUP($A66,Facturas!$A$8:$B$300,2,FALSE),""))</f>
        <v/>
      </c>
      <c r="C66" s="25"/>
      <c r="D66" s="26"/>
      <c r="E66" s="23"/>
      <c r="F66" s="23"/>
      <c r="G66" s="23"/>
      <c r="H66" s="23"/>
      <c r="I66" s="27" t="str">
        <f t="shared" si="1"/>
        <v/>
      </c>
    </row>
    <row r="67" spans="1:9" x14ac:dyDescent="0.3">
      <c r="A67" s="23"/>
      <c r="B67" s="24" t="str">
        <f>IF($A67="","",IFERROR(VLOOKUP($A67,Facturas!$A$8:$B$300,2,FALSE),""))</f>
        <v/>
      </c>
      <c r="C67" s="25"/>
      <c r="D67" s="26"/>
      <c r="E67" s="23"/>
      <c r="F67" s="23"/>
      <c r="G67" s="23"/>
      <c r="H67" s="23"/>
      <c r="I67" s="27" t="str">
        <f t="shared" si="1"/>
        <v/>
      </c>
    </row>
    <row r="68" spans="1:9" x14ac:dyDescent="0.3">
      <c r="A68" s="23"/>
      <c r="B68" s="24" t="str">
        <f>IF($A68="","",IFERROR(VLOOKUP($A68,Facturas!$A$8:$B$300,2,FALSE),""))</f>
        <v/>
      </c>
      <c r="C68" s="25"/>
      <c r="D68" s="26"/>
      <c r="E68" s="23"/>
      <c r="F68" s="23"/>
      <c r="G68" s="23"/>
      <c r="H68" s="23"/>
      <c r="I68" s="27" t="str">
        <f t="shared" si="1"/>
        <v/>
      </c>
    </row>
    <row r="69" spans="1:9" x14ac:dyDescent="0.3">
      <c r="A69" s="23"/>
      <c r="B69" s="24" t="str">
        <f>IF($A69="","",IFERROR(VLOOKUP($A69,Facturas!$A$8:$B$300,2,FALSE),""))</f>
        <v/>
      </c>
      <c r="C69" s="25"/>
      <c r="D69" s="26"/>
      <c r="E69" s="23"/>
      <c r="F69" s="23"/>
      <c r="G69" s="23"/>
      <c r="H69" s="23"/>
      <c r="I69" s="27" t="str">
        <f t="shared" si="1"/>
        <v/>
      </c>
    </row>
    <row r="70" spans="1:9" x14ac:dyDescent="0.3">
      <c r="A70" s="23"/>
      <c r="B70" s="24" t="str">
        <f>IF($A70="","",IFERROR(VLOOKUP($A70,Facturas!$A$8:$B$300,2,FALSE),""))</f>
        <v/>
      </c>
      <c r="C70" s="25"/>
      <c r="D70" s="26"/>
      <c r="E70" s="23"/>
      <c r="F70" s="23"/>
      <c r="G70" s="23"/>
      <c r="H70" s="23"/>
      <c r="I70" s="27" t="str">
        <f t="shared" si="1"/>
        <v/>
      </c>
    </row>
    <row r="71" spans="1:9" x14ac:dyDescent="0.3">
      <c r="A71" s="23"/>
      <c r="B71" s="24" t="str">
        <f>IF($A71="","",IFERROR(VLOOKUP($A71,Facturas!$A$8:$B$300,2,FALSE),""))</f>
        <v/>
      </c>
      <c r="C71" s="25"/>
      <c r="D71" s="26"/>
      <c r="E71" s="23"/>
      <c r="F71" s="23"/>
      <c r="G71" s="23"/>
      <c r="H71" s="23"/>
      <c r="I71" s="27" t="str">
        <f t="shared" si="1"/>
        <v/>
      </c>
    </row>
    <row r="72" spans="1:9" x14ac:dyDescent="0.3">
      <c r="A72" s="23"/>
      <c r="B72" s="24" t="str">
        <f>IF($A72="","",IFERROR(VLOOKUP($A72,Facturas!$A$8:$B$300,2,FALSE),""))</f>
        <v/>
      </c>
      <c r="C72" s="25"/>
      <c r="D72" s="26"/>
      <c r="E72" s="23"/>
      <c r="F72" s="23"/>
      <c r="G72" s="23"/>
      <c r="H72" s="23"/>
      <c r="I72" s="27" t="str">
        <f t="shared" ref="I72:I103" si="2">IF($C72="","",DATE(YEAR($C72),MONTH($C72),1))</f>
        <v/>
      </c>
    </row>
    <row r="73" spans="1:9" x14ac:dyDescent="0.3">
      <c r="A73" s="23"/>
      <c r="B73" s="24" t="str">
        <f>IF($A73="","",IFERROR(VLOOKUP($A73,Facturas!$A$8:$B$300,2,FALSE),""))</f>
        <v/>
      </c>
      <c r="C73" s="25"/>
      <c r="D73" s="26"/>
      <c r="E73" s="23"/>
      <c r="F73" s="23"/>
      <c r="G73" s="23"/>
      <c r="H73" s="23"/>
      <c r="I73" s="27" t="str">
        <f t="shared" si="2"/>
        <v/>
      </c>
    </row>
    <row r="74" spans="1:9" x14ac:dyDescent="0.3">
      <c r="A74" s="23"/>
      <c r="B74" s="24" t="str">
        <f>IF($A74="","",IFERROR(VLOOKUP($A74,Facturas!$A$8:$B$300,2,FALSE),""))</f>
        <v/>
      </c>
      <c r="C74" s="25"/>
      <c r="D74" s="26"/>
      <c r="E74" s="23"/>
      <c r="F74" s="23"/>
      <c r="G74" s="23"/>
      <c r="H74" s="23"/>
      <c r="I74" s="27" t="str">
        <f t="shared" si="2"/>
        <v/>
      </c>
    </row>
    <row r="75" spans="1:9" x14ac:dyDescent="0.3">
      <c r="A75" s="23"/>
      <c r="B75" s="24" t="str">
        <f>IF($A75="","",IFERROR(VLOOKUP($A75,Facturas!$A$8:$B$300,2,FALSE),""))</f>
        <v/>
      </c>
      <c r="C75" s="25"/>
      <c r="D75" s="26"/>
      <c r="E75" s="23"/>
      <c r="F75" s="23"/>
      <c r="G75" s="23"/>
      <c r="H75" s="23"/>
      <c r="I75" s="27" t="str">
        <f t="shared" si="2"/>
        <v/>
      </c>
    </row>
    <row r="76" spans="1:9" x14ac:dyDescent="0.3">
      <c r="A76" s="23"/>
      <c r="B76" s="24" t="str">
        <f>IF($A76="","",IFERROR(VLOOKUP($A76,Facturas!$A$8:$B$300,2,FALSE),""))</f>
        <v/>
      </c>
      <c r="C76" s="25"/>
      <c r="D76" s="26"/>
      <c r="E76" s="23"/>
      <c r="F76" s="23"/>
      <c r="G76" s="23"/>
      <c r="H76" s="23"/>
      <c r="I76" s="27" t="str">
        <f t="shared" si="2"/>
        <v/>
      </c>
    </row>
    <row r="77" spans="1:9" x14ac:dyDescent="0.3">
      <c r="A77" s="23"/>
      <c r="B77" s="24" t="str">
        <f>IF($A77="","",IFERROR(VLOOKUP($A77,Facturas!$A$8:$B$300,2,FALSE),""))</f>
        <v/>
      </c>
      <c r="C77" s="25"/>
      <c r="D77" s="26"/>
      <c r="E77" s="23"/>
      <c r="F77" s="23"/>
      <c r="G77" s="23"/>
      <c r="H77" s="23"/>
      <c r="I77" s="27" t="str">
        <f t="shared" si="2"/>
        <v/>
      </c>
    </row>
    <row r="78" spans="1:9" x14ac:dyDescent="0.3">
      <c r="A78" s="23"/>
      <c r="B78" s="24" t="str">
        <f>IF($A78="","",IFERROR(VLOOKUP($A78,Facturas!$A$8:$B$300,2,FALSE),""))</f>
        <v/>
      </c>
      <c r="C78" s="25"/>
      <c r="D78" s="26"/>
      <c r="E78" s="23"/>
      <c r="F78" s="23"/>
      <c r="G78" s="23"/>
      <c r="H78" s="23"/>
      <c r="I78" s="27" t="str">
        <f t="shared" si="2"/>
        <v/>
      </c>
    </row>
    <row r="79" spans="1:9" x14ac:dyDescent="0.3">
      <c r="A79" s="23"/>
      <c r="B79" s="24" t="str">
        <f>IF($A79="","",IFERROR(VLOOKUP($A79,Facturas!$A$8:$B$300,2,FALSE),""))</f>
        <v/>
      </c>
      <c r="C79" s="25"/>
      <c r="D79" s="26"/>
      <c r="E79" s="23"/>
      <c r="F79" s="23"/>
      <c r="G79" s="23"/>
      <c r="H79" s="23"/>
      <c r="I79" s="27" t="str">
        <f t="shared" si="2"/>
        <v/>
      </c>
    </row>
    <row r="80" spans="1:9" x14ac:dyDescent="0.3">
      <c r="A80" s="23"/>
      <c r="B80" s="24" t="str">
        <f>IF($A80="","",IFERROR(VLOOKUP($A80,Facturas!$A$8:$B$300,2,FALSE),""))</f>
        <v/>
      </c>
      <c r="C80" s="25"/>
      <c r="D80" s="26"/>
      <c r="E80" s="23"/>
      <c r="F80" s="23"/>
      <c r="G80" s="23"/>
      <c r="H80" s="23"/>
      <c r="I80" s="27" t="str">
        <f t="shared" si="2"/>
        <v/>
      </c>
    </row>
    <row r="81" spans="1:9" x14ac:dyDescent="0.3">
      <c r="A81" s="23"/>
      <c r="B81" s="24" t="str">
        <f>IF($A81="","",IFERROR(VLOOKUP($A81,Facturas!$A$8:$B$300,2,FALSE),""))</f>
        <v/>
      </c>
      <c r="C81" s="25"/>
      <c r="D81" s="26"/>
      <c r="E81" s="23"/>
      <c r="F81" s="23"/>
      <c r="G81" s="23"/>
      <c r="H81" s="23"/>
      <c r="I81" s="27" t="str">
        <f t="shared" si="2"/>
        <v/>
      </c>
    </row>
    <row r="82" spans="1:9" x14ac:dyDescent="0.3">
      <c r="A82" s="23"/>
      <c r="B82" s="24" t="str">
        <f>IF($A82="","",IFERROR(VLOOKUP($A82,Facturas!$A$8:$B$300,2,FALSE),""))</f>
        <v/>
      </c>
      <c r="C82" s="25"/>
      <c r="D82" s="26"/>
      <c r="E82" s="23"/>
      <c r="F82" s="23"/>
      <c r="G82" s="23"/>
      <c r="H82" s="23"/>
      <c r="I82" s="27" t="str">
        <f t="shared" si="2"/>
        <v/>
      </c>
    </row>
    <row r="83" spans="1:9" x14ac:dyDescent="0.3">
      <c r="A83" s="23"/>
      <c r="B83" s="24" t="str">
        <f>IF($A83="","",IFERROR(VLOOKUP($A83,Facturas!$A$8:$B$300,2,FALSE),""))</f>
        <v/>
      </c>
      <c r="C83" s="25"/>
      <c r="D83" s="26"/>
      <c r="E83" s="23"/>
      <c r="F83" s="23"/>
      <c r="G83" s="23"/>
      <c r="H83" s="23"/>
      <c r="I83" s="27" t="str">
        <f t="shared" si="2"/>
        <v/>
      </c>
    </row>
    <row r="84" spans="1:9" x14ac:dyDescent="0.3">
      <c r="A84" s="23"/>
      <c r="B84" s="24" t="str">
        <f>IF($A84="","",IFERROR(VLOOKUP($A84,Facturas!$A$8:$B$300,2,FALSE),""))</f>
        <v/>
      </c>
      <c r="C84" s="25"/>
      <c r="D84" s="26"/>
      <c r="E84" s="23"/>
      <c r="F84" s="23"/>
      <c r="G84" s="23"/>
      <c r="H84" s="23"/>
      <c r="I84" s="27" t="str">
        <f t="shared" si="2"/>
        <v/>
      </c>
    </row>
    <row r="85" spans="1:9" x14ac:dyDescent="0.3">
      <c r="A85" s="23"/>
      <c r="B85" s="24" t="str">
        <f>IF($A85="","",IFERROR(VLOOKUP($A85,Facturas!$A$8:$B$300,2,FALSE),""))</f>
        <v/>
      </c>
      <c r="C85" s="25"/>
      <c r="D85" s="26"/>
      <c r="E85" s="23"/>
      <c r="F85" s="23"/>
      <c r="G85" s="23"/>
      <c r="H85" s="23"/>
      <c r="I85" s="27" t="str">
        <f t="shared" si="2"/>
        <v/>
      </c>
    </row>
    <row r="86" spans="1:9" x14ac:dyDescent="0.3">
      <c r="A86" s="23"/>
      <c r="B86" s="24" t="str">
        <f>IF($A86="","",IFERROR(VLOOKUP($A86,Facturas!$A$8:$B$300,2,FALSE),""))</f>
        <v/>
      </c>
      <c r="C86" s="25"/>
      <c r="D86" s="26"/>
      <c r="E86" s="23"/>
      <c r="F86" s="23"/>
      <c r="G86" s="23"/>
      <c r="H86" s="23"/>
      <c r="I86" s="27" t="str">
        <f t="shared" si="2"/>
        <v/>
      </c>
    </row>
    <row r="87" spans="1:9" x14ac:dyDescent="0.3">
      <c r="A87" s="23"/>
      <c r="B87" s="24" t="str">
        <f>IF($A87="","",IFERROR(VLOOKUP($A87,Facturas!$A$8:$B$300,2,FALSE),""))</f>
        <v/>
      </c>
      <c r="C87" s="25"/>
      <c r="D87" s="26"/>
      <c r="E87" s="23"/>
      <c r="F87" s="23"/>
      <c r="G87" s="23"/>
      <c r="H87" s="23"/>
      <c r="I87" s="27" t="str">
        <f t="shared" si="2"/>
        <v/>
      </c>
    </row>
    <row r="88" spans="1:9" x14ac:dyDescent="0.3">
      <c r="A88" s="23"/>
      <c r="B88" s="24" t="str">
        <f>IF($A88="","",IFERROR(VLOOKUP($A88,Facturas!$A$8:$B$300,2,FALSE),""))</f>
        <v/>
      </c>
      <c r="C88" s="25"/>
      <c r="D88" s="26"/>
      <c r="E88" s="23"/>
      <c r="F88" s="23"/>
      <c r="G88" s="23"/>
      <c r="H88" s="23"/>
      <c r="I88" s="27" t="str">
        <f t="shared" si="2"/>
        <v/>
      </c>
    </row>
    <row r="89" spans="1:9" x14ac:dyDescent="0.3">
      <c r="A89" s="23"/>
      <c r="B89" s="24" t="str">
        <f>IF($A89="","",IFERROR(VLOOKUP($A89,Facturas!$A$8:$B$300,2,FALSE),""))</f>
        <v/>
      </c>
      <c r="C89" s="25"/>
      <c r="D89" s="26"/>
      <c r="E89" s="23"/>
      <c r="F89" s="23"/>
      <c r="G89" s="23"/>
      <c r="H89" s="23"/>
      <c r="I89" s="27" t="str">
        <f t="shared" si="2"/>
        <v/>
      </c>
    </row>
    <row r="90" spans="1:9" x14ac:dyDescent="0.3">
      <c r="A90" s="23"/>
      <c r="B90" s="24" t="str">
        <f>IF($A90="","",IFERROR(VLOOKUP($A90,Facturas!$A$8:$B$300,2,FALSE),""))</f>
        <v/>
      </c>
      <c r="C90" s="25"/>
      <c r="D90" s="26"/>
      <c r="E90" s="23"/>
      <c r="F90" s="23"/>
      <c r="G90" s="23"/>
      <c r="H90" s="23"/>
      <c r="I90" s="27" t="str">
        <f t="shared" si="2"/>
        <v/>
      </c>
    </row>
    <row r="91" spans="1:9" x14ac:dyDescent="0.3">
      <c r="A91" s="23"/>
      <c r="B91" s="24" t="str">
        <f>IF($A91="","",IFERROR(VLOOKUP($A91,Facturas!$A$8:$B$300,2,FALSE),""))</f>
        <v/>
      </c>
      <c r="C91" s="25"/>
      <c r="D91" s="26"/>
      <c r="E91" s="23"/>
      <c r="F91" s="23"/>
      <c r="G91" s="23"/>
      <c r="H91" s="23"/>
      <c r="I91" s="27" t="str">
        <f t="shared" si="2"/>
        <v/>
      </c>
    </row>
    <row r="92" spans="1:9" x14ac:dyDescent="0.3">
      <c r="A92" s="23"/>
      <c r="B92" s="24" t="str">
        <f>IF($A92="","",IFERROR(VLOOKUP($A92,Facturas!$A$8:$B$300,2,FALSE),""))</f>
        <v/>
      </c>
      <c r="C92" s="25"/>
      <c r="D92" s="26"/>
      <c r="E92" s="23"/>
      <c r="F92" s="23"/>
      <c r="G92" s="23"/>
      <c r="H92" s="23"/>
      <c r="I92" s="27" t="str">
        <f t="shared" si="2"/>
        <v/>
      </c>
    </row>
    <row r="93" spans="1:9" x14ac:dyDescent="0.3">
      <c r="A93" s="23"/>
      <c r="B93" s="24" t="str">
        <f>IF($A93="","",IFERROR(VLOOKUP($A93,Facturas!$A$8:$B$300,2,FALSE),""))</f>
        <v/>
      </c>
      <c r="C93" s="25"/>
      <c r="D93" s="26"/>
      <c r="E93" s="23"/>
      <c r="F93" s="23"/>
      <c r="G93" s="23"/>
      <c r="H93" s="23"/>
      <c r="I93" s="27" t="str">
        <f t="shared" si="2"/>
        <v/>
      </c>
    </row>
    <row r="94" spans="1:9" x14ac:dyDescent="0.3">
      <c r="A94" s="23"/>
      <c r="B94" s="24" t="str">
        <f>IF($A94="","",IFERROR(VLOOKUP($A94,Facturas!$A$8:$B$300,2,FALSE),""))</f>
        <v/>
      </c>
      <c r="C94" s="25"/>
      <c r="D94" s="26"/>
      <c r="E94" s="23"/>
      <c r="F94" s="23"/>
      <c r="G94" s="23"/>
      <c r="H94" s="23"/>
      <c r="I94" s="27" t="str">
        <f t="shared" si="2"/>
        <v/>
      </c>
    </row>
    <row r="95" spans="1:9" x14ac:dyDescent="0.3">
      <c r="A95" s="23"/>
      <c r="B95" s="24" t="str">
        <f>IF($A95="","",IFERROR(VLOOKUP($A95,Facturas!$A$8:$B$300,2,FALSE),""))</f>
        <v/>
      </c>
      <c r="C95" s="25"/>
      <c r="D95" s="26"/>
      <c r="E95" s="23"/>
      <c r="F95" s="23"/>
      <c r="G95" s="23"/>
      <c r="H95" s="23"/>
      <c r="I95" s="27" t="str">
        <f t="shared" si="2"/>
        <v/>
      </c>
    </row>
    <row r="96" spans="1:9" x14ac:dyDescent="0.3">
      <c r="A96" s="23"/>
      <c r="B96" s="24" t="str">
        <f>IF($A96="","",IFERROR(VLOOKUP($A96,Facturas!$A$8:$B$300,2,FALSE),""))</f>
        <v/>
      </c>
      <c r="C96" s="25"/>
      <c r="D96" s="26"/>
      <c r="E96" s="23"/>
      <c r="F96" s="23"/>
      <c r="G96" s="23"/>
      <c r="H96" s="23"/>
      <c r="I96" s="27" t="str">
        <f t="shared" si="2"/>
        <v/>
      </c>
    </row>
    <row r="97" spans="1:9" x14ac:dyDescent="0.3">
      <c r="A97" s="23"/>
      <c r="B97" s="24" t="str">
        <f>IF($A97="","",IFERROR(VLOOKUP($A97,Facturas!$A$8:$B$300,2,FALSE),""))</f>
        <v/>
      </c>
      <c r="C97" s="25"/>
      <c r="D97" s="26"/>
      <c r="E97" s="23"/>
      <c r="F97" s="23"/>
      <c r="G97" s="23"/>
      <c r="H97" s="23"/>
      <c r="I97" s="27" t="str">
        <f t="shared" si="2"/>
        <v/>
      </c>
    </row>
    <row r="98" spans="1:9" x14ac:dyDescent="0.3">
      <c r="A98" s="23"/>
      <c r="B98" s="24" t="str">
        <f>IF($A98="","",IFERROR(VLOOKUP($A98,Facturas!$A$8:$B$300,2,FALSE),""))</f>
        <v/>
      </c>
      <c r="C98" s="25"/>
      <c r="D98" s="26"/>
      <c r="E98" s="23"/>
      <c r="F98" s="23"/>
      <c r="G98" s="23"/>
      <c r="H98" s="23"/>
      <c r="I98" s="27" t="str">
        <f t="shared" si="2"/>
        <v/>
      </c>
    </row>
    <row r="99" spans="1:9" x14ac:dyDescent="0.3">
      <c r="A99" s="23"/>
      <c r="B99" s="24" t="str">
        <f>IF($A99="","",IFERROR(VLOOKUP($A99,Facturas!$A$8:$B$300,2,FALSE),""))</f>
        <v/>
      </c>
      <c r="C99" s="25"/>
      <c r="D99" s="26"/>
      <c r="E99" s="23"/>
      <c r="F99" s="23"/>
      <c r="G99" s="23"/>
      <c r="H99" s="23"/>
      <c r="I99" s="27" t="str">
        <f t="shared" si="2"/>
        <v/>
      </c>
    </row>
    <row r="100" spans="1:9" x14ac:dyDescent="0.3">
      <c r="A100" s="23"/>
      <c r="B100" s="24" t="str">
        <f>IF($A100="","",IFERROR(VLOOKUP($A100,Facturas!$A$8:$B$300,2,FALSE),""))</f>
        <v/>
      </c>
      <c r="C100" s="25"/>
      <c r="D100" s="26"/>
      <c r="E100" s="23"/>
      <c r="F100" s="23"/>
      <c r="G100" s="23"/>
      <c r="H100" s="23"/>
      <c r="I100" s="27" t="str">
        <f t="shared" si="2"/>
        <v/>
      </c>
    </row>
    <row r="101" spans="1:9" x14ac:dyDescent="0.3">
      <c r="A101" s="23"/>
      <c r="B101" s="24" t="str">
        <f>IF($A101="","",IFERROR(VLOOKUP($A101,Facturas!$A$8:$B$300,2,FALSE),""))</f>
        <v/>
      </c>
      <c r="C101" s="25"/>
      <c r="D101" s="26"/>
      <c r="E101" s="23"/>
      <c r="F101" s="23"/>
      <c r="G101" s="23"/>
      <c r="H101" s="23"/>
      <c r="I101" s="27" t="str">
        <f t="shared" si="2"/>
        <v/>
      </c>
    </row>
    <row r="102" spans="1:9" x14ac:dyDescent="0.3">
      <c r="A102" s="23"/>
      <c r="B102" s="24" t="str">
        <f>IF($A102="","",IFERROR(VLOOKUP($A102,Facturas!$A$8:$B$300,2,FALSE),""))</f>
        <v/>
      </c>
      <c r="C102" s="25"/>
      <c r="D102" s="26"/>
      <c r="E102" s="23"/>
      <c r="F102" s="23"/>
      <c r="G102" s="23"/>
      <c r="H102" s="23"/>
      <c r="I102" s="27" t="str">
        <f t="shared" si="2"/>
        <v/>
      </c>
    </row>
    <row r="103" spans="1:9" x14ac:dyDescent="0.3">
      <c r="A103" s="23"/>
      <c r="B103" s="24" t="str">
        <f>IF($A103="","",IFERROR(VLOOKUP($A103,Facturas!$A$8:$B$300,2,FALSE),""))</f>
        <v/>
      </c>
      <c r="C103" s="25"/>
      <c r="D103" s="26"/>
      <c r="E103" s="23"/>
      <c r="F103" s="23"/>
      <c r="G103" s="23"/>
      <c r="H103" s="23"/>
      <c r="I103" s="27" t="str">
        <f t="shared" si="2"/>
        <v/>
      </c>
    </row>
    <row r="104" spans="1:9" x14ac:dyDescent="0.3">
      <c r="A104" s="23"/>
      <c r="B104" s="24" t="str">
        <f>IF($A104="","",IFERROR(VLOOKUP($A104,Facturas!$A$8:$B$300,2,FALSE),""))</f>
        <v/>
      </c>
      <c r="C104" s="25"/>
      <c r="D104" s="26"/>
      <c r="E104" s="23"/>
      <c r="F104" s="23"/>
      <c r="G104" s="23"/>
      <c r="H104" s="23"/>
      <c r="I104" s="27" t="str">
        <f t="shared" ref="I104:I120" si="3">IF($C104="","",DATE(YEAR($C104),MONTH($C104),1))</f>
        <v/>
      </c>
    </row>
    <row r="105" spans="1:9" x14ac:dyDescent="0.3">
      <c r="A105" s="23"/>
      <c r="B105" s="24" t="str">
        <f>IF($A105="","",IFERROR(VLOOKUP($A105,Facturas!$A$8:$B$300,2,FALSE),""))</f>
        <v/>
      </c>
      <c r="C105" s="25"/>
      <c r="D105" s="26"/>
      <c r="E105" s="23"/>
      <c r="F105" s="23"/>
      <c r="G105" s="23"/>
      <c r="H105" s="23"/>
      <c r="I105" s="27" t="str">
        <f t="shared" si="3"/>
        <v/>
      </c>
    </row>
    <row r="106" spans="1:9" x14ac:dyDescent="0.3">
      <c r="A106" s="23"/>
      <c r="B106" s="24" t="str">
        <f>IF($A106="","",IFERROR(VLOOKUP($A106,Facturas!$A$8:$B$300,2,FALSE),""))</f>
        <v/>
      </c>
      <c r="C106" s="25"/>
      <c r="D106" s="26"/>
      <c r="E106" s="23"/>
      <c r="F106" s="23"/>
      <c r="G106" s="23"/>
      <c r="H106" s="23"/>
      <c r="I106" s="27" t="str">
        <f t="shared" si="3"/>
        <v/>
      </c>
    </row>
    <row r="107" spans="1:9" x14ac:dyDescent="0.3">
      <c r="A107" s="23"/>
      <c r="B107" s="24" t="str">
        <f>IF($A107="","",IFERROR(VLOOKUP($A107,Facturas!$A$8:$B$300,2,FALSE),""))</f>
        <v/>
      </c>
      <c r="C107" s="25"/>
      <c r="D107" s="26"/>
      <c r="E107" s="23"/>
      <c r="F107" s="23"/>
      <c r="G107" s="23"/>
      <c r="H107" s="23"/>
      <c r="I107" s="27" t="str">
        <f t="shared" si="3"/>
        <v/>
      </c>
    </row>
    <row r="108" spans="1:9" x14ac:dyDescent="0.3">
      <c r="A108" s="23"/>
      <c r="B108" s="24" t="str">
        <f>IF($A108="","",IFERROR(VLOOKUP($A108,Facturas!$A$8:$B$300,2,FALSE),""))</f>
        <v/>
      </c>
      <c r="C108" s="25"/>
      <c r="D108" s="26"/>
      <c r="E108" s="23"/>
      <c r="F108" s="23"/>
      <c r="G108" s="23"/>
      <c r="H108" s="23"/>
      <c r="I108" s="27" t="str">
        <f t="shared" si="3"/>
        <v/>
      </c>
    </row>
    <row r="109" spans="1:9" x14ac:dyDescent="0.3">
      <c r="A109" s="23"/>
      <c r="B109" s="24" t="str">
        <f>IF($A109="","",IFERROR(VLOOKUP($A109,Facturas!$A$8:$B$300,2,FALSE),""))</f>
        <v/>
      </c>
      <c r="C109" s="25"/>
      <c r="D109" s="26"/>
      <c r="E109" s="23"/>
      <c r="F109" s="23"/>
      <c r="G109" s="23"/>
      <c r="H109" s="23"/>
      <c r="I109" s="27" t="str">
        <f t="shared" si="3"/>
        <v/>
      </c>
    </row>
    <row r="110" spans="1:9" x14ac:dyDescent="0.3">
      <c r="A110" s="23"/>
      <c r="B110" s="24" t="str">
        <f>IF($A110="","",IFERROR(VLOOKUP($A110,Facturas!$A$8:$B$300,2,FALSE),""))</f>
        <v/>
      </c>
      <c r="C110" s="25"/>
      <c r="D110" s="26"/>
      <c r="E110" s="23"/>
      <c r="F110" s="23"/>
      <c r="G110" s="23"/>
      <c r="H110" s="23"/>
      <c r="I110" s="27" t="str">
        <f t="shared" si="3"/>
        <v/>
      </c>
    </row>
    <row r="111" spans="1:9" x14ac:dyDescent="0.3">
      <c r="A111" s="23"/>
      <c r="B111" s="24" t="str">
        <f>IF($A111="","",IFERROR(VLOOKUP($A111,Facturas!$A$8:$B$300,2,FALSE),""))</f>
        <v/>
      </c>
      <c r="C111" s="25"/>
      <c r="D111" s="26"/>
      <c r="E111" s="23"/>
      <c r="F111" s="23"/>
      <c r="G111" s="23"/>
      <c r="H111" s="23"/>
      <c r="I111" s="27" t="str">
        <f t="shared" si="3"/>
        <v/>
      </c>
    </row>
    <row r="112" spans="1:9" x14ac:dyDescent="0.3">
      <c r="A112" s="23"/>
      <c r="B112" s="24" t="str">
        <f>IF($A112="","",IFERROR(VLOOKUP($A112,Facturas!$A$8:$B$300,2,FALSE),""))</f>
        <v/>
      </c>
      <c r="C112" s="25"/>
      <c r="D112" s="26"/>
      <c r="E112" s="23"/>
      <c r="F112" s="23"/>
      <c r="G112" s="23"/>
      <c r="H112" s="23"/>
      <c r="I112" s="27" t="str">
        <f t="shared" si="3"/>
        <v/>
      </c>
    </row>
    <row r="113" spans="1:9" x14ac:dyDescent="0.3">
      <c r="A113" s="23"/>
      <c r="B113" s="24" t="str">
        <f>IF($A113="","",IFERROR(VLOOKUP($A113,Facturas!$A$8:$B$300,2,FALSE),""))</f>
        <v/>
      </c>
      <c r="C113" s="25"/>
      <c r="D113" s="26"/>
      <c r="E113" s="23"/>
      <c r="F113" s="23"/>
      <c r="G113" s="23"/>
      <c r="H113" s="23"/>
      <c r="I113" s="27" t="str">
        <f t="shared" si="3"/>
        <v/>
      </c>
    </row>
    <row r="114" spans="1:9" x14ac:dyDescent="0.3">
      <c r="A114" s="23"/>
      <c r="B114" s="24" t="str">
        <f>IF($A114="","",IFERROR(VLOOKUP($A114,Facturas!$A$8:$B$300,2,FALSE),""))</f>
        <v/>
      </c>
      <c r="C114" s="25"/>
      <c r="D114" s="26"/>
      <c r="E114" s="23"/>
      <c r="F114" s="23"/>
      <c r="G114" s="23"/>
      <c r="H114" s="23"/>
      <c r="I114" s="27" t="str">
        <f t="shared" si="3"/>
        <v/>
      </c>
    </row>
    <row r="115" spans="1:9" x14ac:dyDescent="0.3">
      <c r="A115" s="23"/>
      <c r="B115" s="24" t="str">
        <f>IF($A115="","",IFERROR(VLOOKUP($A115,Facturas!$A$8:$B$300,2,FALSE),""))</f>
        <v/>
      </c>
      <c r="C115" s="25"/>
      <c r="D115" s="26"/>
      <c r="E115" s="23"/>
      <c r="F115" s="23"/>
      <c r="G115" s="23"/>
      <c r="H115" s="23"/>
      <c r="I115" s="27" t="str">
        <f t="shared" si="3"/>
        <v/>
      </c>
    </row>
    <row r="116" spans="1:9" x14ac:dyDescent="0.3">
      <c r="A116" s="23"/>
      <c r="B116" s="24" t="str">
        <f>IF($A116="","",IFERROR(VLOOKUP($A116,Facturas!$A$8:$B$300,2,FALSE),""))</f>
        <v/>
      </c>
      <c r="C116" s="25"/>
      <c r="D116" s="26"/>
      <c r="E116" s="23"/>
      <c r="F116" s="23"/>
      <c r="G116" s="23"/>
      <c r="H116" s="23"/>
      <c r="I116" s="27" t="str">
        <f t="shared" si="3"/>
        <v/>
      </c>
    </row>
    <row r="117" spans="1:9" x14ac:dyDescent="0.3">
      <c r="A117" s="23"/>
      <c r="B117" s="24" t="str">
        <f>IF($A117="","",IFERROR(VLOOKUP($A117,Facturas!$A$8:$B$300,2,FALSE),""))</f>
        <v/>
      </c>
      <c r="C117" s="25"/>
      <c r="D117" s="26"/>
      <c r="E117" s="23"/>
      <c r="F117" s="23"/>
      <c r="G117" s="23"/>
      <c r="H117" s="23"/>
      <c r="I117" s="27" t="str">
        <f t="shared" si="3"/>
        <v/>
      </c>
    </row>
    <row r="118" spans="1:9" x14ac:dyDescent="0.3">
      <c r="A118" s="23"/>
      <c r="B118" s="24" t="str">
        <f>IF($A118="","",IFERROR(VLOOKUP($A118,Facturas!$A$8:$B$300,2,FALSE),""))</f>
        <v/>
      </c>
      <c r="C118" s="25"/>
      <c r="D118" s="26"/>
      <c r="E118" s="23"/>
      <c r="F118" s="23"/>
      <c r="G118" s="23"/>
      <c r="H118" s="23"/>
      <c r="I118" s="27" t="str">
        <f t="shared" si="3"/>
        <v/>
      </c>
    </row>
    <row r="119" spans="1:9" x14ac:dyDescent="0.3">
      <c r="A119" s="23"/>
      <c r="B119" s="24" t="str">
        <f>IF($A119="","",IFERROR(VLOOKUP($A119,Facturas!$A$8:$B$300,2,FALSE),""))</f>
        <v/>
      </c>
      <c r="C119" s="25"/>
      <c r="D119" s="26"/>
      <c r="E119" s="23"/>
      <c r="F119" s="23"/>
      <c r="G119" s="23"/>
      <c r="H119" s="23"/>
      <c r="I119" s="27" t="str">
        <f t="shared" si="3"/>
        <v/>
      </c>
    </row>
    <row r="120" spans="1:9" x14ac:dyDescent="0.3">
      <c r="A120" s="23"/>
      <c r="B120" s="24" t="str">
        <f>IF($A120="","",IFERROR(VLOOKUP($A120,Facturas!$A$8:$B$300,2,FALSE),""))</f>
        <v/>
      </c>
      <c r="C120" s="25"/>
      <c r="D120" s="26"/>
      <c r="E120" s="23"/>
      <c r="F120" s="23"/>
      <c r="G120" s="23"/>
      <c r="H120" s="23"/>
      <c r="I120" s="27" t="str">
        <f t="shared" si="3"/>
        <v/>
      </c>
    </row>
  </sheetData>
  <autoFilter ref="A7:I120" xr:uid="{00000000-0009-0000-0000-000002000000}"/>
  <mergeCells count="8">
    <mergeCell ref="H5"/>
    <mergeCell ref="E4:F4"/>
    <mergeCell ref="A2:I2"/>
    <mergeCell ref="B5:C5"/>
    <mergeCell ref="A1:I1"/>
    <mergeCell ref="E5:F5"/>
    <mergeCell ref="B4:C4"/>
    <mergeCell ref="H4"/>
  </mergeCells>
  <conditionalFormatting sqref="F8:F300">
    <cfRule type="expression" dxfId="2" priority="1">
      <formula>$F8="Aplicado"</formula>
    </cfRule>
    <cfRule type="expression" dxfId="1" priority="2">
      <formula>$F8="Programado"</formula>
    </cfRule>
    <cfRule type="expression" dxfId="0" priority="3">
      <formula>$F8="Anulado"</formula>
    </cfRule>
  </conditionalFormatting>
  <dataValidations count="2">
    <dataValidation type="list" allowBlank="1" error="El valor no coincide con la lista maestra." sqref="E8:E300" xr:uid="{00000000-0002-0000-0200-000000000000}">
      <formula1>ListaMetodos</formula1>
    </dataValidation>
    <dataValidation type="list" allowBlank="1" error="El valor no coincide con la lista maestra." sqref="F8:F300" xr:uid="{00000000-0002-0000-0200-000001000000}">
      <formula1>ListaEstadoPago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13"/>
  <sheetViews>
    <sheetView workbookViewId="0"/>
  </sheetViews>
  <sheetFormatPr baseColWidth="10" defaultColWidth="8.88671875" defaultRowHeight="14.4" x14ac:dyDescent="0.3"/>
  <cols>
    <col min="1" max="1" width="28" customWidth="1"/>
    <col min="2" max="2" width="14" customWidth="1"/>
    <col min="3" max="3" width="20" customWidth="1"/>
    <col min="4" max="6" width="16" customWidth="1"/>
    <col min="7" max="7" width="26" customWidth="1"/>
    <col min="8" max="9" width="13" customWidth="1"/>
    <col min="10" max="10" width="14" customWidth="1"/>
    <col min="11" max="11" width="8" customWidth="1"/>
    <col min="13" max="13" width="18" customWidth="1"/>
    <col min="15" max="15" width="8" customWidth="1"/>
    <col min="17" max="17" width="12" customWidth="1"/>
    <col min="19" max="19" width="18" customWidth="1"/>
    <col min="21" max="21" width="14" customWidth="1"/>
    <col min="23" max="23" width="16" customWidth="1"/>
  </cols>
  <sheetData>
    <row r="1" spans="1:23" x14ac:dyDescent="0.3">
      <c r="A1" t="s">
        <v>203</v>
      </c>
    </row>
    <row r="2" spans="1:23" x14ac:dyDescent="0.3">
      <c r="A2" s="28" t="s">
        <v>24</v>
      </c>
      <c r="B2" s="28" t="s">
        <v>204</v>
      </c>
      <c r="C2" s="28" t="s">
        <v>46</v>
      </c>
      <c r="D2" s="28" t="s">
        <v>205</v>
      </c>
      <c r="E2" s="28" t="s">
        <v>206</v>
      </c>
      <c r="F2" s="28" t="s">
        <v>40</v>
      </c>
      <c r="G2" s="28" t="s">
        <v>207</v>
      </c>
      <c r="H2" t="s">
        <v>39</v>
      </c>
      <c r="I2" t="s">
        <v>22</v>
      </c>
      <c r="J2" s="29" t="s">
        <v>208</v>
      </c>
      <c r="K2" s="29" t="s">
        <v>209</v>
      </c>
      <c r="L2" t="s">
        <v>210</v>
      </c>
      <c r="M2" s="29" t="s">
        <v>211</v>
      </c>
      <c r="O2" s="29" t="s">
        <v>55</v>
      </c>
      <c r="Q2" s="29" t="s">
        <v>212</v>
      </c>
      <c r="S2" s="29" t="s">
        <v>213</v>
      </c>
      <c r="U2" s="29" t="s">
        <v>176</v>
      </c>
      <c r="W2" s="29" t="s">
        <v>63</v>
      </c>
    </row>
    <row r="3" spans="1:23" x14ac:dyDescent="0.3">
      <c r="A3" s="28" t="s">
        <v>69</v>
      </c>
      <c r="B3" s="28" t="s">
        <v>214</v>
      </c>
      <c r="C3" s="28" t="s">
        <v>215</v>
      </c>
      <c r="D3" s="28" t="s">
        <v>216</v>
      </c>
      <c r="E3" s="28" t="s">
        <v>179</v>
      </c>
      <c r="F3" s="28" t="s">
        <v>217</v>
      </c>
      <c r="G3" s="28" t="s">
        <v>218</v>
      </c>
      <c r="H3" s="30">
        <f>SUMIFS(Facturas!$R$8:$R$300,Facturas!$B$8:$B$300,$A3)</f>
        <v>1694</v>
      </c>
      <c r="I3" s="30">
        <f>SUMIFS(Facturas!$T$8:$T$300,Facturas!$B$8:$B$300,$A3)</f>
        <v>0</v>
      </c>
      <c r="J3" s="29" t="s">
        <v>219</v>
      </c>
      <c r="K3" s="29">
        <v>0</v>
      </c>
      <c r="L3">
        <f t="shared" ref="L3:L13" si="0">I3+ROW()/100000</f>
        <v>3.0000000000000001E-5</v>
      </c>
      <c r="M3" s="29" t="s">
        <v>70</v>
      </c>
      <c r="O3" s="31">
        <v>0</v>
      </c>
      <c r="Q3" s="31">
        <v>0</v>
      </c>
      <c r="S3" s="29" t="s">
        <v>179</v>
      </c>
      <c r="U3" s="29" t="s">
        <v>180</v>
      </c>
      <c r="W3" s="29" t="s">
        <v>72</v>
      </c>
    </row>
    <row r="4" spans="1:23" x14ac:dyDescent="0.3">
      <c r="A4" s="28" t="s">
        <v>76</v>
      </c>
      <c r="B4" s="28" t="s">
        <v>220</v>
      </c>
      <c r="C4" s="28" t="s">
        <v>221</v>
      </c>
      <c r="D4" s="28" t="s">
        <v>216</v>
      </c>
      <c r="E4" s="28" t="s">
        <v>179</v>
      </c>
      <c r="F4" s="28" t="s">
        <v>222</v>
      </c>
      <c r="G4" s="28" t="s">
        <v>223</v>
      </c>
      <c r="H4" s="30">
        <f>SUMIFS(Facturas!$R$8:$R$300,Facturas!$B$8:$B$300,$A4)</f>
        <v>2807.2</v>
      </c>
      <c r="I4" s="30">
        <f>SUMIFS(Facturas!$T$8:$T$300,Facturas!$B$8:$B$300,$A4)</f>
        <v>1507.2</v>
      </c>
      <c r="J4" s="29" t="s">
        <v>224</v>
      </c>
      <c r="K4" s="29">
        <v>15</v>
      </c>
      <c r="L4">
        <f t="shared" si="0"/>
        <v>1507.2000399999999</v>
      </c>
      <c r="M4" s="29" t="s">
        <v>77</v>
      </c>
      <c r="O4" s="31">
        <v>0.04</v>
      </c>
      <c r="Q4" s="31">
        <v>7.0000000000000007E-2</v>
      </c>
      <c r="S4" s="29" t="s">
        <v>187</v>
      </c>
      <c r="U4" s="29" t="s">
        <v>37</v>
      </c>
      <c r="W4" s="29" t="s">
        <v>86</v>
      </c>
    </row>
    <row r="5" spans="1:23" x14ac:dyDescent="0.3">
      <c r="A5" s="28" t="s">
        <v>83</v>
      </c>
      <c r="B5" s="28" t="s">
        <v>225</v>
      </c>
      <c r="C5" s="28" t="s">
        <v>226</v>
      </c>
      <c r="D5" s="28" t="s">
        <v>216</v>
      </c>
      <c r="E5" s="28" t="s">
        <v>179</v>
      </c>
      <c r="F5" s="28" t="s">
        <v>227</v>
      </c>
      <c r="G5" s="28" t="s">
        <v>228</v>
      </c>
      <c r="H5" s="30">
        <f>SUMIFS(Facturas!$R$8:$R$300,Facturas!$B$8:$B$300,$A5)</f>
        <v>701.8</v>
      </c>
      <c r="I5" s="30">
        <f>SUMIFS(Facturas!$T$8:$T$300,Facturas!$B$8:$B$300,$A5)</f>
        <v>701.8</v>
      </c>
      <c r="J5" s="29" t="s">
        <v>216</v>
      </c>
      <c r="K5" s="29">
        <v>30</v>
      </c>
      <c r="L5">
        <f t="shared" si="0"/>
        <v>701.80004999999994</v>
      </c>
      <c r="M5" s="29" t="s">
        <v>84</v>
      </c>
      <c r="O5" s="31">
        <v>0.1</v>
      </c>
      <c r="Q5" s="31">
        <v>0.15</v>
      </c>
      <c r="S5" s="29" t="s">
        <v>196</v>
      </c>
      <c r="U5" s="29" t="s">
        <v>229</v>
      </c>
      <c r="W5" s="29" t="s">
        <v>79</v>
      </c>
    </row>
    <row r="6" spans="1:23" x14ac:dyDescent="0.3">
      <c r="A6" s="28" t="s">
        <v>90</v>
      </c>
      <c r="B6" s="28" t="s">
        <v>230</v>
      </c>
      <c r="C6" s="28" t="s">
        <v>231</v>
      </c>
      <c r="D6" s="28" t="s">
        <v>224</v>
      </c>
      <c r="E6" s="28" t="s">
        <v>179</v>
      </c>
      <c r="F6" s="28" t="s">
        <v>232</v>
      </c>
      <c r="G6" s="28" t="s">
        <v>233</v>
      </c>
      <c r="H6" s="30">
        <f>SUMIFS(Facturas!$R$8:$R$300,Facturas!$B$8:$B$300,$A6)</f>
        <v>1683</v>
      </c>
      <c r="I6" s="30">
        <f>SUMIFS(Facturas!$T$8:$T$300,Facturas!$B$8:$B$300,$A6)</f>
        <v>1683</v>
      </c>
      <c r="J6" s="29" t="s">
        <v>234</v>
      </c>
      <c r="K6" s="29">
        <v>45</v>
      </c>
      <c r="L6">
        <f t="shared" si="0"/>
        <v>1683.0000600000001</v>
      </c>
      <c r="M6" s="29" t="s">
        <v>98</v>
      </c>
      <c r="O6" s="31">
        <v>0.21</v>
      </c>
      <c r="S6" s="29" t="s">
        <v>235</v>
      </c>
      <c r="W6" s="29" t="s">
        <v>100</v>
      </c>
    </row>
    <row r="7" spans="1:23" x14ac:dyDescent="0.3">
      <c r="A7" s="28" t="s">
        <v>141</v>
      </c>
      <c r="B7" s="28" t="s">
        <v>236</v>
      </c>
      <c r="C7" s="28" t="s">
        <v>237</v>
      </c>
      <c r="D7" s="28" t="s">
        <v>216</v>
      </c>
      <c r="E7" s="28" t="s">
        <v>179</v>
      </c>
      <c r="F7" s="28" t="s">
        <v>238</v>
      </c>
      <c r="G7" s="28" t="s">
        <v>239</v>
      </c>
      <c r="H7" s="30">
        <f>SUMIFS(Facturas!$R$8:$R$300,Facturas!$B$8:$B$300,$A7)</f>
        <v>1355.2</v>
      </c>
      <c r="I7" s="30">
        <f>SUMIFS(Facturas!$T$8:$T$300,Facturas!$B$8:$B$300,$A7)</f>
        <v>1355.2</v>
      </c>
      <c r="J7" s="29" t="s">
        <v>240</v>
      </c>
      <c r="K7" s="29">
        <v>60</v>
      </c>
      <c r="L7">
        <f t="shared" si="0"/>
        <v>1355.2000700000001</v>
      </c>
      <c r="M7" s="29" t="s">
        <v>91</v>
      </c>
      <c r="W7" s="29" t="s">
        <v>93</v>
      </c>
    </row>
    <row r="8" spans="1:23" x14ac:dyDescent="0.3">
      <c r="A8" s="28" t="s">
        <v>104</v>
      </c>
      <c r="B8" s="28" t="s">
        <v>241</v>
      </c>
      <c r="C8" s="28" t="s">
        <v>242</v>
      </c>
      <c r="D8" s="28" t="s">
        <v>216</v>
      </c>
      <c r="E8" s="28" t="s">
        <v>179</v>
      </c>
      <c r="F8" s="28" t="s">
        <v>243</v>
      </c>
      <c r="G8" s="28" t="s">
        <v>244</v>
      </c>
      <c r="H8" s="30">
        <f>SUMIFS(Facturas!$R$8:$R$300,Facturas!$B$8:$B$300,$A8)</f>
        <v>2279</v>
      </c>
      <c r="I8" s="30">
        <f>SUMIFS(Facturas!$T$8:$T$300,Facturas!$B$8:$B$300,$A8)</f>
        <v>1325</v>
      </c>
      <c r="L8">
        <f t="shared" si="0"/>
        <v>1325.00008</v>
      </c>
      <c r="M8" s="29" t="s">
        <v>132</v>
      </c>
    </row>
    <row r="9" spans="1:23" x14ac:dyDescent="0.3">
      <c r="A9" s="28" t="s">
        <v>97</v>
      </c>
      <c r="B9" s="28" t="s">
        <v>245</v>
      </c>
      <c r="C9" s="28" t="s">
        <v>246</v>
      </c>
      <c r="D9" s="28" t="s">
        <v>216</v>
      </c>
      <c r="E9" s="28" t="s">
        <v>187</v>
      </c>
      <c r="F9" s="28" t="s">
        <v>247</v>
      </c>
      <c r="G9" s="28" t="s">
        <v>248</v>
      </c>
      <c r="H9" s="30">
        <f>SUMIFS(Facturas!$R$8:$R$300,Facturas!$B$8:$B$300,$A9)</f>
        <v>2910.05</v>
      </c>
      <c r="I9" s="30">
        <f>SUMIFS(Facturas!$T$8:$T$300,Facturas!$B$8:$B$300,$A9)</f>
        <v>732.05</v>
      </c>
      <c r="L9">
        <f t="shared" si="0"/>
        <v>732.05008999999995</v>
      </c>
    </row>
    <row r="10" spans="1:23" x14ac:dyDescent="0.3">
      <c r="A10" s="28" t="s">
        <v>114</v>
      </c>
      <c r="B10" s="28" t="s">
        <v>249</v>
      </c>
      <c r="C10" s="28" t="s">
        <v>250</v>
      </c>
      <c r="D10" s="28" t="s">
        <v>240</v>
      </c>
      <c r="E10" s="28" t="s">
        <v>179</v>
      </c>
      <c r="F10" s="28" t="s">
        <v>251</v>
      </c>
      <c r="G10" s="28" t="s">
        <v>252</v>
      </c>
      <c r="H10" s="30">
        <f>SUMIFS(Facturas!$R$8:$R$300,Facturas!$B$8:$B$300,$A10)</f>
        <v>786.5</v>
      </c>
      <c r="I10" s="30">
        <f>SUMIFS(Facturas!$T$8:$T$300,Facturas!$B$8:$B$300,$A10)</f>
        <v>786.5</v>
      </c>
      <c r="L10">
        <f t="shared" si="0"/>
        <v>786.50009999999997</v>
      </c>
    </row>
    <row r="11" spans="1:23" x14ac:dyDescent="0.3">
      <c r="A11" s="28" t="s">
        <v>109</v>
      </c>
      <c r="B11" s="28" t="s">
        <v>253</v>
      </c>
      <c r="C11" s="28" t="s">
        <v>254</v>
      </c>
      <c r="D11" s="28" t="s">
        <v>216</v>
      </c>
      <c r="E11" s="28" t="s">
        <v>179</v>
      </c>
      <c r="F11" s="28" t="s">
        <v>255</v>
      </c>
      <c r="G11" s="28" t="s">
        <v>256</v>
      </c>
      <c r="H11" s="30">
        <f>SUMIFS(Facturas!$R$8:$R$300,Facturas!$B$8:$B$300,$A11)</f>
        <v>1427.8</v>
      </c>
      <c r="I11" s="30">
        <f>SUMIFS(Facturas!$T$8:$T$300,Facturas!$B$8:$B$300,$A11)</f>
        <v>1427.8</v>
      </c>
      <c r="L11">
        <f t="shared" si="0"/>
        <v>1427.8001099999999</v>
      </c>
    </row>
    <row r="12" spans="1:23" x14ac:dyDescent="0.3">
      <c r="A12" s="28" t="s">
        <v>119</v>
      </c>
      <c r="B12" s="28" t="s">
        <v>257</v>
      </c>
      <c r="C12" s="28" t="s">
        <v>258</v>
      </c>
      <c r="D12" s="28" t="s">
        <v>216</v>
      </c>
      <c r="E12" s="28" t="s">
        <v>179</v>
      </c>
      <c r="F12" s="28" t="s">
        <v>259</v>
      </c>
      <c r="G12" s="28" t="s">
        <v>260</v>
      </c>
      <c r="H12" s="30">
        <f>SUMIFS(Facturas!$R$8:$R$300,Facturas!$B$8:$B$300,$A12)</f>
        <v>2683</v>
      </c>
      <c r="I12" s="30">
        <f>SUMIFS(Facturas!$T$8:$T$300,Facturas!$B$8:$B$300,$A12)</f>
        <v>1183</v>
      </c>
      <c r="L12">
        <f t="shared" si="0"/>
        <v>1183.0001199999999</v>
      </c>
    </row>
    <row r="13" spans="1:23" x14ac:dyDescent="0.3">
      <c r="A13" s="28" t="s">
        <v>149</v>
      </c>
      <c r="B13" s="28" t="s">
        <v>261</v>
      </c>
      <c r="C13" s="28" t="s">
        <v>262</v>
      </c>
      <c r="D13" s="28" t="s">
        <v>224</v>
      </c>
      <c r="E13" s="28" t="s">
        <v>179</v>
      </c>
      <c r="F13" s="28" t="s">
        <v>263</v>
      </c>
      <c r="G13" s="28" t="s">
        <v>264</v>
      </c>
      <c r="H13" s="30">
        <f>SUMIFS(Facturas!$R$8:$R$300,Facturas!$B$8:$B$300,$A13)</f>
        <v>653.4</v>
      </c>
      <c r="I13" s="30">
        <f>SUMIFS(Facturas!$T$8:$T$300,Facturas!$B$8:$B$300,$A13)</f>
        <v>653.4</v>
      </c>
      <c r="L13">
        <f t="shared" si="0"/>
        <v>653.40012999999999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8</vt:i4>
      </vt:variant>
    </vt:vector>
  </HeadingPairs>
  <TitlesOfParts>
    <vt:vector size="12" baseType="lpstr">
      <vt:lpstr>Inicio</vt:lpstr>
      <vt:lpstr>Facturas</vt:lpstr>
      <vt:lpstr>Pagos</vt:lpstr>
      <vt:lpstr>Listas</vt:lpstr>
      <vt:lpstr>ListaCentros</vt:lpstr>
      <vt:lpstr>ListaCondiciones</vt:lpstr>
      <vt:lpstr>ListaEstadoPago</vt:lpstr>
      <vt:lpstr>ListaIVA</vt:lpstr>
      <vt:lpstr>ListaMetodos</vt:lpstr>
      <vt:lpstr>ListaProveedores</vt:lpstr>
      <vt:lpstr>ListaResponsables</vt:lpstr>
      <vt:lpstr>ListaRet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2026-04-20T10:41:30Z</dcterms:created>
  <dcterms:modified xsi:type="dcterms:W3CDTF">2026-04-21T08:27:58Z</dcterms:modified>
</cp:coreProperties>
</file>