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Panel" sheetId="1" state="visible" r:id="rId1"/>
    <sheet xmlns:r="http://schemas.openxmlformats.org/officeDocument/2006/relationships" name="Facturas" sheetId="2" state="visible" r:id="rId2"/>
    <sheet xmlns:r="http://schemas.openxmlformats.org/officeDocument/2006/relationships" name="Proveedores" sheetId="3" state="visible" r:id="rId3"/>
  </sheets>
  <definedNames>
    <definedName name="Lista_Proveedores">'Proveedores'!$B$6:$B$105</definedName>
    <definedName name="EstadosFactura">'Proveedores'!$M$2:$M$7</definedName>
    <definedName name="Responsables">'Proveedores'!$N$2:$N$6</definedName>
    <definedName name="TiposIVA">'Proveedores'!$O$2:$O$5</definedName>
    <definedName name="TiposRetencion">'Proveedores'!$P$2:$P$4</definedName>
    <definedName name="FormasPago">'Proveedores'!$Q$2:$Q$6</definedName>
    <definedName name="Categorias">'Proveedores'!$R$2:$R$12</definedName>
    <definedName name="EstadosProveedor">'Proveedores'!$S$2:$S$4</definedName>
  </definedNames>
</workbook>
</file>

<file path=xl/styles.xml><?xml version="1.0" encoding="utf-8"?>
<styleSheet xmlns="http://schemas.openxmlformats.org/spreadsheetml/2006/main">
  <numFmts count="4">
    <numFmt numFmtId="164" formatCode="€ #,##0.00;[Red](€ #,##0.00);-"/>
    <numFmt numFmtId="165" formatCode="0.0%"/>
    <numFmt numFmtId="166" formatCode="mmm"/>
    <numFmt numFmtId="167" formatCode="dd/mm/yyyy"/>
  </numFmts>
  <fonts count="11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i val="1"/>
      <color rgb="00666666"/>
      <sz val="10"/>
    </font>
    <font>
      <name val="Aptos"/>
      <b val="1"/>
      <color rgb="00FFFFFF"/>
      <sz val="10"/>
    </font>
    <font>
      <name val="Aptos"/>
      <color rgb="00666666"/>
      <sz val="10"/>
    </font>
    <font>
      <name val="Aptos"/>
      <color rgb="001F4E79"/>
      <sz val="10"/>
    </font>
    <font>
      <name val="Aptos"/>
      <b val="1"/>
      <color rgb="000F243E"/>
      <sz val="10"/>
    </font>
    <font>
      <b val="1"/>
      <color rgb="000F243E"/>
      <sz val="9"/>
    </font>
    <font>
      <name val="Aptos"/>
      <color rgb="00000000"/>
      <sz val="10"/>
    </font>
    <font>
      <color rgb="000F243E"/>
      <sz val="10"/>
    </font>
    <font>
      <name val="Aptos"/>
      <b val="1"/>
      <color rgb="000F243E"/>
      <sz val="16"/>
    </font>
  </fonts>
  <fills count="8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EAF2FF"/>
      </patternFill>
    </fill>
    <fill>
      <patternFill patternType="solid">
        <fgColor rgb="00F3F6F9"/>
      </patternFill>
    </fill>
    <fill>
      <patternFill patternType="solid">
        <fgColor rgb="00D9EDEB"/>
      </patternFill>
    </fill>
    <fill>
      <patternFill patternType="solid">
        <fgColor rgb="00EAF0F8"/>
      </patternFill>
    </fill>
    <fill>
      <patternFill patternType="solid">
        <fgColor rgb="000F766E"/>
      </patternFill>
    </fill>
  </fills>
  <borders count="12">
    <border>
      <left/>
      <right/>
      <top/>
      <bottom/>
      <diagonal/>
    </border>
    <border>
      <left style="thin">
        <color rgb="00D9E2F3"/>
      </left>
      <right style="thin">
        <color rgb="00D9E2F3"/>
      </right>
      <top style="thin">
        <color rgb="00D9E2F3"/>
      </top>
      <bottom style="thin">
        <color rgb="00D9E2F3"/>
      </bottom>
    </border>
    <border>
      <left style="medium">
        <color rgb="001F4E78"/>
      </left>
      <right style="medium">
        <color rgb="001F4E78"/>
      </right>
      <top style="medium">
        <color rgb="001F4E78"/>
      </top>
      <bottom style="medium">
        <color rgb="001F4E78"/>
      </bottom>
    </border>
    <border>
      <left/>
      <right/>
      <top style="medium">
        <color rgb="001F4E78"/>
      </top>
      <bottom/>
      <diagonal/>
    </border>
    <border>
      <left/>
      <right style="medium">
        <color rgb="001F4E78"/>
      </right>
      <top style="medium">
        <color rgb="001F4E78"/>
      </top>
      <bottom/>
      <diagonal/>
    </border>
    <border>
      <left/>
      <right/>
      <top style="medium">
        <color rgb="001F4E78"/>
      </top>
      <bottom style="medium">
        <color rgb="001F4E78"/>
      </bottom>
      <diagonal/>
    </border>
    <border>
      <left/>
      <right style="medium">
        <color rgb="001F4E78"/>
      </right>
      <top style="medium">
        <color rgb="001F4E78"/>
      </top>
      <bottom style="medium">
        <color rgb="001F4E78"/>
      </bottom>
      <diagonal/>
    </border>
    <border>
      <left style="medium">
        <color rgb="001F4E78"/>
      </left>
      <right/>
      <top/>
      <bottom/>
      <diagonal/>
    </border>
    <border>
      <left/>
      <right style="medium">
        <color rgb="001F4E78"/>
      </right>
      <top/>
      <bottom/>
      <diagonal/>
    </border>
    <border>
      <left style="medium">
        <color rgb="001F4E78"/>
      </left>
      <right/>
      <top/>
      <bottom style="medium">
        <color rgb="001F4E78"/>
      </bottom>
      <diagonal/>
    </border>
    <border>
      <left/>
      <right/>
      <top/>
      <bottom style="medium">
        <color rgb="001F4E78"/>
      </bottom>
      <diagonal/>
    </border>
    <border>
      <left/>
      <right style="medium">
        <color rgb="001F4E78"/>
      </right>
      <top/>
      <bottom style="medium">
        <color rgb="001F4E78"/>
      </bottom>
      <diagonal/>
    </border>
  </borders>
  <cellStyleXfs count="1">
    <xf numFmtId="0" fontId="0" fillId="0" borderId="0"/>
  </cellStyleXfs>
  <cellXfs count="49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pivotButton="0" quotePrefix="0" xfId="0"/>
    <xf numFmtId="0" fontId="6" fillId="0" borderId="0" pivotButton="0" quotePrefix="0" xfId="0"/>
    <xf numFmtId="0" fontId="5" fillId="3" borderId="1" applyAlignment="1" pivotButton="0" quotePrefix="0" xfId="0">
      <alignment horizontal="center"/>
    </xf>
    <xf numFmtId="0" fontId="9" fillId="5" borderId="0" applyAlignment="1" pivotButton="0" quotePrefix="0" xfId="0">
      <alignment vertical="center" wrapText="1"/>
    </xf>
    <xf numFmtId="0" fontId="3" fillId="7" borderId="2" applyAlignment="1" pivotButton="0" quotePrefix="0" xfId="0">
      <alignment horizontal="center"/>
    </xf>
    <xf numFmtId="0" fontId="0" fillId="0" borderId="2" pivotButton="0" quotePrefix="0" xfId="0"/>
    <xf numFmtId="164" fontId="10" fillId="6" borderId="2" applyAlignment="1" pivotButton="0" quotePrefix="0" xfId="0">
      <alignment horizontal="center" vertical="center"/>
    </xf>
    <xf numFmtId="1" fontId="10" fillId="6" borderId="2" applyAlignment="1" pivotButton="0" quotePrefix="0" xfId="0">
      <alignment horizontal="center" vertical="center"/>
    </xf>
    <xf numFmtId="165" fontId="10" fillId="6" borderId="2" applyAlignment="1" pivotButton="0" quotePrefix="0" xfId="0">
      <alignment horizontal="center" vertical="center"/>
    </xf>
    <xf numFmtId="0" fontId="3" fillId="7" borderId="0" applyAlignment="1" pivotButton="0" quotePrefix="0" xfId="0">
      <alignment horizontal="left"/>
    </xf>
    <xf numFmtId="0" fontId="6" fillId="5" borderId="1" pivotButton="0" quotePrefix="0" xfId="0"/>
    <xf numFmtId="0" fontId="0" fillId="0" borderId="1" pivotButton="0" quotePrefix="0" xfId="0"/>
    <xf numFmtId="164" fontId="0" fillId="0" borderId="1" pivotButton="0" quotePrefix="0" xfId="0"/>
    <xf numFmtId="166" fontId="0" fillId="0" borderId="1" pivotButton="0" quotePrefix="0" xfId="0"/>
    <xf numFmtId="0" fontId="7" fillId="3" borderId="1" pivotButton="0" quotePrefix="0" xfId="0"/>
    <xf numFmtId="0" fontId="7" fillId="4" borderId="1" pivotButton="0" quotePrefix="0" xfId="0"/>
    <xf numFmtId="0" fontId="7" fillId="5" borderId="1" pivotButton="0" quotePrefix="0" xfId="0"/>
    <xf numFmtId="0" fontId="3" fillId="2" borderId="1" applyAlignment="1" pivotButton="0" quotePrefix="0" xfId="0">
      <alignment horizontal="center" vertical="center" wrapText="1"/>
    </xf>
    <xf numFmtId="0" fontId="8" fillId="4" borderId="1" applyAlignment="1" pivotButton="0" quotePrefix="0" xfId="0">
      <alignment vertical="center"/>
    </xf>
    <xf numFmtId="0" fontId="5" fillId="3" borderId="1" applyAlignment="1" pivotButton="0" quotePrefix="0" xfId="0">
      <alignment vertical="center"/>
    </xf>
    <xf numFmtId="167" fontId="5" fillId="3" borderId="1" applyAlignment="1" pivotButton="0" quotePrefix="0" xfId="0">
      <alignment vertical="center"/>
    </xf>
    <xf numFmtId="1" fontId="8" fillId="4" borderId="1" applyAlignment="1" pivotButton="0" quotePrefix="0" xfId="0">
      <alignment vertical="center"/>
    </xf>
    <xf numFmtId="167" fontId="8" fillId="4" borderId="1" applyAlignment="1" pivotButton="0" quotePrefix="0" xfId="0">
      <alignment vertical="center"/>
    </xf>
    <xf numFmtId="164" fontId="5" fillId="3" borderId="1" applyAlignment="1" pivotButton="0" quotePrefix="0" xfId="0">
      <alignment vertical="center"/>
    </xf>
    <xf numFmtId="9" fontId="5" fillId="3" borderId="1" applyAlignment="1" pivotButton="0" quotePrefix="0" xfId="0">
      <alignment vertical="center"/>
    </xf>
    <xf numFmtId="164" fontId="8" fillId="4" borderId="1" applyAlignment="1" pivotButton="0" quotePrefix="0" xfId="0">
      <alignment vertical="center"/>
    </xf>
    <xf numFmtId="17" fontId="8" fillId="4" borderId="1" applyAlignment="1" pivotButton="0" quotePrefix="0" xfId="0">
      <alignment vertical="center"/>
    </xf>
    <xf numFmtId="0" fontId="1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left"/>
    </xf>
    <xf numFmtId="9" fontId="0" fillId="0" borderId="0" pivotButton="0" quotePrefix="0" xfId="0"/>
    <xf numFmtId="0" fontId="4" fillId="0" borderId="1" applyAlignment="1" pivotButton="0" quotePrefix="0" xfId="0">
      <alignment vertical="center"/>
    </xf>
    <xf numFmtId="0" fontId="5" fillId="0" borderId="1" applyAlignment="1" pivotButton="0" quotePrefix="0" xfId="0">
      <alignment vertical="center"/>
    </xf>
    <xf numFmtId="0" fontId="0" fillId="0" borderId="5" pivotButton="0" quotePrefix="0" xfId="0"/>
    <xf numFmtId="0" fontId="0" fillId="0" borderId="6" pivotButton="0" quotePrefix="0" xfId="0"/>
    <xf numFmtId="164" fontId="10" fillId="6" borderId="2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9" pivotButton="0" quotePrefix="0" xfId="0"/>
    <xf numFmtId="0" fontId="0" fillId="0" borderId="10" pivotButton="0" quotePrefix="0" xfId="0"/>
    <xf numFmtId="0" fontId="0" fillId="0" borderId="11" pivotButton="0" quotePrefix="0" xfId="0"/>
    <xf numFmtId="165" fontId="10" fillId="6" borderId="2" applyAlignment="1" pivotButton="0" quotePrefix="0" xfId="0">
      <alignment horizontal="center" vertical="center"/>
    </xf>
    <xf numFmtId="164" fontId="0" fillId="0" borderId="1" pivotButton="0" quotePrefix="0" xfId="0"/>
    <xf numFmtId="166" fontId="0" fillId="0" borderId="1" pivotButton="0" quotePrefix="0" xfId="0"/>
    <xf numFmtId="167" fontId="5" fillId="3" borderId="1" applyAlignment="1" pivotButton="0" quotePrefix="0" xfId="0">
      <alignment vertical="center"/>
    </xf>
    <xf numFmtId="167" fontId="8" fillId="4" borderId="1" applyAlignment="1" pivotButton="0" quotePrefix="0" xfId="0">
      <alignment vertical="center"/>
    </xf>
    <xf numFmtId="164" fontId="5" fillId="3" borderId="1" applyAlignment="1" pivotButton="0" quotePrefix="0" xfId="0">
      <alignment vertical="center"/>
    </xf>
    <xf numFmtId="164" fontId="8" fillId="4" borderId="1" applyAlignment="1" pivotButton="0" quotePrefix="0" xfId="0">
      <alignment vertical="center"/>
    </xf>
  </cellXfs>
  <cellStyles count="1">
    <cellStyle name="Normal" xfId="0"/>
  </cellStyles>
  <dxfs count="5">
    <dxf>
      <fill>
        <patternFill>
          <bgColor rgb="00FDE9D9"/>
        </patternFill>
      </fill>
    </dxf>
    <dxf>
      <fill>
        <patternFill>
          <bgColor rgb="00FFF2CC"/>
        </patternFill>
      </fill>
    </dxf>
    <dxf>
      <fill>
        <patternFill>
          <bgColor rgb="00E2F0D9"/>
        </patternFill>
      </fill>
    </dxf>
    <dxf>
      <fill>
        <patternFill>
          <bgColor rgb="00FCE4D6"/>
        </patternFill>
      </fill>
    </dxf>
    <dxf>
      <fill>
        <patternFill>
          <bgColor rgb="00E4DFEC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Pendiente por categoría</a:t>
            </a:r>
          </a:p>
        </rich>
      </tx>
    </title>
    <plotArea>
      <barChart>
        <barDir val="bar"/>
        <grouping val="clustered"/>
        <ser>
          <idx val="0"/>
          <order val="0"/>
          <tx>
            <strRef>
              <f>'Panel'!C26</f>
            </strRef>
          </tx>
          <spPr>
            <a:ln xmlns:a="http://schemas.openxmlformats.org/drawingml/2006/main">
              <a:prstDash val="solid"/>
            </a:ln>
          </spPr>
          <cat>
            <numRef>
              <f>'Panel'!$A$27:$A$37</f>
            </numRef>
          </cat>
          <val>
            <numRef>
              <f>'Panel'!$C$27:$C$37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€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Categoría</a:t>
                </a:r>
              </a:p>
            </rich>
          </tx>
        </title>
        <majorTickMark val="none"/>
        <minorTickMark val="none"/>
        <crossAx val="10"/>
      </valAx>
    </plotArea>
    <plotVisOnly val="1"/>
    <dispBlanksAs val="gap"/>
  </chart>
</chartSpace>
</file>

<file path=xl/charts/chart2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Facturado vs pendiente</a:t>
            </a:r>
          </a:p>
        </rich>
      </tx>
    </title>
    <plotArea>
      <lineChart>
        <grouping val="standard"/>
        <ser>
          <idx val="0"/>
          <order val="0"/>
          <tx>
            <strRef>
              <f>'Panel'!J16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'Panel'!$M$17:$M$28</f>
            </numRef>
          </cat>
          <val>
            <numRef>
              <f>'Panel'!$J$17:$J$28</f>
            </numRef>
          </val>
        </ser>
        <ser>
          <idx val="1"/>
          <order val="1"/>
          <tx>
            <strRef>
              <f>'Panel'!K16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'Panel'!$M$17:$M$28</f>
            </numRef>
          </cat>
          <val>
            <numRef>
              <f>'Panel'!$K$17:$K$28</f>
            </numRef>
          </val>
        </ser>
        <smooth val="0"/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Mes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€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4</col>
      <colOff>0</colOff>
      <row>24</row>
      <rowOff>0</rowOff>
    </from>
    <ext cx="2160000" cy="1944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8</col>
      <colOff>0</colOff>
      <row>24</row>
      <rowOff>0</rowOff>
    </from>
    <ext cx="1728000" cy="1944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blFacturas" displayName="tblFacturas" ref="A6:AB106" headerRowCount="1">
  <autoFilter ref="A6:AB106"/>
  <tableColumns count="28">
    <tableColumn id="1" name="ID interno"/>
    <tableColumn id="2" name="Proveedor"/>
    <tableColumn id="3" name="Categoría"/>
    <tableColumn id="4" name="Nº factura"/>
    <tableColumn id="5" name="Concepto"/>
    <tableColumn id="6" name="Fecha emisión"/>
    <tableColumn id="7" name="Fecha recepción"/>
    <tableColumn id="8" name="Plazo pago (días)"/>
    <tableColumn id="9" name="Fecha vencimiento"/>
    <tableColumn id="10" name="Estado"/>
    <tableColumn id="11" name="Forma pago"/>
    <tableColumn id="12" name="Base imponible (€)"/>
    <tableColumn id="13" name="IVA %"/>
    <tableColumn id="14" name="Cuota IVA (€)"/>
    <tableColumn id="15" name="Retención %"/>
    <tableColumn id="16" name="Retención (€)"/>
    <tableColumn id="17" name="Total factura (€)"/>
    <tableColumn id="18" name="Pagado (€)"/>
    <tableColumn id="19" name="Pendiente (€)"/>
    <tableColumn id="20" name="Fecha pago"/>
    <tableColumn id="21" name="Días a vencimiento"/>
    <tableColumn id="22" name="Tramo antigüedad"/>
    <tableColumn id="23" name="Alerta"/>
    <tableColumn id="24" name="Duplicado"/>
    <tableColumn id="25" name="Responsable"/>
    <tableColumn id="26" name="Mes"/>
    <tableColumn id="27" name="Observaciones"/>
    <tableColumn id="28" name="Días pago real"/>
  </tableColumns>
  <tableStyleInfo name="TableStyleMedium9" showRowStripes="1"/>
</table>
</file>

<file path=xl/tables/table2.xml><?xml version="1.0" encoding="utf-8"?>
<table xmlns="http://schemas.openxmlformats.org/spreadsheetml/2006/main" id="2" name="tblProveedores" displayName="tblProveedores" ref="A5:J105" headerRowCount="1">
  <autoFilter ref="A5:J105"/>
  <tableColumns count="10">
    <tableColumn id="1" name="Código"/>
    <tableColumn id="2" name="Proveedor"/>
    <tableColumn id="3" name="Categoría por defecto"/>
    <tableColumn id="4" name="CIF/NIF"/>
    <tableColumn id="5" name="Contacto"/>
    <tableColumn id="6" name="Email"/>
    <tableColumn id="7" name="Teléfono"/>
    <tableColumn id="8" name="Plazo pago (días)"/>
    <tableColumn id="9" name="Forma pago habitual"/>
    <tableColumn id="10" name="Estado proveedor"/>
  </tableColumns>
  <tableStyleInfo name="TableStyleMedium2" showRowStripes="1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sheet1.xml><?xml version="1.0" encoding="utf-8"?>
<worksheet xmlns="http://schemas.openxmlformats.org/spreadsheetml/2006/main">
  <sheetPr>
    <tabColor rgb="004472C4"/>
    <outlinePr summaryBelow="1" summaryRight="1"/>
    <pageSetUpPr/>
  </sheetPr>
  <dimension ref="A1:M37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12" customWidth="1" min="2" max="2"/>
    <col width="15" customWidth="1" min="3" max="3"/>
    <col width="16" customWidth="1" min="4" max="4"/>
    <col width="18" customWidth="1" min="5" max="5"/>
    <col width="12" customWidth="1" min="6" max="6"/>
    <col width="15" customWidth="1" min="7" max="7"/>
    <col width="2" customWidth="1" min="8" max="8"/>
    <col width="12" customWidth="1" min="9" max="9"/>
    <col width="14" customWidth="1" min="10" max="10"/>
    <col width="14" customWidth="1" min="11" max="11"/>
    <col width="2" customWidth="1" min="12" max="12"/>
    <col hidden="1" width="2" customWidth="1" min="13" max="13"/>
  </cols>
  <sheetData>
    <row r="1" ht="22" customHeight="1">
      <c r="A1" s="1" t="inlineStr">
        <is>
          <t>Panel de control · Facturas de proveedores</t>
        </is>
      </c>
    </row>
    <row r="2" ht="22" customHeight="1">
      <c r="A2" s="2" t="inlineStr">
        <is>
          <t>Resumen ejecutivo de pagos, vencimientos y evolución mensual. Las celdas azules son de entrada manual.</t>
        </is>
      </c>
    </row>
    <row r="4" ht="22" customHeight="1">
      <c r="A4" s="3" t="inlineStr">
        <is>
          <t>Año del panel</t>
        </is>
      </c>
      <c r="B4" s="4" t="n">
        <v>2026</v>
      </c>
      <c r="D4" s="5" t="inlineStr">
        <is>
          <t>Flujo recomendado: 1) actualiza Proveedores  2) registra o sustituye ejemplos en Facturas  3) revisa aquí el saldo pendiente y las alertas.</t>
        </is>
      </c>
    </row>
    <row r="5" ht="22" customHeight="1"/>
    <row r="7" ht="22" customHeight="1">
      <c r="A7" s="6" t="inlineStr">
        <is>
          <t>Total registrado</t>
        </is>
      </c>
      <c r="B7" s="34" t="n"/>
      <c r="C7" s="35" t="n"/>
      <c r="D7" s="6" t="inlineStr">
        <is>
          <t>Pendiente de pago</t>
        </is>
      </c>
      <c r="E7" s="34" t="n"/>
      <c r="F7" s="35" t="n"/>
      <c r="G7" s="6" t="inlineStr">
        <is>
          <t>Pagado</t>
        </is>
      </c>
      <c r="H7" s="34" t="n"/>
      <c r="I7" s="35" t="n"/>
      <c r="J7" s="6" t="inlineStr">
        <is>
          <t>Saldo vencido</t>
        </is>
      </c>
      <c r="K7" s="34" t="n"/>
      <c r="L7" s="35" t="n"/>
    </row>
    <row r="8" ht="22" customHeight="1">
      <c r="A8" s="36">
        <f>SUM(Facturas!$Q$7:$Q$106)</f>
        <v/>
      </c>
      <c r="B8" s="37" t="n"/>
      <c r="C8" s="38" t="n"/>
      <c r="D8" s="36">
        <f>SUM(Facturas!$S$7:$S$106)</f>
        <v/>
      </c>
      <c r="E8" s="37" t="n"/>
      <c r="F8" s="38" t="n"/>
      <c r="G8" s="36">
        <f>SUM(Facturas!$R$7:$R$106)</f>
        <v/>
      </c>
      <c r="H8" s="37" t="n"/>
      <c r="I8" s="38" t="n"/>
      <c r="J8" s="36">
        <f>SUMIFS(Facturas!$S$7:$S$106,Facturas!$U$7:$U$106,"&lt;0")</f>
        <v/>
      </c>
      <c r="K8" s="37" t="n"/>
      <c r="L8" s="38" t="n"/>
    </row>
    <row r="9">
      <c r="A9" s="39" t="n"/>
      <c r="B9" s="40" t="n"/>
      <c r="C9" s="41" t="n"/>
      <c r="D9" s="39" t="n"/>
      <c r="E9" s="40" t="n"/>
      <c r="F9" s="41" t="n"/>
      <c r="G9" s="39" t="n"/>
      <c r="H9" s="40" t="n"/>
      <c r="I9" s="41" t="n"/>
      <c r="J9" s="39" t="n"/>
      <c r="K9" s="40" t="n"/>
      <c r="L9" s="41" t="n"/>
    </row>
    <row r="11" ht="22" customHeight="1">
      <c r="A11" s="6" t="inlineStr">
        <is>
          <t>Próx. 7 días</t>
        </is>
      </c>
      <c r="B11" s="34" t="n"/>
      <c r="C11" s="35" t="n"/>
      <c r="D11" s="6" t="inlineStr">
        <is>
          <t>Nº facturas</t>
        </is>
      </c>
      <c r="E11" s="34" t="n"/>
      <c r="F11" s="35" t="n"/>
      <c r="G11" s="6" t="inlineStr">
        <is>
          <t>% liquidadas</t>
        </is>
      </c>
      <c r="H11" s="34" t="n"/>
      <c r="I11" s="35" t="n"/>
      <c r="J11" s="6" t="inlineStr">
        <is>
          <t>Días medios pago</t>
        </is>
      </c>
      <c r="K11" s="34" t="n"/>
      <c r="L11" s="35" t="n"/>
    </row>
    <row r="12" ht="22" customHeight="1">
      <c r="A12" s="36">
        <f>SUMIFS(Facturas!$S$7:$S$106,Facturas!$U$7:$U$106,"&gt;=0",Facturas!$U$7:$U$106,"&lt;=7")</f>
        <v/>
      </c>
      <c r="B12" s="37" t="n"/>
      <c r="C12" s="38" t="n"/>
      <c r="D12" s="9">
        <f>COUNTIF(Facturas!$B$7:$B$106,"&lt;&gt;")</f>
        <v/>
      </c>
      <c r="E12" s="37" t="n"/>
      <c r="F12" s="38" t="n"/>
      <c r="G12" s="42">
        <f>IFERROR(COUNTIFS(Facturas!$B$7:$B$106,"&lt;&gt;",Facturas!$S$7:$S$106,0)/COUNTIF(Facturas!$B$7:$B$106,"&lt;&gt;"),0)</f>
        <v/>
      </c>
      <c r="H12" s="37" t="n"/>
      <c r="I12" s="38" t="n"/>
      <c r="J12" s="9">
        <f>IFERROR(AVERAGEIF(Facturas!$AB$7:$AB$106,"&gt;0"),0)</f>
        <v/>
      </c>
      <c r="K12" s="37" t="n"/>
      <c r="L12" s="38" t="n"/>
    </row>
    <row r="13">
      <c r="A13" s="39" t="n"/>
      <c r="B13" s="40" t="n"/>
      <c r="C13" s="41" t="n"/>
      <c r="D13" s="39" t="n"/>
      <c r="E13" s="40" t="n"/>
      <c r="F13" s="41" t="n"/>
      <c r="G13" s="39" t="n"/>
      <c r="H13" s="40" t="n"/>
      <c r="I13" s="41" t="n"/>
      <c r="J13" s="39" t="n"/>
      <c r="K13" s="40" t="n"/>
      <c r="L13" s="41" t="n"/>
    </row>
    <row r="15" ht="22" customHeight="1">
      <c r="A15" s="11" t="inlineStr">
        <is>
          <t>Antigüedad del saldo</t>
        </is>
      </c>
      <c r="E15" s="11" t="inlineStr">
        <is>
          <t>Estado de facturas</t>
        </is>
      </c>
      <c r="I15" s="11" t="inlineStr">
        <is>
          <t>Evolución mensual</t>
        </is>
      </c>
    </row>
    <row r="16">
      <c r="A16" s="12" t="inlineStr">
        <is>
          <t>Tramo</t>
        </is>
      </c>
      <c r="B16" s="12" t="inlineStr">
        <is>
          <t>Nº</t>
        </is>
      </c>
      <c r="C16" s="12" t="inlineStr">
        <is>
          <t>Pendiente (€)</t>
        </is>
      </c>
      <c r="E16" s="12" t="inlineStr">
        <is>
          <t>Estado</t>
        </is>
      </c>
      <c r="F16" s="12" t="inlineStr">
        <is>
          <t>Nº</t>
        </is>
      </c>
      <c r="G16" s="12" t="inlineStr">
        <is>
          <t>Total (€)</t>
        </is>
      </c>
      <c r="I16" s="12" t="inlineStr">
        <is>
          <t>Mes</t>
        </is>
      </c>
      <c r="J16" s="12" t="inlineStr">
        <is>
          <t>Facturado (€)</t>
        </is>
      </c>
      <c r="K16" s="12" t="inlineStr">
        <is>
          <t>Pendiente (€)</t>
        </is>
      </c>
      <c r="M16" t="inlineStr">
        <is>
          <t>Etiqueta mes</t>
        </is>
      </c>
    </row>
    <row r="17" ht="19" customHeight="1">
      <c r="A17" s="13" t="inlineStr">
        <is>
          <t>0. En plazo</t>
        </is>
      </c>
      <c r="B17" s="13">
        <f>COUNTIFS(Facturas!$V$7:$V$106,A17)</f>
        <v/>
      </c>
      <c r="C17" s="43">
        <f>SUMIFS(Facturas!$S$7:$S$106,Facturas!$V$7:$V$106,A17)</f>
        <v/>
      </c>
      <c r="E17" s="13" t="inlineStr">
        <is>
          <t>Pendiente</t>
        </is>
      </c>
      <c r="F17" s="13">
        <f>COUNTIFS(Facturas!$J$7:$J$106,E17)</f>
        <v/>
      </c>
      <c r="G17" s="43">
        <f>SUMIFS(Facturas!$Q$7:$Q$106,Facturas!$J$7:$J$106,E17)</f>
        <v/>
      </c>
      <c r="I17" s="44">
        <f>DATE($B$4,1,1)</f>
        <v/>
      </c>
      <c r="J17" s="43">
        <f>SUMIFS(Facturas!$Q$7:$Q$106,Facturas!$Z$7:$Z$106,I17)</f>
        <v/>
      </c>
      <c r="K17" s="43">
        <f>SUMIFS(Facturas!$S$7:$S$106,Facturas!$Z$7:$Z$106,I17)</f>
        <v/>
      </c>
      <c r="M17" t="inlineStr">
        <is>
          <t>Ene</t>
        </is>
      </c>
    </row>
    <row r="18" ht="19" customHeight="1">
      <c r="A18" s="13" t="inlineStr">
        <is>
          <t>1. 1-30 venc.</t>
        </is>
      </c>
      <c r="B18" s="13">
        <f>COUNTIFS(Facturas!$V$7:$V$106,A18)</f>
        <v/>
      </c>
      <c r="C18" s="43">
        <f>SUMIFS(Facturas!$S$7:$S$106,Facturas!$V$7:$V$106,A18)</f>
        <v/>
      </c>
      <c r="E18" s="13" t="inlineStr">
        <is>
          <t>Programada</t>
        </is>
      </c>
      <c r="F18" s="13">
        <f>COUNTIFS(Facturas!$J$7:$J$106,E18)</f>
        <v/>
      </c>
      <c r="G18" s="43">
        <f>SUMIFS(Facturas!$Q$7:$Q$106,Facturas!$J$7:$J$106,E18)</f>
        <v/>
      </c>
      <c r="I18" s="44">
        <f>EDATE(I17,1)</f>
        <v/>
      </c>
      <c r="J18" s="43">
        <f>SUMIFS(Facturas!$Q$7:$Q$106,Facturas!$Z$7:$Z$106,I18)</f>
        <v/>
      </c>
      <c r="K18" s="43">
        <f>SUMIFS(Facturas!$S$7:$S$106,Facturas!$Z$7:$Z$106,I18)</f>
        <v/>
      </c>
      <c r="M18" t="inlineStr">
        <is>
          <t>Feb</t>
        </is>
      </c>
    </row>
    <row r="19" ht="19" customHeight="1">
      <c r="A19" s="13" t="inlineStr">
        <is>
          <t>2. 31-60 venc.</t>
        </is>
      </c>
      <c r="B19" s="13">
        <f>COUNTIFS(Facturas!$V$7:$V$106,A19)</f>
        <v/>
      </c>
      <c r="C19" s="43">
        <f>SUMIFS(Facturas!$S$7:$S$106,Facturas!$V$7:$V$106,A19)</f>
        <v/>
      </c>
      <c r="E19" s="13" t="inlineStr">
        <is>
          <t>Parcial</t>
        </is>
      </c>
      <c r="F19" s="13">
        <f>COUNTIFS(Facturas!$J$7:$J$106,E19)</f>
        <v/>
      </c>
      <c r="G19" s="43">
        <f>SUMIFS(Facturas!$Q$7:$Q$106,Facturas!$J$7:$J$106,E19)</f>
        <v/>
      </c>
      <c r="I19" s="44">
        <f>EDATE(I18,1)</f>
        <v/>
      </c>
      <c r="J19" s="43">
        <f>SUMIFS(Facturas!$Q$7:$Q$106,Facturas!$Z$7:$Z$106,I19)</f>
        <v/>
      </c>
      <c r="K19" s="43">
        <f>SUMIFS(Facturas!$S$7:$S$106,Facturas!$Z$7:$Z$106,I19)</f>
        <v/>
      </c>
      <c r="M19" t="inlineStr">
        <is>
          <t>Mar</t>
        </is>
      </c>
    </row>
    <row r="20" ht="19" customHeight="1">
      <c r="A20" s="13" t="inlineStr">
        <is>
          <t>3. 61-90 venc.</t>
        </is>
      </c>
      <c r="B20" s="13">
        <f>COUNTIFS(Facturas!$V$7:$V$106,A20)</f>
        <v/>
      </c>
      <c r="C20" s="43">
        <f>SUMIFS(Facturas!$S$7:$S$106,Facturas!$V$7:$V$106,A20)</f>
        <v/>
      </c>
      <c r="E20" s="13" t="inlineStr">
        <is>
          <t>Pagada</t>
        </is>
      </c>
      <c r="F20" s="13">
        <f>COUNTIFS(Facturas!$J$7:$J$106,E20)</f>
        <v/>
      </c>
      <c r="G20" s="43">
        <f>SUMIFS(Facturas!$Q$7:$Q$106,Facturas!$J$7:$J$106,E20)</f>
        <v/>
      </c>
      <c r="I20" s="44">
        <f>EDATE(I19,1)</f>
        <v/>
      </c>
      <c r="J20" s="43">
        <f>SUMIFS(Facturas!$Q$7:$Q$106,Facturas!$Z$7:$Z$106,I20)</f>
        <v/>
      </c>
      <c r="K20" s="43">
        <f>SUMIFS(Facturas!$S$7:$S$106,Facturas!$Z$7:$Z$106,I20)</f>
        <v/>
      </c>
      <c r="M20" t="inlineStr">
        <is>
          <t>Abr</t>
        </is>
      </c>
    </row>
    <row r="21" ht="19" customHeight="1">
      <c r="A21" s="13" t="inlineStr">
        <is>
          <t>4. +90 venc.</t>
        </is>
      </c>
      <c r="B21" s="13">
        <f>COUNTIFS(Facturas!$V$7:$V$106,A21)</f>
        <v/>
      </c>
      <c r="C21" s="43">
        <f>SUMIFS(Facturas!$S$7:$S$106,Facturas!$V$7:$V$106,A21)</f>
        <v/>
      </c>
      <c r="E21" s="13" t="inlineStr">
        <is>
          <t>Bloqueada</t>
        </is>
      </c>
      <c r="F21" s="13">
        <f>COUNTIFS(Facturas!$J$7:$J$106,E21)</f>
        <v/>
      </c>
      <c r="G21" s="43">
        <f>SUMIFS(Facturas!$Q$7:$Q$106,Facturas!$J$7:$J$106,E21)</f>
        <v/>
      </c>
      <c r="I21" s="44">
        <f>EDATE(I20,1)</f>
        <v/>
      </c>
      <c r="J21" s="43">
        <f>SUMIFS(Facturas!$Q$7:$Q$106,Facturas!$Z$7:$Z$106,I21)</f>
        <v/>
      </c>
      <c r="K21" s="43">
        <f>SUMIFS(Facturas!$S$7:$S$106,Facturas!$Z$7:$Z$106,I21)</f>
        <v/>
      </c>
      <c r="M21" t="inlineStr">
        <is>
          <t>May</t>
        </is>
      </c>
    </row>
    <row r="22" ht="19" customHeight="1">
      <c r="A22" s="13" t="inlineStr">
        <is>
          <t>Liquidada</t>
        </is>
      </c>
      <c r="B22" s="13">
        <f>COUNTIFS(Facturas!$V$7:$V$106,A22)</f>
        <v/>
      </c>
      <c r="C22" s="43">
        <f>SUMIFS(Facturas!$S$7:$S$106,Facturas!$V$7:$V$106,A22)</f>
        <v/>
      </c>
      <c r="E22" s="13" t="inlineStr">
        <is>
          <t>Revisar</t>
        </is>
      </c>
      <c r="F22" s="13">
        <f>COUNTIFS(Facturas!$J$7:$J$106,E22)</f>
        <v/>
      </c>
      <c r="G22" s="43">
        <f>SUMIFS(Facturas!$Q$7:$Q$106,Facturas!$J$7:$J$106,E22)</f>
        <v/>
      </c>
      <c r="I22" s="44">
        <f>EDATE(I21,1)</f>
        <v/>
      </c>
      <c r="J22" s="43">
        <f>SUMIFS(Facturas!$Q$7:$Q$106,Facturas!$Z$7:$Z$106,I22)</f>
        <v/>
      </c>
      <c r="K22" s="43">
        <f>SUMIFS(Facturas!$S$7:$S$106,Facturas!$Z$7:$Z$106,I22)</f>
        <v/>
      </c>
      <c r="M22" t="inlineStr">
        <is>
          <t>Jun</t>
        </is>
      </c>
    </row>
    <row r="23" ht="19" customHeight="1">
      <c r="I23" s="44">
        <f>EDATE(I22,1)</f>
        <v/>
      </c>
      <c r="J23" s="43">
        <f>SUMIFS(Facturas!$Q$7:$Q$106,Facturas!$Z$7:$Z$106,I23)</f>
        <v/>
      </c>
      <c r="K23" s="43">
        <f>SUMIFS(Facturas!$S$7:$S$106,Facturas!$Z$7:$Z$106,I23)</f>
        <v/>
      </c>
      <c r="M23" t="inlineStr">
        <is>
          <t>Jul</t>
        </is>
      </c>
    </row>
    <row r="24" ht="19" customHeight="1">
      <c r="I24" s="44">
        <f>EDATE(I23,1)</f>
        <v/>
      </c>
      <c r="J24" s="43">
        <f>SUMIFS(Facturas!$Q$7:$Q$106,Facturas!$Z$7:$Z$106,I24)</f>
        <v/>
      </c>
      <c r="K24" s="43">
        <f>SUMIFS(Facturas!$S$7:$S$106,Facturas!$Z$7:$Z$106,I24)</f>
        <v/>
      </c>
      <c r="M24" t="inlineStr">
        <is>
          <t>Ago</t>
        </is>
      </c>
    </row>
    <row r="25" ht="19" customHeight="1">
      <c r="A25" s="11" t="inlineStr">
        <is>
          <t>Gasto por categoría</t>
        </is>
      </c>
      <c r="I25" s="44">
        <f>EDATE(I24,1)</f>
        <v/>
      </c>
      <c r="J25" s="43">
        <f>SUMIFS(Facturas!$Q$7:$Q$106,Facturas!$Z$7:$Z$106,I25)</f>
        <v/>
      </c>
      <c r="K25" s="43">
        <f>SUMIFS(Facturas!$S$7:$S$106,Facturas!$Z$7:$Z$106,I25)</f>
        <v/>
      </c>
      <c r="M25" t="inlineStr">
        <is>
          <t>Sep</t>
        </is>
      </c>
    </row>
    <row r="26" ht="19" customHeight="1">
      <c r="A26" s="12" t="inlineStr">
        <is>
          <t>Categoría</t>
        </is>
      </c>
      <c r="B26" s="12" t="inlineStr">
        <is>
          <t>Total (€)</t>
        </is>
      </c>
      <c r="C26" s="12" t="inlineStr">
        <is>
          <t>Pendiente (€)</t>
        </is>
      </c>
      <c r="I26" s="44">
        <f>EDATE(I25,1)</f>
        <v/>
      </c>
      <c r="J26" s="43">
        <f>SUMIFS(Facturas!$Q$7:$Q$106,Facturas!$Z$7:$Z$106,I26)</f>
        <v/>
      </c>
      <c r="K26" s="43">
        <f>SUMIFS(Facturas!$S$7:$S$106,Facturas!$Z$7:$Z$106,I26)</f>
        <v/>
      </c>
      <c r="M26" t="inlineStr">
        <is>
          <t>Oct</t>
        </is>
      </c>
    </row>
    <row r="27" ht="19" customHeight="1">
      <c r="A27" s="13" t="inlineStr">
        <is>
          <t>Mantenimiento</t>
        </is>
      </c>
      <c r="B27" s="43">
        <f>SUMIFS(Facturas!$Q$7:$Q$106,Facturas!$C$7:$C$106,A27)</f>
        <v/>
      </c>
      <c r="C27" s="43">
        <f>SUMIFS(Facturas!$S$7:$S$106,Facturas!$C$7:$C$106,A27)</f>
        <v/>
      </c>
      <c r="I27" s="44">
        <f>EDATE(I26,1)</f>
        <v/>
      </c>
      <c r="J27" s="43">
        <f>SUMIFS(Facturas!$Q$7:$Q$106,Facturas!$Z$7:$Z$106,I27)</f>
        <v/>
      </c>
      <c r="K27" s="43">
        <f>SUMIFS(Facturas!$S$7:$S$106,Facturas!$Z$7:$Z$106,I27)</f>
        <v/>
      </c>
      <c r="M27" t="inlineStr">
        <is>
          <t>Nov</t>
        </is>
      </c>
    </row>
    <row r="28" ht="19" customHeight="1">
      <c r="A28" s="13" t="inlineStr">
        <is>
          <t>Material oficina</t>
        </is>
      </c>
      <c r="B28" s="43">
        <f>SUMIFS(Facturas!$Q$7:$Q$106,Facturas!$C$7:$C$106,A28)</f>
        <v/>
      </c>
      <c r="C28" s="43">
        <f>SUMIFS(Facturas!$S$7:$S$106,Facturas!$C$7:$C$106,A28)</f>
        <v/>
      </c>
      <c r="I28" s="44">
        <f>EDATE(I27,1)</f>
        <v/>
      </c>
      <c r="J28" s="43">
        <f>SUMIFS(Facturas!$Q$7:$Q$106,Facturas!$Z$7:$Z$106,I28)</f>
        <v/>
      </c>
      <c r="K28" s="43">
        <f>SUMIFS(Facturas!$S$7:$S$106,Facturas!$Z$7:$Z$106,I28)</f>
        <v/>
      </c>
      <c r="M28" t="inlineStr">
        <is>
          <t>Dic</t>
        </is>
      </c>
    </row>
    <row r="29">
      <c r="A29" s="13" t="inlineStr">
        <is>
          <t>Marketing</t>
        </is>
      </c>
      <c r="B29" s="43">
        <f>SUMIFS(Facturas!$Q$7:$Q$106,Facturas!$C$7:$C$106,A29)</f>
        <v/>
      </c>
      <c r="C29" s="43">
        <f>SUMIFS(Facturas!$S$7:$S$106,Facturas!$C$7:$C$106,A29)</f>
        <v/>
      </c>
    </row>
    <row r="30">
      <c r="A30" s="13" t="inlineStr">
        <is>
          <t>Tecnología</t>
        </is>
      </c>
      <c r="B30" s="43">
        <f>SUMIFS(Facturas!$Q$7:$Q$106,Facturas!$C$7:$C$106,A30)</f>
        <v/>
      </c>
      <c r="C30" s="43">
        <f>SUMIFS(Facturas!$S$7:$S$106,Facturas!$C$7:$C$106,A30)</f>
        <v/>
      </c>
    </row>
    <row r="31">
      <c r="A31" s="13" t="inlineStr">
        <is>
          <t>Limpieza</t>
        </is>
      </c>
      <c r="B31" s="43">
        <f>SUMIFS(Facturas!$Q$7:$Q$106,Facturas!$C$7:$C$106,A31)</f>
        <v/>
      </c>
      <c r="C31" s="43">
        <f>SUMIFS(Facturas!$S$7:$S$106,Facturas!$C$7:$C$106,A31)</f>
        <v/>
      </c>
    </row>
    <row r="32">
      <c r="A32" s="13" t="inlineStr">
        <is>
          <t>Logística</t>
        </is>
      </c>
      <c r="B32" s="43">
        <f>SUMIFS(Facturas!$Q$7:$Q$106,Facturas!$C$7:$C$106,A32)</f>
        <v/>
      </c>
      <c r="C32" s="43">
        <f>SUMIFS(Facturas!$S$7:$S$106,Facturas!$C$7:$C$106,A32)</f>
        <v/>
      </c>
    </row>
    <row r="33">
      <c r="A33" s="13" t="inlineStr">
        <is>
          <t>Servicios profesionales</t>
        </is>
      </c>
      <c r="B33" s="43">
        <f>SUMIFS(Facturas!$Q$7:$Q$106,Facturas!$C$7:$C$106,A33)</f>
        <v/>
      </c>
      <c r="C33" s="43">
        <f>SUMIFS(Facturas!$S$7:$S$106,Facturas!$C$7:$C$106,A33)</f>
        <v/>
      </c>
    </row>
    <row r="34">
      <c r="A34" s="13" t="inlineStr">
        <is>
          <t>Suministros</t>
        </is>
      </c>
      <c r="B34" s="43">
        <f>SUMIFS(Facturas!$Q$7:$Q$106,Facturas!$C$7:$C$106,A34)</f>
        <v/>
      </c>
      <c r="C34" s="43">
        <f>SUMIFS(Facturas!$S$7:$S$106,Facturas!$C$7:$C$106,A34)</f>
        <v/>
      </c>
    </row>
    <row r="35">
      <c r="A35" s="13" t="inlineStr">
        <is>
          <t>Formación</t>
        </is>
      </c>
      <c r="B35" s="43">
        <f>SUMIFS(Facturas!$Q$7:$Q$106,Facturas!$C$7:$C$106,A35)</f>
        <v/>
      </c>
      <c r="C35" s="43">
        <f>SUMIFS(Facturas!$S$7:$S$106,Facturas!$C$7:$C$106,A35)</f>
        <v/>
      </c>
    </row>
    <row r="36">
      <c r="A36" s="13" t="inlineStr">
        <is>
          <t>Equipamiento</t>
        </is>
      </c>
      <c r="B36" s="43">
        <f>SUMIFS(Facturas!$Q$7:$Q$106,Facturas!$C$7:$C$106,A36)</f>
        <v/>
      </c>
      <c r="C36" s="43">
        <f>SUMIFS(Facturas!$S$7:$S$106,Facturas!$C$7:$C$106,A36)</f>
        <v/>
      </c>
    </row>
    <row r="37">
      <c r="A37" s="13" t="inlineStr">
        <is>
          <t>Producción eventos</t>
        </is>
      </c>
      <c r="B37" s="43">
        <f>SUMIFS(Facturas!$Q$7:$Q$106,Facturas!$C$7:$C$106,A37)</f>
        <v/>
      </c>
      <c r="C37" s="43">
        <f>SUMIFS(Facturas!$S$7:$S$106,Facturas!$C$7:$C$106,A37)</f>
        <v/>
      </c>
    </row>
  </sheetData>
  <mergeCells count="23">
    <mergeCell ref="A25:C25"/>
    <mergeCell ref="D11:F11"/>
    <mergeCell ref="J8:L9"/>
    <mergeCell ref="D7:F7"/>
    <mergeCell ref="G12:I13"/>
    <mergeCell ref="E15:G15"/>
    <mergeCell ref="J11:L11"/>
    <mergeCell ref="J7:L7"/>
    <mergeCell ref="D4:M5"/>
    <mergeCell ref="G8:I9"/>
    <mergeCell ref="A1:M1"/>
    <mergeCell ref="A15:C15"/>
    <mergeCell ref="A12:C13"/>
    <mergeCell ref="I15:K15"/>
    <mergeCell ref="A2:M2"/>
    <mergeCell ref="G11:I11"/>
    <mergeCell ref="D12:F13"/>
    <mergeCell ref="A11:C11"/>
    <mergeCell ref="A8:C9"/>
    <mergeCell ref="A7:C7"/>
    <mergeCell ref="G7:I7"/>
    <mergeCell ref="J12:L13"/>
    <mergeCell ref="D8:F9"/>
  </mergeCells>
  <pageMargins left="0.7" right="0.7" top="0.75" bottom="0.75" header="0.3" footer="0.3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tabColor rgb="001F4E78"/>
    <outlinePr summaryBelow="1" summaryRight="1"/>
    <pageSetUpPr/>
  </sheetPr>
  <dimension ref="A1:AB106"/>
  <sheetViews>
    <sheetView showGridLines="0" workbookViewId="0">
      <selection activeCell="A1" sqref="A1"/>
    </sheetView>
  </sheetViews>
  <sheetFormatPr baseColWidth="8" defaultRowHeight="15"/>
  <cols>
    <col width="14" customWidth="1" min="1" max="1"/>
    <col width="31" customWidth="1" min="2" max="2"/>
    <col width="21" customWidth="1" min="3" max="3"/>
    <col width="16" customWidth="1" min="4" max="4"/>
    <col width="33" customWidth="1" min="5" max="5"/>
    <col width="12" customWidth="1" min="6" max="6"/>
    <col width="13" customWidth="1" min="7" max="7"/>
    <col width="15" customWidth="1" min="8" max="8"/>
    <col width="13" customWidth="1" min="9" max="9"/>
    <col width="13" customWidth="1" min="10" max="10"/>
    <col width="16" customWidth="1" min="11" max="11"/>
    <col width="15" customWidth="1" min="12" max="12"/>
    <col width="8" customWidth="1" min="13" max="13"/>
    <col width="14" customWidth="1" min="14" max="14"/>
    <col width="11" customWidth="1" min="15" max="15"/>
    <col width="14" customWidth="1" min="16" max="16"/>
    <col width="15" customWidth="1" min="17" max="17"/>
    <col width="13" customWidth="1" min="18" max="18"/>
    <col width="14" customWidth="1" min="19" max="19"/>
    <col width="12" customWidth="1" min="20" max="20"/>
    <col width="13" customWidth="1" min="21" max="21"/>
    <col width="18" customWidth="1" min="22" max="22"/>
    <col width="16" customWidth="1" min="23" max="23"/>
    <col width="11" customWidth="1" min="24" max="24"/>
    <col width="16" customWidth="1" min="25" max="25"/>
    <col width="11" customWidth="1" min="26" max="26"/>
    <col width="26" customWidth="1" min="27" max="27"/>
    <col width="13" customWidth="1" min="28" max="28"/>
  </cols>
  <sheetData>
    <row r="1">
      <c r="A1" s="1" t="inlineStr">
        <is>
          <t>Control de facturas de proveedores</t>
        </is>
      </c>
    </row>
    <row r="2">
      <c r="A2" s="2" t="inlineStr">
        <is>
          <t>Introduce solo las celdas de entrada. Las columnas calculadas completan vencimientos, impuestos, saldos, alertas y antigüedad.</t>
        </is>
      </c>
    </row>
    <row r="4">
      <c r="A4" s="3" t="inlineStr">
        <is>
          <t>Leyenda:</t>
        </is>
      </c>
      <c r="B4" s="16" t="inlineStr">
        <is>
          <t>Editable</t>
        </is>
      </c>
      <c r="D4" s="17" t="inlineStr">
        <is>
          <t>Calculado</t>
        </is>
      </c>
      <c r="F4" s="18" t="inlineStr">
        <is>
          <t>Seguimiento</t>
        </is>
      </c>
    </row>
    <row r="6">
      <c r="A6" s="19" t="inlineStr">
        <is>
          <t>ID interno</t>
        </is>
      </c>
      <c r="B6" s="19" t="inlineStr">
        <is>
          <t>Proveedor</t>
        </is>
      </c>
      <c r="C6" s="19" t="inlineStr">
        <is>
          <t>Categoría</t>
        </is>
      </c>
      <c r="D6" s="19" t="inlineStr">
        <is>
          <t>Nº factura</t>
        </is>
      </c>
      <c r="E6" s="19" t="inlineStr">
        <is>
          <t>Concepto</t>
        </is>
      </c>
      <c r="F6" s="19" t="inlineStr">
        <is>
          <t>Fecha emisión</t>
        </is>
      </c>
      <c r="G6" s="19" t="inlineStr">
        <is>
          <t>Fecha recepción</t>
        </is>
      </c>
      <c r="H6" s="19" t="inlineStr">
        <is>
          <t>Plazo pago (días)</t>
        </is>
      </c>
      <c r="I6" s="19" t="inlineStr">
        <is>
          <t>Fecha vencimiento</t>
        </is>
      </c>
      <c r="J6" s="19" t="inlineStr">
        <is>
          <t>Estado</t>
        </is>
      </c>
      <c r="K6" s="19" t="inlineStr">
        <is>
          <t>Forma pago</t>
        </is>
      </c>
      <c r="L6" s="19" t="inlineStr">
        <is>
          <t>Base imponible (€)</t>
        </is>
      </c>
      <c r="M6" s="19" t="inlineStr">
        <is>
          <t>IVA %</t>
        </is>
      </c>
      <c r="N6" s="19" t="inlineStr">
        <is>
          <t>Cuota IVA (€)</t>
        </is>
      </c>
      <c r="O6" s="19" t="inlineStr">
        <is>
          <t>Retención %</t>
        </is>
      </c>
      <c r="P6" s="19" t="inlineStr">
        <is>
          <t>Retención (€)</t>
        </is>
      </c>
      <c r="Q6" s="19" t="inlineStr">
        <is>
          <t>Total factura (€)</t>
        </is>
      </c>
      <c r="R6" s="19" t="inlineStr">
        <is>
          <t>Pagado (€)</t>
        </is>
      </c>
      <c r="S6" s="19" t="inlineStr">
        <is>
          <t>Pendiente (€)</t>
        </is>
      </c>
      <c r="T6" s="19" t="inlineStr">
        <is>
          <t>Fecha pago</t>
        </is>
      </c>
      <c r="U6" s="19" t="inlineStr">
        <is>
          <t>Días a vencimiento</t>
        </is>
      </c>
      <c r="V6" s="19" t="inlineStr">
        <is>
          <t>Tramo antigüedad</t>
        </is>
      </c>
      <c r="W6" s="19" t="inlineStr">
        <is>
          <t>Alerta</t>
        </is>
      </c>
      <c r="X6" s="19" t="inlineStr">
        <is>
          <t>Duplicado</t>
        </is>
      </c>
      <c r="Y6" s="19" t="inlineStr">
        <is>
          <t>Responsable</t>
        </is>
      </c>
      <c r="Z6" s="19" t="inlineStr">
        <is>
          <t>Mes</t>
        </is>
      </c>
      <c r="AA6" s="19" t="inlineStr">
        <is>
          <t>Observaciones</t>
        </is>
      </c>
      <c r="AB6" s="19" t="inlineStr">
        <is>
          <t>Días pago real</t>
        </is>
      </c>
    </row>
    <row r="7">
      <c r="A7" s="20">
        <f>IF(B7="","","AP-"&amp;TEXT(F7,"YYMM")&amp;"-"&amp;TEXT(ROW()-6,"000"))</f>
        <v/>
      </c>
      <c r="B7" s="21" t="inlineStr">
        <is>
          <t>Atlas IT Continuidad SL</t>
        </is>
      </c>
      <c r="C7" s="20">
        <f>IF(B7="","",IFERROR(VLOOKUP(B7,Proveedores!$B$6:$I$105,2,FALSE),""))</f>
        <v/>
      </c>
      <c r="D7" s="21" t="inlineStr">
        <is>
          <t>ATI-26008</t>
        </is>
      </c>
      <c r="E7" s="21" t="inlineStr">
        <is>
          <t>Renovación antivirus y backup corporativo</t>
        </is>
      </c>
      <c r="F7" s="45" t="n">
        <v>46030</v>
      </c>
      <c r="G7" s="45" t="n">
        <v>46031</v>
      </c>
      <c r="H7" s="23">
        <f>IF(B7="","",IFERROR(VLOOKUP(B7,Proveedores!$B$6:$I$105,7,FALSE),""))</f>
        <v/>
      </c>
      <c r="I7" s="46">
        <f>IF(OR(F7="",H7=""),"",F7+H7)</f>
        <v/>
      </c>
      <c r="J7" s="21" t="inlineStr">
        <is>
          <t>Pagada</t>
        </is>
      </c>
      <c r="K7" s="20">
        <f>IF(B7="","",IFERROR(VLOOKUP(B7,Proveedores!$B$6:$I$105,8,FALSE),""))</f>
        <v/>
      </c>
      <c r="L7" s="47" t="n">
        <v>1280</v>
      </c>
      <c r="M7" s="26" t="n">
        <v>0.21</v>
      </c>
      <c r="N7" s="48">
        <f>IF(L7="","",L7*M7)</f>
        <v/>
      </c>
      <c r="O7" s="26" t="n">
        <v>0</v>
      </c>
      <c r="P7" s="48">
        <f>IF(L7="","",L7*O7)</f>
        <v/>
      </c>
      <c r="Q7" s="48">
        <f>IF(L7="","",L7+N7-P7)</f>
        <v/>
      </c>
      <c r="R7" s="47" t="n">
        <v>1548.8</v>
      </c>
      <c r="S7" s="48">
        <f>IF(Q7="","",MAX(Q7-R7,0))</f>
        <v/>
      </c>
      <c r="T7" s="45" t="n">
        <v>46073</v>
      </c>
      <c r="U7" s="23">
        <f>IF(I7="","",IF(S7&lt;=0,"",I7-TODAY()))</f>
        <v/>
      </c>
      <c r="V7" s="20">
        <f>IF(B7="","",IF(S7&lt;=0,"Liquidada",IF(U7&gt;=0,"0. En plazo",IF(U7&gt;=-30,"1. 1-30 venc.",IF(U7&gt;=-60,"2. 31-60 venc.",IF(U7&gt;=-90,"3. 61-90 venc.","4. +90 venc."))))))</f>
        <v/>
      </c>
      <c r="W7" s="20">
        <f>IF(B7="","",IF(X7="Sí","Duplicada",IF(S7&lt;=0,"OK",IF(U7&lt;0,"Vencida",IF(U7&lt;=7,"Vence &lt;=7 días",IF(U7&lt;=15,"Vence 8-15 días","En plazo"))))))</f>
        <v/>
      </c>
      <c r="X7" s="20">
        <f>IF(OR(B7="",D7=""),"",IF(COUNTIFS($B$7:$B$106,B7,$D$7:$D$106,D7)&gt;1,"Sí",""))</f>
        <v/>
      </c>
      <c r="Y7" s="21" t="inlineStr">
        <is>
          <t>Administración</t>
        </is>
      </c>
      <c r="Z7" s="28">
        <f>IF(F7="","",DATE(YEAR(F7),MONTH(F7),1))</f>
        <v/>
      </c>
      <c r="AA7" s="21" t="inlineStr">
        <is>
          <t>Contrato anual prorrateado</t>
        </is>
      </c>
      <c r="AB7" s="23">
        <f>IF(OR(T7="",F7="",S7&gt;0),"",T7-F7)</f>
        <v/>
      </c>
    </row>
    <row r="8">
      <c r="A8" s="20">
        <f>IF(B8="","","AP-"&amp;TEXT(F8,"YYMM")&amp;"-"&amp;TEXT(ROW()-6,"000"))</f>
        <v/>
      </c>
      <c r="B8" s="21" t="inlineStr">
        <is>
          <t>Lumen Oficina Integral SL</t>
        </is>
      </c>
      <c r="C8" s="20">
        <f>IF(B8="","",IFERROR(VLOOKUP(B8,Proveedores!$B$6:$I$105,2,FALSE),""))</f>
        <v/>
      </c>
      <c r="D8" s="21" t="inlineStr">
        <is>
          <t>LOI-1145</t>
        </is>
      </c>
      <c r="E8" s="21" t="inlineStr">
        <is>
          <t>Papelería y consumibles Q1</t>
        </is>
      </c>
      <c r="F8" s="45" t="n">
        <v>46037</v>
      </c>
      <c r="G8" s="45" t="n">
        <v>46038</v>
      </c>
      <c r="H8" s="23">
        <f>IF(B8="","",IFERROR(VLOOKUP(B8,Proveedores!$B$6:$I$105,7,FALSE),""))</f>
        <v/>
      </c>
      <c r="I8" s="46">
        <f>IF(OR(F8="",H8=""),"",F8+H8)</f>
        <v/>
      </c>
      <c r="J8" s="21" t="inlineStr">
        <is>
          <t>Pagada</t>
        </is>
      </c>
      <c r="K8" s="20">
        <f>IF(B8="","",IFERROR(VLOOKUP(B8,Proveedores!$B$6:$I$105,8,FALSE),""))</f>
        <v/>
      </c>
      <c r="L8" s="47" t="n">
        <v>342</v>
      </c>
      <c r="M8" s="26" t="n">
        <v>0.21</v>
      </c>
      <c r="N8" s="48">
        <f>IF(L8="","",L8*M8)</f>
        <v/>
      </c>
      <c r="O8" s="26" t="n">
        <v>0</v>
      </c>
      <c r="P8" s="48">
        <f>IF(L8="","",L8*O8)</f>
        <v/>
      </c>
      <c r="Q8" s="48">
        <f>IF(L8="","",L8+N8-P8)</f>
        <v/>
      </c>
      <c r="R8" s="47" t="n">
        <v>413.82</v>
      </c>
      <c r="S8" s="48">
        <f>IF(Q8="","",MAX(Q8-R8,0))</f>
        <v/>
      </c>
      <c r="T8" s="45" t="n">
        <v>46051</v>
      </c>
      <c r="U8" s="23">
        <f>IF(I8="","",IF(S8&lt;=0,"",I8-TODAY()))</f>
        <v/>
      </c>
      <c r="V8" s="20">
        <f>IF(B8="","",IF(S8&lt;=0,"Liquidada",IF(U8&gt;=0,"0. En plazo",IF(U8&gt;=-30,"1. 1-30 venc.",IF(U8&gt;=-60,"2. 31-60 venc.",IF(U8&gt;=-90,"3. 61-90 venc.","4. +90 venc."))))))</f>
        <v/>
      </c>
      <c r="W8" s="20">
        <f>IF(B8="","",IF(X8="Sí","Duplicada",IF(S8&lt;=0,"OK",IF(U8&lt;0,"Vencida",IF(U8&lt;=7,"Vence &lt;=7 días",IF(U8&lt;=15,"Vence 8-15 días","En plazo"))))))</f>
        <v/>
      </c>
      <c r="X8" s="20">
        <f>IF(OR(B8="",D8=""),"",IF(COUNTIFS($B$7:$B$106,B8,$D$7:$D$106,D8)&gt;1,"Sí",""))</f>
        <v/>
      </c>
      <c r="Y8" s="21" t="inlineStr">
        <is>
          <t>Compras</t>
        </is>
      </c>
      <c r="Z8" s="28">
        <f>IF(F8="","",DATE(YEAR(F8),MONTH(F8),1))</f>
        <v/>
      </c>
      <c r="AA8" s="21" t="inlineStr">
        <is>
          <t>Pedido centralizado</t>
        </is>
      </c>
      <c r="AB8" s="23">
        <f>IF(OR(T8="",F8="",S8&gt;0),"",T8-F8)</f>
        <v/>
      </c>
    </row>
    <row r="9">
      <c r="A9" s="20">
        <f>IF(B9="","","AP-"&amp;TEXT(F9,"YYMM")&amp;"-"&amp;TEXT(ROW()-6,"000"))</f>
        <v/>
      </c>
      <c r="B9" s="21" t="inlineStr">
        <is>
          <t>Verde Urbano Servicios SL</t>
        </is>
      </c>
      <c r="C9" s="20">
        <f>IF(B9="","",IFERROR(VLOOKUP(B9,Proveedores!$B$6:$I$105,2,FALSE),""))</f>
        <v/>
      </c>
      <c r="D9" s="21" t="inlineStr">
        <is>
          <t>VUS-2026-011</t>
        </is>
      </c>
      <c r="E9" s="21" t="inlineStr">
        <is>
          <t>Limpieza sede enero</t>
        </is>
      </c>
      <c r="F9" s="45" t="n">
        <v>46053</v>
      </c>
      <c r="G9" s="45" t="n">
        <v>46054</v>
      </c>
      <c r="H9" s="23">
        <f>IF(B9="","",IFERROR(VLOOKUP(B9,Proveedores!$B$6:$I$105,7,FALSE),""))</f>
        <v/>
      </c>
      <c r="I9" s="46">
        <f>IF(OR(F9="",H9=""),"",F9+H9)</f>
        <v/>
      </c>
      <c r="J9" s="21" t="inlineStr">
        <is>
          <t>Pagada</t>
        </is>
      </c>
      <c r="K9" s="20">
        <f>IF(B9="","",IFERROR(VLOOKUP(B9,Proveedores!$B$6:$I$105,8,FALSE),""))</f>
        <v/>
      </c>
      <c r="L9" s="47" t="n">
        <v>760</v>
      </c>
      <c r="M9" s="26" t="n">
        <v>0.21</v>
      </c>
      <c r="N9" s="48">
        <f>IF(L9="","",L9*M9)</f>
        <v/>
      </c>
      <c r="O9" s="26" t="n">
        <v>0</v>
      </c>
      <c r="P9" s="48">
        <f>IF(L9="","",L9*O9)</f>
        <v/>
      </c>
      <c r="Q9" s="48">
        <f>IF(L9="","",L9+N9-P9)</f>
        <v/>
      </c>
      <c r="R9" s="47" t="n">
        <v>919.6</v>
      </c>
      <c r="S9" s="48">
        <f>IF(Q9="","",MAX(Q9-R9,0))</f>
        <v/>
      </c>
      <c r="T9" s="45" t="n">
        <v>46078</v>
      </c>
      <c r="U9" s="23">
        <f>IF(I9="","",IF(S9&lt;=0,"",I9-TODAY()))</f>
        <v/>
      </c>
      <c r="V9" s="20">
        <f>IF(B9="","",IF(S9&lt;=0,"Liquidada",IF(U9&gt;=0,"0. En plazo",IF(U9&gt;=-30,"1. 1-30 venc.",IF(U9&gt;=-60,"2. 31-60 venc.",IF(U9&gt;=-90,"3. 61-90 venc.","4. +90 venc."))))))</f>
        <v/>
      </c>
      <c r="W9" s="20">
        <f>IF(B9="","",IF(X9="Sí","Duplicada",IF(S9&lt;=0,"OK",IF(U9&lt;0,"Vencida",IF(U9&lt;=7,"Vence &lt;=7 días",IF(U9&lt;=15,"Vence 8-15 días","En plazo"))))))</f>
        <v/>
      </c>
      <c r="X9" s="20">
        <f>IF(OR(B9="",D9=""),"",IF(COUNTIFS($B$7:$B$106,B9,$D$7:$D$106,D9)&gt;1,"Sí",""))</f>
        <v/>
      </c>
      <c r="Y9" s="21" t="inlineStr">
        <is>
          <t>Operaciones</t>
        </is>
      </c>
      <c r="Z9" s="28">
        <f>IF(F9="","",DATE(YEAR(F9),MONTH(F9),1))</f>
        <v/>
      </c>
      <c r="AA9" s="21" t="inlineStr">
        <is>
          <t>Servicio recurrente</t>
        </is>
      </c>
      <c r="AB9" s="23">
        <f>IF(OR(T9="",F9="",S9&gt;0),"",T9-F9)</f>
        <v/>
      </c>
    </row>
    <row r="10">
      <c r="A10" s="20">
        <f>IF(B10="","","AP-"&amp;TEXT(F10,"YYMM")&amp;"-"&amp;TEXT(ROW()-6,"000"))</f>
        <v/>
      </c>
      <c r="B10" s="21" t="inlineStr">
        <is>
          <t>Senda Energía Comercializadora SA</t>
        </is>
      </c>
      <c r="C10" s="20">
        <f>IF(B10="","",IFERROR(VLOOKUP(B10,Proveedores!$B$6:$I$105,2,FALSE),""))</f>
        <v/>
      </c>
      <c r="D10" s="21" t="inlineStr">
        <is>
          <t>SEC-04102</t>
        </is>
      </c>
      <c r="E10" s="21" t="inlineStr">
        <is>
          <t>Consumo electricidad enero</t>
        </is>
      </c>
      <c r="F10" s="45" t="n">
        <v>46055</v>
      </c>
      <c r="G10" s="45" t="n">
        <v>46056</v>
      </c>
      <c r="H10" s="23">
        <f>IF(B10="","",IFERROR(VLOOKUP(B10,Proveedores!$B$6:$I$105,7,FALSE),""))</f>
        <v/>
      </c>
      <c r="I10" s="46">
        <f>IF(OR(F10="",H10=""),"",F10+H10)</f>
        <v/>
      </c>
      <c r="J10" s="21" t="inlineStr">
        <is>
          <t>Pagada</t>
        </is>
      </c>
      <c r="K10" s="20">
        <f>IF(B10="","",IFERROR(VLOOKUP(B10,Proveedores!$B$6:$I$105,8,FALSE),""))</f>
        <v/>
      </c>
      <c r="L10" s="47" t="n">
        <v>1180</v>
      </c>
      <c r="M10" s="26" t="n">
        <v>0.21</v>
      </c>
      <c r="N10" s="48">
        <f>IF(L10="","",L10*M10)</f>
        <v/>
      </c>
      <c r="O10" s="26" t="n">
        <v>0</v>
      </c>
      <c r="P10" s="48">
        <f>IF(L10="","",L10*O10)</f>
        <v/>
      </c>
      <c r="Q10" s="48">
        <f>IF(L10="","",L10+N10-P10)</f>
        <v/>
      </c>
      <c r="R10" s="47" t="n">
        <v>1427.8</v>
      </c>
      <c r="S10" s="48">
        <f>IF(Q10="","",MAX(Q10-R10,0))</f>
        <v/>
      </c>
      <c r="T10" s="45" t="n">
        <v>46070</v>
      </c>
      <c r="U10" s="23">
        <f>IF(I10="","",IF(S10&lt;=0,"",I10-TODAY()))</f>
        <v/>
      </c>
      <c r="V10" s="20">
        <f>IF(B10="","",IF(S10&lt;=0,"Liquidada",IF(U10&gt;=0,"0. En plazo",IF(U10&gt;=-30,"1. 1-30 venc.",IF(U10&gt;=-60,"2. 31-60 venc.",IF(U10&gt;=-90,"3. 61-90 venc.","4. +90 venc."))))))</f>
        <v/>
      </c>
      <c r="W10" s="20">
        <f>IF(B10="","",IF(X10="Sí","Duplicada",IF(S10&lt;=0,"OK",IF(U10&lt;0,"Vencida",IF(U10&lt;=7,"Vence &lt;=7 días",IF(U10&lt;=15,"Vence 8-15 días","En plazo"))))))</f>
        <v/>
      </c>
      <c r="X10" s="20">
        <f>IF(OR(B10="",D10=""),"",IF(COUNTIFS($B$7:$B$106,B10,$D$7:$D$106,D10)&gt;1,"Sí",""))</f>
        <v/>
      </c>
      <c r="Y10" s="21" t="inlineStr">
        <is>
          <t>Administración</t>
        </is>
      </c>
      <c r="Z10" s="28">
        <f>IF(F10="","",DATE(YEAR(F10),MONTH(F10),1))</f>
        <v/>
      </c>
      <c r="AA10" s="21" t="inlineStr">
        <is>
          <t>Suministro oficina central</t>
        </is>
      </c>
      <c r="AB10" s="23">
        <f>IF(OR(T10="",F10="",S10&gt;0),"",T10-F10)</f>
        <v/>
      </c>
    </row>
    <row r="11">
      <c r="A11" s="20">
        <f>IF(B11="","","AP-"&amp;TEXT(F11,"YYMM")&amp;"-"&amp;TEXT(ROW()-6,"000"))</f>
        <v/>
      </c>
      <c r="B11" s="21" t="inlineStr">
        <is>
          <t>Delta Logística Regional SL</t>
        </is>
      </c>
      <c r="C11" s="20">
        <f>IF(B11="","",IFERROR(VLOOKUP(B11,Proveedores!$B$6:$I$105,2,FALSE),""))</f>
        <v/>
      </c>
      <c r="D11" s="21" t="inlineStr">
        <is>
          <t>DLR-5531</t>
        </is>
      </c>
      <c r="E11" s="21" t="inlineStr">
        <is>
          <t>Rutas de distribución febrero</t>
        </is>
      </c>
      <c r="F11" s="45" t="n">
        <v>46063</v>
      </c>
      <c r="G11" s="45" t="n">
        <v>46064</v>
      </c>
      <c r="H11" s="23">
        <f>IF(B11="","",IFERROR(VLOOKUP(B11,Proveedores!$B$6:$I$105,7,FALSE),""))</f>
        <v/>
      </c>
      <c r="I11" s="46">
        <f>IF(OR(F11="",H11=""),"",F11+H11)</f>
        <v/>
      </c>
      <c r="J11" s="21" t="inlineStr">
        <is>
          <t>Pagada</t>
        </is>
      </c>
      <c r="K11" s="20">
        <f>IF(B11="","",IFERROR(VLOOKUP(B11,Proveedores!$B$6:$I$105,8,FALSE),""))</f>
        <v/>
      </c>
      <c r="L11" s="47" t="n">
        <v>2190</v>
      </c>
      <c r="M11" s="26" t="n">
        <v>0.21</v>
      </c>
      <c r="N11" s="48">
        <f>IF(L11="","",L11*M11)</f>
        <v/>
      </c>
      <c r="O11" s="26" t="n">
        <v>0</v>
      </c>
      <c r="P11" s="48">
        <f>IF(L11="","",L11*O11)</f>
        <v/>
      </c>
      <c r="Q11" s="48">
        <f>IF(L11="","",L11+N11-P11)</f>
        <v/>
      </c>
      <c r="R11" s="47" t="n">
        <v>2649.9</v>
      </c>
      <c r="S11" s="48">
        <f>IF(Q11="","",MAX(Q11-R11,0))</f>
        <v/>
      </c>
      <c r="T11" s="45" t="n">
        <v>46089</v>
      </c>
      <c r="U11" s="23">
        <f>IF(I11="","",IF(S11&lt;=0,"",I11-TODAY()))</f>
        <v/>
      </c>
      <c r="V11" s="20">
        <f>IF(B11="","",IF(S11&lt;=0,"Liquidada",IF(U11&gt;=0,"0. En plazo",IF(U11&gt;=-30,"1. 1-30 venc.",IF(U11&gt;=-60,"2. 31-60 venc.",IF(U11&gt;=-90,"3. 61-90 venc.","4. +90 venc."))))))</f>
        <v/>
      </c>
      <c r="W11" s="20">
        <f>IF(B11="","",IF(X11="Sí","Duplicada",IF(S11&lt;=0,"OK",IF(U11&lt;0,"Vencida",IF(U11&lt;=7,"Vence &lt;=7 días",IF(U11&lt;=15,"Vence 8-15 días","En plazo"))))))</f>
        <v/>
      </c>
      <c r="X11" s="20">
        <f>IF(OR(B11="",D11=""),"",IF(COUNTIFS($B$7:$B$106,B11,$D$7:$D$106,D11)&gt;1,"Sí",""))</f>
        <v/>
      </c>
      <c r="Y11" s="21" t="inlineStr">
        <is>
          <t>Operaciones</t>
        </is>
      </c>
      <c r="Z11" s="28">
        <f>IF(F11="","",DATE(YEAR(F11),MONTH(F11),1))</f>
        <v/>
      </c>
      <c r="AA11" s="21" t="inlineStr">
        <is>
          <t>Cierre mensual</t>
        </is>
      </c>
      <c r="AB11" s="23">
        <f>IF(OR(T11="",F11="",S11&gt;0),"",T11-F11)</f>
        <v/>
      </c>
    </row>
    <row r="12">
      <c r="A12" s="20">
        <f>IF(B12="","","AP-"&amp;TEXT(F12,"YYMM")&amp;"-"&amp;TEXT(ROW()-6,"000"))</f>
        <v/>
      </c>
      <c r="B12" s="21" t="inlineStr">
        <is>
          <t>Brisa Creativa Estudio SL</t>
        </is>
      </c>
      <c r="C12" s="20">
        <f>IF(B12="","",IFERROR(VLOOKUP(B12,Proveedores!$B$6:$I$105,2,FALSE),""))</f>
        <v/>
      </c>
      <c r="D12" s="21" t="inlineStr">
        <is>
          <t>BCE-2402-A</t>
        </is>
      </c>
      <c r="E12" s="21" t="inlineStr">
        <is>
          <t>Diseño de catálogo primavera</t>
        </is>
      </c>
      <c r="F12" s="45" t="n">
        <v>46065</v>
      </c>
      <c r="G12" s="45" t="n">
        <v>46066</v>
      </c>
      <c r="H12" s="23">
        <f>IF(B12="","",IFERROR(VLOOKUP(B12,Proveedores!$B$6:$I$105,7,FALSE),""))</f>
        <v/>
      </c>
      <c r="I12" s="46">
        <f>IF(OR(F12="",H12=""),"",F12+H12)</f>
        <v/>
      </c>
      <c r="J12" s="21" t="inlineStr">
        <is>
          <t>Parcial</t>
        </is>
      </c>
      <c r="K12" s="20">
        <f>IF(B12="","",IFERROR(VLOOKUP(B12,Proveedores!$B$6:$I$105,8,FALSE),""))</f>
        <v/>
      </c>
      <c r="L12" s="47" t="n">
        <v>1850</v>
      </c>
      <c r="M12" s="26" t="n">
        <v>0.21</v>
      </c>
      <c r="N12" s="48">
        <f>IF(L12="","",L12*M12)</f>
        <v/>
      </c>
      <c r="O12" s="26" t="n">
        <v>0</v>
      </c>
      <c r="P12" s="48">
        <f>IF(L12="","",L12*O12)</f>
        <v/>
      </c>
      <c r="Q12" s="48">
        <f>IF(L12="","",L12+N12-P12)</f>
        <v/>
      </c>
      <c r="R12" s="47" t="n">
        <v>1000</v>
      </c>
      <c r="S12" s="48">
        <f>IF(Q12="","",MAX(Q12-R12,0))</f>
        <v/>
      </c>
      <c r="T12" s="45" t="n">
        <v>46095</v>
      </c>
      <c r="U12" s="23">
        <f>IF(I12="","",IF(S12&lt;=0,"",I12-TODAY()))</f>
        <v/>
      </c>
      <c r="V12" s="20">
        <f>IF(B12="","",IF(S12&lt;=0,"Liquidada",IF(U12&gt;=0,"0. En plazo",IF(U12&gt;=-30,"1. 1-30 venc.",IF(U12&gt;=-60,"2. 31-60 venc.",IF(U12&gt;=-90,"3. 61-90 venc.","4. +90 venc."))))))</f>
        <v/>
      </c>
      <c r="W12" s="20">
        <f>IF(B12="","",IF(X12="Sí","Duplicada",IF(S12&lt;=0,"OK",IF(U12&lt;0,"Vencida",IF(U12&lt;=7,"Vence &lt;=7 días",IF(U12&lt;=15,"Vence 8-15 días","En plazo"))))))</f>
        <v/>
      </c>
      <c r="X12" s="20">
        <f>IF(OR(B12="",D12=""),"",IF(COUNTIFS($B$7:$B$106,B12,$D$7:$D$106,D12)&gt;1,"Sí",""))</f>
        <v/>
      </c>
      <c r="Y12" s="21" t="inlineStr">
        <is>
          <t>Proyectos</t>
        </is>
      </c>
      <c r="Z12" s="28">
        <f>IF(F12="","",DATE(YEAR(F12),MONTH(F12),1))</f>
        <v/>
      </c>
      <c r="AA12" s="21" t="inlineStr">
        <is>
          <t>Primer anticipo abonado</t>
        </is>
      </c>
      <c r="AB12" s="23">
        <f>IF(OR(T12="",F12="",S12&gt;0),"",T12-F12)</f>
        <v/>
      </c>
    </row>
    <row r="13">
      <c r="A13" s="20">
        <f>IF(B13="","","AP-"&amp;TEXT(F13,"YYMM")&amp;"-"&amp;TEXT(ROW()-6,"000"))</f>
        <v/>
      </c>
      <c r="B13" s="21" t="inlineStr">
        <is>
          <t>Pórtico Consultoría Legal SL</t>
        </is>
      </c>
      <c r="C13" s="20">
        <f>IF(B13="","",IFERROR(VLOOKUP(B13,Proveedores!$B$6:$I$105,2,FALSE),""))</f>
        <v/>
      </c>
      <c r="D13" s="21" t="inlineStr">
        <is>
          <t>PCL-026-19</t>
        </is>
      </c>
      <c r="E13" s="21" t="inlineStr">
        <is>
          <t>Revisión de contrato marco</t>
        </is>
      </c>
      <c r="F13" s="45" t="n">
        <v>46071</v>
      </c>
      <c r="G13" s="45" t="n">
        <v>46072</v>
      </c>
      <c r="H13" s="23">
        <f>IF(B13="","",IFERROR(VLOOKUP(B13,Proveedores!$B$6:$I$105,7,FALSE),""))</f>
        <v/>
      </c>
      <c r="I13" s="46">
        <f>IF(OR(F13="",H13=""),"",F13+H13)</f>
        <v/>
      </c>
      <c r="J13" s="21" t="inlineStr">
        <is>
          <t>Pendiente</t>
        </is>
      </c>
      <c r="K13" s="20">
        <f>IF(B13="","",IFERROR(VLOOKUP(B13,Proveedores!$B$6:$I$105,8,FALSE),""))</f>
        <v/>
      </c>
      <c r="L13" s="47" t="n">
        <v>640</v>
      </c>
      <c r="M13" s="26" t="n">
        <v>0.21</v>
      </c>
      <c r="N13" s="48">
        <f>IF(L13="","",L13*M13)</f>
        <v/>
      </c>
      <c r="O13" s="26" t="n">
        <v>0.15</v>
      </c>
      <c r="P13" s="48">
        <f>IF(L13="","",L13*O13)</f>
        <v/>
      </c>
      <c r="Q13" s="48">
        <f>IF(L13="","",L13+N13-P13)</f>
        <v/>
      </c>
      <c r="R13" s="47" t="n">
        <v>0</v>
      </c>
      <c r="S13" s="48">
        <f>IF(Q13="","",MAX(Q13-R13,0))</f>
        <v/>
      </c>
      <c r="T13" s="45" t="n"/>
      <c r="U13" s="23">
        <f>IF(I13="","",IF(S13&lt;=0,"",I13-TODAY()))</f>
        <v/>
      </c>
      <c r="V13" s="20">
        <f>IF(B13="","",IF(S13&lt;=0,"Liquidada",IF(U13&gt;=0,"0. En plazo",IF(U13&gt;=-30,"1. 1-30 venc.",IF(U13&gt;=-60,"2. 31-60 venc.",IF(U13&gt;=-90,"3. 61-90 venc.","4. +90 venc."))))))</f>
        <v/>
      </c>
      <c r="W13" s="20">
        <f>IF(B13="","",IF(X13="Sí","Duplicada",IF(S13&lt;=0,"OK",IF(U13&lt;0,"Vencida",IF(U13&lt;=7,"Vence &lt;=7 días",IF(U13&lt;=15,"Vence 8-15 días","En plazo"))))))</f>
        <v/>
      </c>
      <c r="X13" s="20">
        <f>IF(OR(B13="",D13=""),"",IF(COUNTIFS($B$7:$B$106,B13,$D$7:$D$106,D13)&gt;1,"Sí",""))</f>
        <v/>
      </c>
      <c r="Y13" s="21" t="inlineStr">
        <is>
          <t>Dirección</t>
        </is>
      </c>
      <c r="Z13" s="28">
        <f>IF(F13="","",DATE(YEAR(F13),MONTH(F13),1))</f>
        <v/>
      </c>
      <c r="AA13" s="21" t="inlineStr">
        <is>
          <t>Pendiente visto bueno final</t>
        </is>
      </c>
      <c r="AB13" s="23">
        <f>IF(OR(T13="",F13="",S13&gt;0),"",T13-F13)</f>
        <v/>
      </c>
    </row>
    <row r="14">
      <c r="A14" s="20">
        <f>IF(B14="","","AP-"&amp;TEXT(F14,"YYMM")&amp;"-"&amp;TEXT(ROW()-6,"000"))</f>
        <v/>
      </c>
      <c r="B14" s="21" t="inlineStr">
        <is>
          <t>Taller Prisma Mobiliario SL</t>
        </is>
      </c>
      <c r="C14" s="20">
        <f>IF(B14="","",IFERROR(VLOOKUP(B14,Proveedores!$B$6:$I$105,2,FALSE),""))</f>
        <v/>
      </c>
      <c r="D14" s="21" t="inlineStr">
        <is>
          <t>TPM-773</t>
        </is>
      </c>
      <c r="E14" s="21" t="inlineStr">
        <is>
          <t>Mesa operativa para equipo producto</t>
        </is>
      </c>
      <c r="F14" s="45" t="n">
        <v>46082</v>
      </c>
      <c r="G14" s="45" t="n">
        <v>46083</v>
      </c>
      <c r="H14" s="23">
        <f>IF(B14="","",IFERROR(VLOOKUP(B14,Proveedores!$B$6:$I$105,7,FALSE),""))</f>
        <v/>
      </c>
      <c r="I14" s="46">
        <f>IF(OR(F14="",H14=""),"",F14+H14)</f>
        <v/>
      </c>
      <c r="J14" s="21" t="inlineStr">
        <is>
          <t>Pendiente</t>
        </is>
      </c>
      <c r="K14" s="20">
        <f>IF(B14="","",IFERROR(VLOOKUP(B14,Proveedores!$B$6:$I$105,8,FALSE),""))</f>
        <v/>
      </c>
      <c r="L14" s="47" t="n">
        <v>2240</v>
      </c>
      <c r="M14" s="26" t="n">
        <v>0.21</v>
      </c>
      <c r="N14" s="48">
        <f>IF(L14="","",L14*M14)</f>
        <v/>
      </c>
      <c r="O14" s="26" t="n">
        <v>0</v>
      </c>
      <c r="P14" s="48">
        <f>IF(L14="","",L14*O14)</f>
        <v/>
      </c>
      <c r="Q14" s="48">
        <f>IF(L14="","",L14+N14-P14)</f>
        <v/>
      </c>
      <c r="R14" s="47" t="n">
        <v>0</v>
      </c>
      <c r="S14" s="48">
        <f>IF(Q14="","",MAX(Q14-R14,0))</f>
        <v/>
      </c>
      <c r="T14" s="45" t="n"/>
      <c r="U14" s="23">
        <f>IF(I14="","",IF(S14&lt;=0,"",I14-TODAY()))</f>
        <v/>
      </c>
      <c r="V14" s="20">
        <f>IF(B14="","",IF(S14&lt;=0,"Liquidada",IF(U14&gt;=0,"0. En plazo",IF(U14&gt;=-30,"1. 1-30 venc.",IF(U14&gt;=-60,"2. 31-60 venc.",IF(U14&gt;=-90,"3. 61-90 venc.","4. +90 venc."))))))</f>
        <v/>
      </c>
      <c r="W14" s="20">
        <f>IF(B14="","",IF(X14="Sí","Duplicada",IF(S14&lt;=0,"OK",IF(U14&lt;0,"Vencida",IF(U14&lt;=7,"Vence &lt;=7 días",IF(U14&lt;=15,"Vence 8-15 días","En plazo"))))))</f>
        <v/>
      </c>
      <c r="X14" s="20">
        <f>IF(OR(B14="",D14=""),"",IF(COUNTIFS($B$7:$B$106,B14,$D$7:$D$106,D14)&gt;1,"Sí",""))</f>
        <v/>
      </c>
      <c r="Y14" s="21" t="inlineStr">
        <is>
          <t>Compras</t>
        </is>
      </c>
      <c r="Z14" s="28">
        <f>IF(F14="","",DATE(YEAR(F14),MONTH(F14),1))</f>
        <v/>
      </c>
      <c r="AA14" s="21" t="inlineStr">
        <is>
          <t>Entrega ya recibida</t>
        </is>
      </c>
      <c r="AB14" s="23">
        <f>IF(OR(T14="",F14="",S14&gt;0),"",T14-F14)</f>
        <v/>
      </c>
    </row>
    <row r="15">
      <c r="A15" s="20">
        <f>IF(B15="","","AP-"&amp;TEXT(F15,"YYMM")&amp;"-"&amp;TEXT(ROW()-6,"000"))</f>
        <v/>
      </c>
      <c r="B15" s="21" t="inlineStr">
        <is>
          <t>Acuarela Eventos Técnicos SL</t>
        </is>
      </c>
      <c r="C15" s="20">
        <f>IF(B15="","",IFERROR(VLOOKUP(B15,Proveedores!$B$6:$I$105,2,FALSE),""))</f>
        <v/>
      </c>
      <c r="D15" s="21" t="inlineStr">
        <is>
          <t>AET-092</t>
        </is>
      </c>
      <c r="E15" s="21" t="inlineStr">
        <is>
          <t>Soporte audiovisual demo interna</t>
        </is>
      </c>
      <c r="F15" s="45" t="n">
        <v>46085</v>
      </c>
      <c r="G15" s="45" t="n">
        <v>46086</v>
      </c>
      <c r="H15" s="23">
        <f>IF(B15="","",IFERROR(VLOOKUP(B15,Proveedores!$B$6:$I$105,7,FALSE),""))</f>
        <v/>
      </c>
      <c r="I15" s="46">
        <f>IF(OR(F15="",H15=""),"",F15+H15)</f>
        <v/>
      </c>
      <c r="J15" s="21" t="inlineStr">
        <is>
          <t>Pagada</t>
        </is>
      </c>
      <c r="K15" s="20">
        <f>IF(B15="","",IFERROR(VLOOKUP(B15,Proveedores!$B$6:$I$105,8,FALSE),""))</f>
        <v/>
      </c>
      <c r="L15" s="47" t="n">
        <v>1380</v>
      </c>
      <c r="M15" s="26" t="n">
        <v>0.21</v>
      </c>
      <c r="N15" s="48">
        <f>IF(L15="","",L15*M15)</f>
        <v/>
      </c>
      <c r="O15" s="26" t="n">
        <v>0</v>
      </c>
      <c r="P15" s="48">
        <f>IF(L15="","",L15*O15)</f>
        <v/>
      </c>
      <c r="Q15" s="48">
        <f>IF(L15="","",L15+N15-P15)</f>
        <v/>
      </c>
      <c r="R15" s="47" t="n">
        <v>1669.8</v>
      </c>
      <c r="S15" s="48">
        <f>IF(Q15="","",MAX(Q15-R15,0))</f>
        <v/>
      </c>
      <c r="T15" s="45" t="n">
        <v>46114</v>
      </c>
      <c r="U15" s="23">
        <f>IF(I15="","",IF(S15&lt;=0,"",I15-TODAY()))</f>
        <v/>
      </c>
      <c r="V15" s="20">
        <f>IF(B15="","",IF(S15&lt;=0,"Liquidada",IF(U15&gt;=0,"0. En plazo",IF(U15&gt;=-30,"1. 1-30 venc.",IF(U15&gt;=-60,"2. 31-60 venc.",IF(U15&gt;=-90,"3. 61-90 venc.","4. +90 venc."))))))</f>
        <v/>
      </c>
      <c r="W15" s="20">
        <f>IF(B15="","",IF(X15="Sí","Duplicada",IF(S15&lt;=0,"OK",IF(U15&lt;0,"Vencida",IF(U15&lt;=7,"Vence &lt;=7 días",IF(U15&lt;=15,"Vence 8-15 días","En plazo"))))))</f>
        <v/>
      </c>
      <c r="X15" s="20">
        <f>IF(OR(B15="",D15=""),"",IF(COUNTIFS($B$7:$B$106,B15,$D$7:$D$106,D15)&gt;1,"Sí",""))</f>
        <v/>
      </c>
      <c r="Y15" s="21" t="inlineStr">
        <is>
          <t>Proyectos</t>
        </is>
      </c>
      <c r="Z15" s="28">
        <f>IF(F15="","",DATE(YEAR(F15),MONTH(F15),1))</f>
        <v/>
      </c>
      <c r="AA15" s="21" t="inlineStr">
        <is>
          <t>Evento trimestral</t>
        </is>
      </c>
      <c r="AB15" s="23">
        <f>IF(OR(T15="",F15="",S15&gt;0),"",T15-F15)</f>
        <v/>
      </c>
    </row>
    <row r="16">
      <c r="A16" s="20">
        <f>IF(B16="","","AP-"&amp;TEXT(F16,"YYMM")&amp;"-"&amp;TEXT(ROW()-6,"000"))</f>
        <v/>
      </c>
      <c r="B16" s="21" t="inlineStr">
        <is>
          <t>Nexo Soluciones Industriales SL</t>
        </is>
      </c>
      <c r="C16" s="20">
        <f>IF(B16="","",IFERROR(VLOOKUP(B16,Proveedores!$B$6:$I$105,2,FALSE),""))</f>
        <v/>
      </c>
      <c r="D16" s="21" t="inlineStr">
        <is>
          <t>NSI-3321</t>
        </is>
      </c>
      <c r="E16" s="21" t="inlineStr">
        <is>
          <t>Revisión climatización y filtros</t>
        </is>
      </c>
      <c r="F16" s="45" t="n">
        <v>46087</v>
      </c>
      <c r="G16" s="45" t="n">
        <v>46088</v>
      </c>
      <c r="H16" s="23">
        <f>IF(B16="","",IFERROR(VLOOKUP(B16,Proveedores!$B$6:$I$105,7,FALSE),""))</f>
        <v/>
      </c>
      <c r="I16" s="46">
        <f>IF(OR(F16="",H16=""),"",F16+H16)</f>
        <v/>
      </c>
      <c r="J16" s="21" t="inlineStr">
        <is>
          <t>Pagada</t>
        </is>
      </c>
      <c r="K16" s="20">
        <f>IF(B16="","",IFERROR(VLOOKUP(B16,Proveedores!$B$6:$I$105,8,FALSE),""))</f>
        <v/>
      </c>
      <c r="L16" s="47" t="n">
        <v>890</v>
      </c>
      <c r="M16" s="26" t="n">
        <v>0.21</v>
      </c>
      <c r="N16" s="48">
        <f>IF(L16="","",L16*M16)</f>
        <v/>
      </c>
      <c r="O16" s="26" t="n">
        <v>0</v>
      </c>
      <c r="P16" s="48">
        <f>IF(L16="","",L16*O16)</f>
        <v/>
      </c>
      <c r="Q16" s="48">
        <f>IF(L16="","",L16+N16-P16)</f>
        <v/>
      </c>
      <c r="R16" s="47" t="n">
        <v>1076.9</v>
      </c>
      <c r="S16" s="48">
        <f>IF(Q16="","",MAX(Q16-R16,0))</f>
        <v/>
      </c>
      <c r="T16" s="45" t="n">
        <v>46109</v>
      </c>
      <c r="U16" s="23">
        <f>IF(I16="","",IF(S16&lt;=0,"",I16-TODAY()))</f>
        <v/>
      </c>
      <c r="V16" s="20">
        <f>IF(B16="","",IF(S16&lt;=0,"Liquidada",IF(U16&gt;=0,"0. En plazo",IF(U16&gt;=-30,"1. 1-30 venc.",IF(U16&gt;=-60,"2. 31-60 venc.",IF(U16&gt;=-90,"3. 61-90 venc.","4. +90 venc."))))))</f>
        <v/>
      </c>
      <c r="W16" s="20">
        <f>IF(B16="","",IF(X16="Sí","Duplicada",IF(S16&lt;=0,"OK",IF(U16&lt;0,"Vencida",IF(U16&lt;=7,"Vence &lt;=7 días",IF(U16&lt;=15,"Vence 8-15 días","En plazo"))))))</f>
        <v/>
      </c>
      <c r="X16" s="20">
        <f>IF(OR(B16="",D16=""),"",IF(COUNTIFS($B$7:$B$106,B16,$D$7:$D$106,D16)&gt;1,"Sí",""))</f>
        <v/>
      </c>
      <c r="Y16" s="21" t="inlineStr">
        <is>
          <t>Operaciones</t>
        </is>
      </c>
      <c r="Z16" s="28">
        <f>IF(F16="","",DATE(YEAR(F16),MONTH(F16),1))</f>
        <v/>
      </c>
      <c r="AA16" s="21" t="inlineStr">
        <is>
          <t>Mantenimiento preventivo</t>
        </is>
      </c>
      <c r="AB16" s="23">
        <f>IF(OR(T16="",F16="",S16&gt;0),"",T16-F16)</f>
        <v/>
      </c>
    </row>
    <row r="17">
      <c r="A17" s="20">
        <f>IF(B17="","","AP-"&amp;TEXT(F17,"YYMM")&amp;"-"&amp;TEXT(ROW()-6,"000"))</f>
        <v/>
      </c>
      <c r="B17" s="21" t="inlineStr">
        <is>
          <t>Lumen Oficina Integral SL</t>
        </is>
      </c>
      <c r="C17" s="20">
        <f>IF(B17="","",IFERROR(VLOOKUP(B17,Proveedores!$B$6:$I$105,2,FALSE),""))</f>
        <v/>
      </c>
      <c r="D17" s="21" t="inlineStr">
        <is>
          <t>LOI-1198</t>
        </is>
      </c>
      <c r="E17" s="21" t="inlineStr">
        <is>
          <t>Consumibles de impresión marzo</t>
        </is>
      </c>
      <c r="F17" s="45" t="n">
        <v>46092</v>
      </c>
      <c r="G17" s="45" t="n">
        <v>46093</v>
      </c>
      <c r="H17" s="23">
        <f>IF(B17="","",IFERROR(VLOOKUP(B17,Proveedores!$B$6:$I$105,7,FALSE),""))</f>
        <v/>
      </c>
      <c r="I17" s="46">
        <f>IF(OR(F17="",H17=""),"",F17+H17)</f>
        <v/>
      </c>
      <c r="J17" s="21" t="inlineStr">
        <is>
          <t>Pagada</t>
        </is>
      </c>
      <c r="K17" s="20">
        <f>IF(B17="","",IFERROR(VLOOKUP(B17,Proveedores!$B$6:$I$105,8,FALSE),""))</f>
        <v/>
      </c>
      <c r="L17" s="47" t="n">
        <v>286</v>
      </c>
      <c r="M17" s="26" t="n">
        <v>0.21</v>
      </c>
      <c r="N17" s="48">
        <f>IF(L17="","",L17*M17)</f>
        <v/>
      </c>
      <c r="O17" s="26" t="n">
        <v>0</v>
      </c>
      <c r="P17" s="48">
        <f>IF(L17="","",L17*O17)</f>
        <v/>
      </c>
      <c r="Q17" s="48">
        <f>IF(L17="","",L17+N17-P17)</f>
        <v/>
      </c>
      <c r="R17" s="47" t="n">
        <v>346.06</v>
      </c>
      <c r="S17" s="48">
        <f>IF(Q17="","",MAX(Q17-R17,0))</f>
        <v/>
      </c>
      <c r="T17" s="45" t="n">
        <v>46103</v>
      </c>
      <c r="U17" s="23">
        <f>IF(I17="","",IF(S17&lt;=0,"",I17-TODAY()))</f>
        <v/>
      </c>
      <c r="V17" s="20">
        <f>IF(B17="","",IF(S17&lt;=0,"Liquidada",IF(U17&gt;=0,"0. En plazo",IF(U17&gt;=-30,"1. 1-30 venc.",IF(U17&gt;=-60,"2. 31-60 venc.",IF(U17&gt;=-90,"3. 61-90 venc.","4. +90 venc."))))))</f>
        <v/>
      </c>
      <c r="W17" s="20">
        <f>IF(B17="","",IF(X17="Sí","Duplicada",IF(S17&lt;=0,"OK",IF(U17&lt;0,"Vencida",IF(U17&lt;=7,"Vence &lt;=7 días",IF(U17&lt;=15,"Vence 8-15 días","En plazo"))))))</f>
        <v/>
      </c>
      <c r="X17" s="20">
        <f>IF(OR(B17="",D17=""),"",IF(COUNTIFS($B$7:$B$106,B17,$D$7:$D$106,D17)&gt;1,"Sí",""))</f>
        <v/>
      </c>
      <c r="Y17" s="21" t="inlineStr">
        <is>
          <t>Compras</t>
        </is>
      </c>
      <c r="Z17" s="28">
        <f>IF(F17="","",DATE(YEAR(F17),MONTH(F17),1))</f>
        <v/>
      </c>
      <c r="AA17" s="21" t="inlineStr">
        <is>
          <t>Reposición mensual</t>
        </is>
      </c>
      <c r="AB17" s="23">
        <f>IF(OR(T17="",F17="",S17&gt;0),"",T17-F17)</f>
        <v/>
      </c>
    </row>
    <row r="18">
      <c r="A18" s="20">
        <f>IF(B18="","","AP-"&amp;TEXT(F18,"YYMM")&amp;"-"&amp;TEXT(ROW()-6,"000"))</f>
        <v/>
      </c>
      <c r="B18" s="21" t="inlineStr">
        <is>
          <t>Senda Energía Comercializadora SA</t>
        </is>
      </c>
      <c r="C18" s="20">
        <f>IF(B18="","",IFERROR(VLOOKUP(B18,Proveedores!$B$6:$I$105,2,FALSE),""))</f>
        <v/>
      </c>
      <c r="D18" s="21" t="inlineStr">
        <is>
          <t>SEC-04589</t>
        </is>
      </c>
      <c r="E18" s="21" t="inlineStr">
        <is>
          <t>Consumo electricidad febrero</t>
        </is>
      </c>
      <c r="F18" s="45" t="n">
        <v>46094</v>
      </c>
      <c r="G18" s="45" t="n">
        <v>46095</v>
      </c>
      <c r="H18" s="23">
        <f>IF(B18="","",IFERROR(VLOOKUP(B18,Proveedores!$B$6:$I$105,7,FALSE),""))</f>
        <v/>
      </c>
      <c r="I18" s="46">
        <f>IF(OR(F18="",H18=""),"",F18+H18)</f>
        <v/>
      </c>
      <c r="J18" s="21" t="inlineStr">
        <is>
          <t>Pagada</t>
        </is>
      </c>
      <c r="K18" s="20">
        <f>IF(B18="","",IFERROR(VLOOKUP(B18,Proveedores!$B$6:$I$105,8,FALSE),""))</f>
        <v/>
      </c>
      <c r="L18" s="47" t="n">
        <v>1215</v>
      </c>
      <c r="M18" s="26" t="n">
        <v>0.21</v>
      </c>
      <c r="N18" s="48">
        <f>IF(L18="","",L18*M18)</f>
        <v/>
      </c>
      <c r="O18" s="26" t="n">
        <v>0</v>
      </c>
      <c r="P18" s="48">
        <f>IF(L18="","",L18*O18)</f>
        <v/>
      </c>
      <c r="Q18" s="48">
        <f>IF(L18="","",L18+N18-P18)</f>
        <v/>
      </c>
      <c r="R18" s="47" t="n">
        <v>1470.15</v>
      </c>
      <c r="S18" s="48">
        <f>IF(Q18="","",MAX(Q18-R18,0))</f>
        <v/>
      </c>
      <c r="T18" s="45" t="n">
        <v>46108</v>
      </c>
      <c r="U18" s="23">
        <f>IF(I18="","",IF(S18&lt;=0,"",I18-TODAY()))</f>
        <v/>
      </c>
      <c r="V18" s="20">
        <f>IF(B18="","",IF(S18&lt;=0,"Liquidada",IF(U18&gt;=0,"0. En plazo",IF(U18&gt;=-30,"1. 1-30 venc.",IF(U18&gt;=-60,"2. 31-60 venc.",IF(U18&gt;=-90,"3. 61-90 venc.","4. +90 venc."))))))</f>
        <v/>
      </c>
      <c r="W18" s="20">
        <f>IF(B18="","",IF(X18="Sí","Duplicada",IF(S18&lt;=0,"OK",IF(U18&lt;0,"Vencida",IF(U18&lt;=7,"Vence &lt;=7 días",IF(U18&lt;=15,"Vence 8-15 días","En plazo"))))))</f>
        <v/>
      </c>
      <c r="X18" s="20">
        <f>IF(OR(B18="",D18=""),"",IF(COUNTIFS($B$7:$B$106,B18,$D$7:$D$106,D18)&gt;1,"Sí",""))</f>
        <v/>
      </c>
      <c r="Y18" s="21" t="inlineStr">
        <is>
          <t>Administración</t>
        </is>
      </c>
      <c r="Z18" s="28">
        <f>IF(F18="","",DATE(YEAR(F18),MONTH(F18),1))</f>
        <v/>
      </c>
      <c r="AA18" s="21" t="inlineStr">
        <is>
          <t>Sede principal</t>
        </is>
      </c>
      <c r="AB18" s="23">
        <f>IF(OR(T18="",F18="",S18&gt;0),"",T18-F18)</f>
        <v/>
      </c>
    </row>
    <row r="19">
      <c r="A19" s="20">
        <f>IF(B19="","","AP-"&amp;TEXT(F19,"YYMM")&amp;"-"&amp;TEXT(ROW()-6,"000"))</f>
        <v/>
      </c>
      <c r="B19" s="21" t="inlineStr">
        <is>
          <t>Brisa Creativa Estudio SL</t>
        </is>
      </c>
      <c r="C19" s="20">
        <f>IF(B19="","",IFERROR(VLOOKUP(B19,Proveedores!$B$6:$I$105,2,FALSE),""))</f>
        <v/>
      </c>
      <c r="D19" s="21" t="inlineStr">
        <is>
          <t>BCE-2403-B</t>
        </is>
      </c>
      <c r="E19" s="21" t="inlineStr">
        <is>
          <t>Landing y piezas sociales campaña empleo</t>
        </is>
      </c>
      <c r="F19" s="45" t="n">
        <v>46100</v>
      </c>
      <c r="G19" s="45" t="n">
        <v>46101</v>
      </c>
      <c r="H19" s="23">
        <f>IF(B19="","",IFERROR(VLOOKUP(B19,Proveedores!$B$6:$I$105,7,FALSE),""))</f>
        <v/>
      </c>
      <c r="I19" s="46">
        <f>IF(OR(F19="",H19=""),"",F19+H19)</f>
        <v/>
      </c>
      <c r="J19" s="21" t="inlineStr">
        <is>
          <t>Pendiente</t>
        </is>
      </c>
      <c r="K19" s="20">
        <f>IF(B19="","",IFERROR(VLOOKUP(B19,Proveedores!$B$6:$I$105,8,FALSE),""))</f>
        <v/>
      </c>
      <c r="L19" s="47" t="n">
        <v>1320</v>
      </c>
      <c r="M19" s="26" t="n">
        <v>0.21</v>
      </c>
      <c r="N19" s="48">
        <f>IF(L19="","",L19*M19)</f>
        <v/>
      </c>
      <c r="O19" s="26" t="n">
        <v>0</v>
      </c>
      <c r="P19" s="48">
        <f>IF(L19="","",L19*O19)</f>
        <v/>
      </c>
      <c r="Q19" s="48">
        <f>IF(L19="","",L19+N19-P19)</f>
        <v/>
      </c>
      <c r="R19" s="47" t="n">
        <v>0</v>
      </c>
      <c r="S19" s="48">
        <f>IF(Q19="","",MAX(Q19-R19,0))</f>
        <v/>
      </c>
      <c r="T19" s="45" t="n"/>
      <c r="U19" s="23">
        <f>IF(I19="","",IF(S19&lt;=0,"",I19-TODAY()))</f>
        <v/>
      </c>
      <c r="V19" s="20">
        <f>IF(B19="","",IF(S19&lt;=0,"Liquidada",IF(U19&gt;=0,"0. En plazo",IF(U19&gt;=-30,"1. 1-30 venc.",IF(U19&gt;=-60,"2. 31-60 venc.",IF(U19&gt;=-90,"3. 61-90 venc.","4. +90 venc."))))))</f>
        <v/>
      </c>
      <c r="W19" s="20">
        <f>IF(B19="","",IF(X19="Sí","Duplicada",IF(S19&lt;=0,"OK",IF(U19&lt;0,"Vencida",IF(U19&lt;=7,"Vence &lt;=7 días",IF(U19&lt;=15,"Vence 8-15 días","En plazo"))))))</f>
        <v/>
      </c>
      <c r="X19" s="20">
        <f>IF(OR(B19="",D19=""),"",IF(COUNTIFS($B$7:$B$106,B19,$D$7:$D$106,D19)&gt;1,"Sí",""))</f>
        <v/>
      </c>
      <c r="Y19" s="21" t="inlineStr">
        <is>
          <t>Proyectos</t>
        </is>
      </c>
      <c r="Z19" s="28">
        <f>IF(F19="","",DATE(YEAR(F19),MONTH(F19),1))</f>
        <v/>
      </c>
      <c r="AA19" s="21" t="inlineStr">
        <is>
          <t>Pendiente de cierre creativo</t>
        </is>
      </c>
      <c r="AB19" s="23">
        <f>IF(OR(T19="",F19="",S19&gt;0),"",T19-F19)</f>
        <v/>
      </c>
    </row>
    <row r="20">
      <c r="A20" s="20">
        <f>IF(B20="","","AP-"&amp;TEXT(F20,"YYMM")&amp;"-"&amp;TEXT(ROW()-6,"000"))</f>
        <v/>
      </c>
      <c r="B20" s="21" t="inlineStr">
        <is>
          <t>Atlas IT Continuidad SL</t>
        </is>
      </c>
      <c r="C20" s="20">
        <f>IF(B20="","",IFERROR(VLOOKUP(B20,Proveedores!$B$6:$I$105,2,FALSE),""))</f>
        <v/>
      </c>
      <c r="D20" s="21" t="inlineStr">
        <is>
          <t>ATI-26041</t>
        </is>
      </c>
      <c r="E20" s="21" t="inlineStr">
        <is>
          <t>Licencias colaboración 25 usuarios</t>
        </is>
      </c>
      <c r="F20" s="45" t="n">
        <v>46102</v>
      </c>
      <c r="G20" s="45" t="n">
        <v>46103</v>
      </c>
      <c r="H20" s="23">
        <f>IF(B20="","",IFERROR(VLOOKUP(B20,Proveedores!$B$6:$I$105,7,FALSE),""))</f>
        <v/>
      </c>
      <c r="I20" s="46">
        <f>IF(OR(F20="",H20=""),"",F20+H20)</f>
        <v/>
      </c>
      <c r="J20" s="21" t="inlineStr">
        <is>
          <t>Programada</t>
        </is>
      </c>
      <c r="K20" s="20">
        <f>IF(B20="","",IFERROR(VLOOKUP(B20,Proveedores!$B$6:$I$105,8,FALSE),""))</f>
        <v/>
      </c>
      <c r="L20" s="47" t="n">
        <v>610</v>
      </c>
      <c r="M20" s="26" t="n">
        <v>0.21</v>
      </c>
      <c r="N20" s="48">
        <f>IF(L20="","",L20*M20)</f>
        <v/>
      </c>
      <c r="O20" s="26" t="n">
        <v>0</v>
      </c>
      <c r="P20" s="48">
        <f>IF(L20="","",L20*O20)</f>
        <v/>
      </c>
      <c r="Q20" s="48">
        <f>IF(L20="","",L20+N20-P20)</f>
        <v/>
      </c>
      <c r="R20" s="47" t="n">
        <v>0</v>
      </c>
      <c r="S20" s="48">
        <f>IF(Q20="","",MAX(Q20-R20,0))</f>
        <v/>
      </c>
      <c r="T20" s="45" t="n"/>
      <c r="U20" s="23">
        <f>IF(I20="","",IF(S20&lt;=0,"",I20-TODAY()))</f>
        <v/>
      </c>
      <c r="V20" s="20">
        <f>IF(B20="","",IF(S20&lt;=0,"Liquidada",IF(U20&gt;=0,"0. En plazo",IF(U20&gt;=-30,"1. 1-30 venc.",IF(U20&gt;=-60,"2. 31-60 venc.",IF(U20&gt;=-90,"3. 61-90 venc.","4. +90 venc."))))))</f>
        <v/>
      </c>
      <c r="W20" s="20">
        <f>IF(B20="","",IF(X20="Sí","Duplicada",IF(S20&lt;=0,"OK",IF(U20&lt;0,"Vencida",IF(U20&lt;=7,"Vence &lt;=7 días",IF(U20&lt;=15,"Vence 8-15 días","En plazo"))))))</f>
        <v/>
      </c>
      <c r="X20" s="20">
        <f>IF(OR(B20="",D20=""),"",IF(COUNTIFS($B$7:$B$106,B20,$D$7:$D$106,D20)&gt;1,"Sí",""))</f>
        <v/>
      </c>
      <c r="Y20" s="21" t="inlineStr">
        <is>
          <t>Administración</t>
        </is>
      </c>
      <c r="Z20" s="28">
        <f>IF(F20="","",DATE(YEAR(F20),MONTH(F20),1))</f>
        <v/>
      </c>
      <c r="AA20" s="21" t="inlineStr">
        <is>
          <t>Pago previsto en remesa próxima</t>
        </is>
      </c>
      <c r="AB20" s="23">
        <f>IF(OR(T20="",F20="",S20&gt;0),"",T20-F20)</f>
        <v/>
      </c>
    </row>
    <row r="21">
      <c r="A21" s="20">
        <f>IF(B21="","","AP-"&amp;TEXT(F21,"YYMM")&amp;"-"&amp;TEXT(ROW()-6,"000"))</f>
        <v/>
      </c>
      <c r="B21" s="21" t="inlineStr">
        <is>
          <t>Delta Logística Regional SL</t>
        </is>
      </c>
      <c r="C21" s="20">
        <f>IF(B21="","",IFERROR(VLOOKUP(B21,Proveedores!$B$6:$I$105,2,FALSE),""))</f>
        <v/>
      </c>
      <c r="D21" s="21" t="inlineStr">
        <is>
          <t>DLR-5599</t>
        </is>
      </c>
      <c r="E21" s="21" t="inlineStr">
        <is>
          <t>Rutas de distribución marzo</t>
        </is>
      </c>
      <c r="F21" s="45" t="n">
        <v>46109</v>
      </c>
      <c r="G21" s="45" t="n">
        <v>46110</v>
      </c>
      <c r="H21" s="23">
        <f>IF(B21="","",IFERROR(VLOOKUP(B21,Proveedores!$B$6:$I$105,7,FALSE),""))</f>
        <v/>
      </c>
      <c r="I21" s="46">
        <f>IF(OR(F21="",H21=""),"",F21+H21)</f>
        <v/>
      </c>
      <c r="J21" s="21" t="inlineStr">
        <is>
          <t>Parcial</t>
        </is>
      </c>
      <c r="K21" s="20">
        <f>IF(B21="","",IFERROR(VLOOKUP(B21,Proveedores!$B$6:$I$105,8,FALSE),""))</f>
        <v/>
      </c>
      <c r="L21" s="47" t="n">
        <v>2420</v>
      </c>
      <c r="M21" s="26" t="n">
        <v>0.21</v>
      </c>
      <c r="N21" s="48">
        <f>IF(L21="","",L21*M21)</f>
        <v/>
      </c>
      <c r="O21" s="26" t="n">
        <v>0</v>
      </c>
      <c r="P21" s="48">
        <f>IF(L21="","",L21*O21)</f>
        <v/>
      </c>
      <c r="Q21" s="48">
        <f>IF(L21="","",L21+N21-P21)</f>
        <v/>
      </c>
      <c r="R21" s="47" t="n">
        <v>1500</v>
      </c>
      <c r="S21" s="48">
        <f>IF(Q21="","",MAX(Q21-R21,0))</f>
        <v/>
      </c>
      <c r="T21" s="45" t="n">
        <v>46122</v>
      </c>
      <c r="U21" s="23">
        <f>IF(I21="","",IF(S21&lt;=0,"",I21-TODAY()))</f>
        <v/>
      </c>
      <c r="V21" s="20">
        <f>IF(B21="","",IF(S21&lt;=0,"Liquidada",IF(U21&gt;=0,"0. En plazo",IF(U21&gt;=-30,"1. 1-30 venc.",IF(U21&gt;=-60,"2. 31-60 venc.",IF(U21&gt;=-90,"3. 61-90 venc.","4. +90 venc."))))))</f>
        <v/>
      </c>
      <c r="W21" s="20">
        <f>IF(B21="","",IF(X21="Sí","Duplicada",IF(S21&lt;=0,"OK",IF(U21&lt;0,"Vencida",IF(U21&lt;=7,"Vence &lt;=7 días",IF(U21&lt;=15,"Vence 8-15 días","En plazo"))))))</f>
        <v/>
      </c>
      <c r="X21" s="20">
        <f>IF(OR(B21="",D21=""),"",IF(COUNTIFS($B$7:$B$106,B21,$D$7:$D$106,D21)&gt;1,"Sí",""))</f>
        <v/>
      </c>
      <c r="Y21" s="21" t="inlineStr">
        <is>
          <t>Operaciones</t>
        </is>
      </c>
      <c r="Z21" s="28">
        <f>IF(F21="","",DATE(YEAR(F21),MONTH(F21),1))</f>
        <v/>
      </c>
      <c r="AA21" s="21" t="inlineStr">
        <is>
          <t>Pendiente regularización combustible</t>
        </is>
      </c>
      <c r="AB21" s="23">
        <f>IF(OR(T21="",F21="",S21&gt;0),"",T21-F21)</f>
        <v/>
      </c>
    </row>
    <row r="22">
      <c r="A22" s="20">
        <f>IF(B22="","","AP-"&amp;TEXT(F22,"YYMM")&amp;"-"&amp;TEXT(ROW()-6,"000"))</f>
        <v/>
      </c>
      <c r="B22" s="21" t="inlineStr">
        <is>
          <t>Verde Urbano Servicios SL</t>
        </is>
      </c>
      <c r="C22" s="20">
        <f>IF(B22="","",IFERROR(VLOOKUP(B22,Proveedores!$B$6:$I$105,2,FALSE),""))</f>
        <v/>
      </c>
      <c r="D22" s="21" t="inlineStr">
        <is>
          <t>VUS-2026-032</t>
        </is>
      </c>
      <c r="E22" s="21" t="inlineStr">
        <is>
          <t>Limpieza sede marzo</t>
        </is>
      </c>
      <c r="F22" s="45" t="n">
        <v>46112</v>
      </c>
      <c r="G22" s="45" t="n">
        <v>46113</v>
      </c>
      <c r="H22" s="23">
        <f>IF(B22="","",IFERROR(VLOOKUP(B22,Proveedores!$B$6:$I$105,7,FALSE),""))</f>
        <v/>
      </c>
      <c r="I22" s="46">
        <f>IF(OR(F22="",H22=""),"",F22+H22)</f>
        <v/>
      </c>
      <c r="J22" s="21" t="inlineStr">
        <is>
          <t>Programada</t>
        </is>
      </c>
      <c r="K22" s="20">
        <f>IF(B22="","",IFERROR(VLOOKUP(B22,Proveedores!$B$6:$I$105,8,FALSE),""))</f>
        <v/>
      </c>
      <c r="L22" s="47" t="n">
        <v>760</v>
      </c>
      <c r="M22" s="26" t="n">
        <v>0.21</v>
      </c>
      <c r="N22" s="48">
        <f>IF(L22="","",L22*M22)</f>
        <v/>
      </c>
      <c r="O22" s="26" t="n">
        <v>0</v>
      </c>
      <c r="P22" s="48">
        <f>IF(L22="","",L22*O22)</f>
        <v/>
      </c>
      <c r="Q22" s="48">
        <f>IF(L22="","",L22+N22-P22)</f>
        <v/>
      </c>
      <c r="R22" s="47" t="n">
        <v>0</v>
      </c>
      <c r="S22" s="48">
        <f>IF(Q22="","",MAX(Q22-R22,0))</f>
        <v/>
      </c>
      <c r="T22" s="45" t="n"/>
      <c r="U22" s="23">
        <f>IF(I22="","",IF(S22&lt;=0,"",I22-TODAY()))</f>
        <v/>
      </c>
      <c r="V22" s="20">
        <f>IF(B22="","",IF(S22&lt;=0,"Liquidada",IF(U22&gt;=0,"0. En plazo",IF(U22&gt;=-30,"1. 1-30 venc.",IF(U22&gt;=-60,"2. 31-60 venc.",IF(U22&gt;=-90,"3. 61-90 venc.","4. +90 venc."))))))</f>
        <v/>
      </c>
      <c r="W22" s="20">
        <f>IF(B22="","",IF(X22="Sí","Duplicada",IF(S22&lt;=0,"OK",IF(U22&lt;0,"Vencida",IF(U22&lt;=7,"Vence &lt;=7 días",IF(U22&lt;=15,"Vence 8-15 días","En plazo"))))))</f>
        <v/>
      </c>
      <c r="X22" s="20">
        <f>IF(OR(B22="",D22=""),"",IF(COUNTIFS($B$7:$B$106,B22,$D$7:$D$106,D22)&gt;1,"Sí",""))</f>
        <v/>
      </c>
      <c r="Y22" s="21" t="inlineStr">
        <is>
          <t>Operaciones</t>
        </is>
      </c>
      <c r="Z22" s="28">
        <f>IF(F22="","",DATE(YEAR(F22),MONTH(F22),1))</f>
        <v/>
      </c>
      <c r="AA22" s="21" t="inlineStr">
        <is>
          <t>Se pagará con remesa fin de mes</t>
        </is>
      </c>
      <c r="AB22" s="23">
        <f>IF(OR(T22="",F22="",S22&gt;0),"",T22-F22)</f>
        <v/>
      </c>
    </row>
    <row r="23">
      <c r="A23" s="20">
        <f>IF(B23="","","AP-"&amp;TEXT(F23,"YYMM")&amp;"-"&amp;TEXT(ROW()-6,"000"))</f>
        <v/>
      </c>
      <c r="B23" s="21" t="inlineStr">
        <is>
          <t>Nova Formación Aplicada SL</t>
        </is>
      </c>
      <c r="C23" s="20">
        <f>IF(B23="","",IFERROR(VLOOKUP(B23,Proveedores!$B$6:$I$105,2,FALSE),""))</f>
        <v/>
      </c>
      <c r="D23" s="21" t="inlineStr">
        <is>
          <t>NFA-0403</t>
        </is>
      </c>
      <c r="E23" s="21" t="inlineStr">
        <is>
          <t>Taller de mandos intermedios - fase 1</t>
        </is>
      </c>
      <c r="F23" s="45" t="n">
        <v>46115</v>
      </c>
      <c r="G23" s="45" t="n">
        <v>46116</v>
      </c>
      <c r="H23" s="23">
        <f>IF(B23="","",IFERROR(VLOOKUP(B23,Proveedores!$B$6:$I$105,7,FALSE),""))</f>
        <v/>
      </c>
      <c r="I23" s="46">
        <f>IF(OR(F23="",H23=""),"",F23+H23)</f>
        <v/>
      </c>
      <c r="J23" s="21" t="inlineStr">
        <is>
          <t>Programada</t>
        </is>
      </c>
      <c r="K23" s="20">
        <f>IF(B23="","",IFERROR(VLOOKUP(B23,Proveedores!$B$6:$I$105,8,FALSE),""))</f>
        <v/>
      </c>
      <c r="L23" s="47" t="n">
        <v>950</v>
      </c>
      <c r="M23" s="26" t="n">
        <v>0.21</v>
      </c>
      <c r="N23" s="48">
        <f>IF(L23="","",L23*M23)</f>
        <v/>
      </c>
      <c r="O23" s="26" t="n">
        <v>0</v>
      </c>
      <c r="P23" s="48">
        <f>IF(L23="","",L23*O23)</f>
        <v/>
      </c>
      <c r="Q23" s="48">
        <f>IF(L23="","",L23+N23-P23)</f>
        <v/>
      </c>
      <c r="R23" s="47" t="n">
        <v>0</v>
      </c>
      <c r="S23" s="48">
        <f>IF(Q23="","",MAX(Q23-R23,0))</f>
        <v/>
      </c>
      <c r="T23" s="45" t="n"/>
      <c r="U23" s="23">
        <f>IF(I23="","",IF(S23&lt;=0,"",I23-TODAY()))</f>
        <v/>
      </c>
      <c r="V23" s="20">
        <f>IF(B23="","",IF(S23&lt;=0,"Liquidada",IF(U23&gt;=0,"0. En plazo",IF(U23&gt;=-30,"1. 1-30 venc.",IF(U23&gt;=-60,"2. 31-60 venc.",IF(U23&gt;=-90,"3. 61-90 venc.","4. +90 venc."))))))</f>
        <v/>
      </c>
      <c r="W23" s="20">
        <f>IF(B23="","",IF(X23="Sí","Duplicada",IF(S23&lt;=0,"OK",IF(U23&lt;0,"Vencida",IF(U23&lt;=7,"Vence &lt;=7 días",IF(U23&lt;=15,"Vence 8-15 días","En plazo"))))))</f>
        <v/>
      </c>
      <c r="X23" s="20">
        <f>IF(OR(B23="",D23=""),"",IF(COUNTIFS($B$7:$B$106,B23,$D$7:$D$106,D23)&gt;1,"Sí",""))</f>
        <v/>
      </c>
      <c r="Y23" s="21" t="inlineStr">
        <is>
          <t>Dirección</t>
        </is>
      </c>
      <c r="Z23" s="28">
        <f>IF(F23="","",DATE(YEAR(F23),MONTH(F23),1))</f>
        <v/>
      </c>
      <c r="AA23" s="21" t="inlineStr">
        <is>
          <t>Primera edición</t>
        </is>
      </c>
      <c r="AB23" s="23">
        <f>IF(OR(T23="",F23="",S23&gt;0),"",T23-F23)</f>
        <v/>
      </c>
    </row>
    <row r="24">
      <c r="A24" s="20">
        <f>IF(B24="","","AP-"&amp;TEXT(F24,"YYMM")&amp;"-"&amp;TEXT(ROW()-6,"000"))</f>
        <v/>
      </c>
      <c r="B24" s="21" t="inlineStr">
        <is>
          <t>Pórtico Consultoría Legal SL</t>
        </is>
      </c>
      <c r="C24" s="20">
        <f>IF(B24="","",IFERROR(VLOOKUP(B24,Proveedores!$B$6:$I$105,2,FALSE),""))</f>
        <v/>
      </c>
      <c r="D24" s="21" t="inlineStr">
        <is>
          <t>PCL-026-27</t>
        </is>
      </c>
      <c r="E24" s="21" t="inlineStr">
        <is>
          <t>Informe de compliance de proveedores</t>
        </is>
      </c>
      <c r="F24" s="45" t="n">
        <v>46117</v>
      </c>
      <c r="G24" s="45" t="n">
        <v>46118</v>
      </c>
      <c r="H24" s="23">
        <f>IF(B24="","",IFERROR(VLOOKUP(B24,Proveedores!$B$6:$I$105,7,FALSE),""))</f>
        <v/>
      </c>
      <c r="I24" s="46">
        <f>IF(OR(F24="",H24=""),"",F24+H24)</f>
        <v/>
      </c>
      <c r="J24" s="21" t="inlineStr">
        <is>
          <t>Bloqueada</t>
        </is>
      </c>
      <c r="K24" s="20">
        <f>IF(B24="","",IFERROR(VLOOKUP(B24,Proveedores!$B$6:$I$105,8,FALSE),""))</f>
        <v/>
      </c>
      <c r="L24" s="47" t="n">
        <v>780</v>
      </c>
      <c r="M24" s="26" t="n">
        <v>0.21</v>
      </c>
      <c r="N24" s="48">
        <f>IF(L24="","",L24*M24)</f>
        <v/>
      </c>
      <c r="O24" s="26" t="n">
        <v>0.15</v>
      </c>
      <c r="P24" s="48">
        <f>IF(L24="","",L24*O24)</f>
        <v/>
      </c>
      <c r="Q24" s="48">
        <f>IF(L24="","",L24+N24-P24)</f>
        <v/>
      </c>
      <c r="R24" s="47" t="n">
        <v>0</v>
      </c>
      <c r="S24" s="48">
        <f>IF(Q24="","",MAX(Q24-R24,0))</f>
        <v/>
      </c>
      <c r="T24" s="45" t="n"/>
      <c r="U24" s="23">
        <f>IF(I24="","",IF(S24&lt;=0,"",I24-TODAY()))</f>
        <v/>
      </c>
      <c r="V24" s="20">
        <f>IF(B24="","",IF(S24&lt;=0,"Liquidada",IF(U24&gt;=0,"0. En plazo",IF(U24&gt;=-30,"1. 1-30 venc.",IF(U24&gt;=-60,"2. 31-60 venc.",IF(U24&gt;=-90,"3. 61-90 venc.","4. +90 venc."))))))</f>
        <v/>
      </c>
      <c r="W24" s="20">
        <f>IF(B24="","",IF(X24="Sí","Duplicada",IF(S24&lt;=0,"OK",IF(U24&lt;0,"Vencida",IF(U24&lt;=7,"Vence &lt;=7 días",IF(U24&lt;=15,"Vence 8-15 días","En plazo"))))))</f>
        <v/>
      </c>
      <c r="X24" s="20">
        <f>IF(OR(B24="",D24=""),"",IF(COUNTIFS($B$7:$B$106,B24,$D$7:$D$106,D24)&gt;1,"Sí",""))</f>
        <v/>
      </c>
      <c r="Y24" s="21" t="inlineStr">
        <is>
          <t>Dirección</t>
        </is>
      </c>
      <c r="Z24" s="28">
        <f>IF(F24="","",DATE(YEAR(F24),MONTH(F24),1))</f>
        <v/>
      </c>
      <c r="AA24" s="21" t="inlineStr">
        <is>
          <t>Bloqueada hasta aprobación interna</t>
        </is>
      </c>
      <c r="AB24" s="23">
        <f>IF(OR(T24="",F24="",S24&gt;0),"",T24-F24)</f>
        <v/>
      </c>
    </row>
    <row r="25">
      <c r="A25" s="20">
        <f>IF(B25="","","AP-"&amp;TEXT(F25,"YYMM")&amp;"-"&amp;TEXT(ROW()-6,"000"))</f>
        <v/>
      </c>
      <c r="B25" s="21" t="inlineStr">
        <is>
          <t>Senda Energía Comercializadora SA</t>
        </is>
      </c>
      <c r="C25" s="20">
        <f>IF(B25="","",IFERROR(VLOOKUP(B25,Proveedores!$B$6:$I$105,2,FALSE),""))</f>
        <v/>
      </c>
      <c r="D25" s="21" t="inlineStr">
        <is>
          <t>SEC-04912</t>
        </is>
      </c>
      <c r="E25" s="21" t="inlineStr">
        <is>
          <t>Consumo electricidad marzo</t>
        </is>
      </c>
      <c r="F25" s="45" t="n">
        <v>46119</v>
      </c>
      <c r="G25" s="45" t="n">
        <v>46120</v>
      </c>
      <c r="H25" s="23">
        <f>IF(B25="","",IFERROR(VLOOKUP(B25,Proveedores!$B$6:$I$105,7,FALSE),""))</f>
        <v/>
      </c>
      <c r="I25" s="46">
        <f>IF(OR(F25="",H25=""),"",F25+H25)</f>
        <v/>
      </c>
      <c r="J25" s="21" t="inlineStr">
        <is>
          <t>Pendiente</t>
        </is>
      </c>
      <c r="K25" s="20">
        <f>IF(B25="","",IFERROR(VLOOKUP(B25,Proveedores!$B$6:$I$105,8,FALSE),""))</f>
        <v/>
      </c>
      <c r="L25" s="47" t="n">
        <v>1196</v>
      </c>
      <c r="M25" s="26" t="n">
        <v>0.21</v>
      </c>
      <c r="N25" s="48">
        <f>IF(L25="","",L25*M25)</f>
        <v/>
      </c>
      <c r="O25" s="26" t="n">
        <v>0</v>
      </c>
      <c r="P25" s="48">
        <f>IF(L25="","",L25*O25)</f>
        <v/>
      </c>
      <c r="Q25" s="48">
        <f>IF(L25="","",L25+N25-P25)</f>
        <v/>
      </c>
      <c r="R25" s="47" t="n">
        <v>0</v>
      </c>
      <c r="S25" s="48">
        <f>IF(Q25="","",MAX(Q25-R25,0))</f>
        <v/>
      </c>
      <c r="T25" s="45" t="n"/>
      <c r="U25" s="23">
        <f>IF(I25="","",IF(S25&lt;=0,"",I25-TODAY()))</f>
        <v/>
      </c>
      <c r="V25" s="20">
        <f>IF(B25="","",IF(S25&lt;=0,"Liquidada",IF(U25&gt;=0,"0. En plazo",IF(U25&gt;=-30,"1. 1-30 venc.",IF(U25&gt;=-60,"2. 31-60 venc.",IF(U25&gt;=-90,"3. 61-90 venc.","4. +90 venc."))))))</f>
        <v/>
      </c>
      <c r="W25" s="20">
        <f>IF(B25="","",IF(X25="Sí","Duplicada",IF(S25&lt;=0,"OK",IF(U25&lt;0,"Vencida",IF(U25&lt;=7,"Vence &lt;=7 días",IF(U25&lt;=15,"Vence 8-15 días","En plazo"))))))</f>
        <v/>
      </c>
      <c r="X25" s="20">
        <f>IF(OR(B25="",D25=""),"",IF(COUNTIFS($B$7:$B$106,B25,$D$7:$D$106,D25)&gt;1,"Sí",""))</f>
        <v/>
      </c>
      <c r="Y25" s="21" t="inlineStr">
        <is>
          <t>Administración</t>
        </is>
      </c>
      <c r="Z25" s="28">
        <f>IF(F25="","",DATE(YEAR(F25),MONTH(F25),1))</f>
        <v/>
      </c>
      <c r="AA25" s="21" t="inlineStr">
        <is>
          <t>Vence muy pronto</t>
        </is>
      </c>
      <c r="AB25" s="23">
        <f>IF(OR(T25="",F25="",S25&gt;0),"",T25-F25)</f>
        <v/>
      </c>
    </row>
    <row r="26">
      <c r="A26" s="20">
        <f>IF(B26="","","AP-"&amp;TEXT(F26,"YYMM")&amp;"-"&amp;TEXT(ROW()-6,"000"))</f>
        <v/>
      </c>
      <c r="B26" s="21" t="inlineStr">
        <is>
          <t>Taller Prisma Mobiliario SL</t>
        </is>
      </c>
      <c r="C26" s="20">
        <f>IF(B26="","",IFERROR(VLOOKUP(B26,Proveedores!$B$6:$I$105,2,FALSE),""))</f>
        <v/>
      </c>
      <c r="D26" s="21" t="inlineStr">
        <is>
          <t>TPM-779</t>
        </is>
      </c>
      <c r="E26" s="21" t="inlineStr">
        <is>
          <t>Armario modular de archivo</t>
        </is>
      </c>
      <c r="F26" s="45" t="n">
        <v>46121</v>
      </c>
      <c r="G26" s="45" t="n">
        <v>46122</v>
      </c>
      <c r="H26" s="23">
        <f>IF(B26="","",IFERROR(VLOOKUP(B26,Proveedores!$B$6:$I$105,7,FALSE),""))</f>
        <v/>
      </c>
      <c r="I26" s="46">
        <f>IF(OR(F26="",H26=""),"",F26+H26)</f>
        <v/>
      </c>
      <c r="J26" s="21" t="inlineStr">
        <is>
          <t>Pendiente</t>
        </is>
      </c>
      <c r="K26" s="20">
        <f>IF(B26="","",IFERROR(VLOOKUP(B26,Proveedores!$B$6:$I$105,8,FALSE),""))</f>
        <v/>
      </c>
      <c r="L26" s="47" t="n">
        <v>1780</v>
      </c>
      <c r="M26" s="26" t="n">
        <v>0.21</v>
      </c>
      <c r="N26" s="48">
        <f>IF(L26="","",L26*M26)</f>
        <v/>
      </c>
      <c r="O26" s="26" t="n">
        <v>0</v>
      </c>
      <c r="P26" s="48">
        <f>IF(L26="","",L26*O26)</f>
        <v/>
      </c>
      <c r="Q26" s="48">
        <f>IF(L26="","",L26+N26-P26)</f>
        <v/>
      </c>
      <c r="R26" s="47" t="n">
        <v>0</v>
      </c>
      <c r="S26" s="48">
        <f>IF(Q26="","",MAX(Q26-R26,0))</f>
        <v/>
      </c>
      <c r="T26" s="45" t="n"/>
      <c r="U26" s="23">
        <f>IF(I26="","",IF(S26&lt;=0,"",I26-TODAY()))</f>
        <v/>
      </c>
      <c r="V26" s="20">
        <f>IF(B26="","",IF(S26&lt;=0,"Liquidada",IF(U26&gt;=0,"0. En plazo",IF(U26&gt;=-30,"1. 1-30 venc.",IF(U26&gt;=-60,"2. 31-60 venc.",IF(U26&gt;=-90,"3. 61-90 venc.","4. +90 venc."))))))</f>
        <v/>
      </c>
      <c r="W26" s="20">
        <f>IF(B26="","",IF(X26="Sí","Duplicada",IF(S26&lt;=0,"OK",IF(U26&lt;0,"Vencida",IF(U26&lt;=7,"Vence &lt;=7 días",IF(U26&lt;=15,"Vence 8-15 días","En plazo"))))))</f>
        <v/>
      </c>
      <c r="X26" s="20">
        <f>IF(OR(B26="",D26=""),"",IF(COUNTIFS($B$7:$B$106,B26,$D$7:$D$106,D26)&gt;1,"Sí",""))</f>
        <v/>
      </c>
      <c r="Y26" s="21" t="inlineStr">
        <is>
          <t>Compras</t>
        </is>
      </c>
      <c r="Z26" s="28">
        <f>IF(F26="","",DATE(YEAR(F26),MONTH(F26),1))</f>
        <v/>
      </c>
      <c r="AA26" s="21" t="inlineStr">
        <is>
          <t>Instalación prevista la próxima semana</t>
        </is>
      </c>
      <c r="AB26" s="23">
        <f>IF(OR(T26="",F26="",S26&gt;0),"",T26-F26)</f>
        <v/>
      </c>
    </row>
    <row r="27">
      <c r="A27" s="20">
        <f>IF(B27="","","AP-"&amp;TEXT(F27,"YYMM")&amp;"-"&amp;TEXT(ROW()-6,"000"))</f>
        <v/>
      </c>
      <c r="B27" s="21" t="inlineStr">
        <is>
          <t>Acuarela Eventos Técnicos SL</t>
        </is>
      </c>
      <c r="C27" s="20">
        <f>IF(B27="","",IFERROR(VLOOKUP(B27,Proveedores!$B$6:$I$105,2,FALSE),""))</f>
        <v/>
      </c>
      <c r="D27" s="21" t="inlineStr">
        <is>
          <t>AET-097</t>
        </is>
      </c>
      <c r="E27" s="21" t="inlineStr">
        <is>
          <t>Señalética y montaje showroom</t>
        </is>
      </c>
      <c r="F27" s="45" t="n">
        <v>46123</v>
      </c>
      <c r="G27" s="45" t="n">
        <v>46124</v>
      </c>
      <c r="H27" s="23">
        <f>IF(B27="","",IFERROR(VLOOKUP(B27,Proveedores!$B$6:$I$105,7,FALSE),""))</f>
        <v/>
      </c>
      <c r="I27" s="46">
        <f>IF(OR(F27="",H27=""),"",F27+H27)</f>
        <v/>
      </c>
      <c r="J27" s="21" t="inlineStr">
        <is>
          <t>Revisar</t>
        </is>
      </c>
      <c r="K27" s="20">
        <f>IF(B27="","",IFERROR(VLOOKUP(B27,Proveedores!$B$6:$I$105,8,FALSE),""))</f>
        <v/>
      </c>
      <c r="L27" s="47" t="n">
        <v>840</v>
      </c>
      <c r="M27" s="26" t="n">
        <v>0.21</v>
      </c>
      <c r="N27" s="48">
        <f>IF(L27="","",L27*M27)</f>
        <v/>
      </c>
      <c r="O27" s="26" t="n">
        <v>0</v>
      </c>
      <c r="P27" s="48">
        <f>IF(L27="","",L27*O27)</f>
        <v/>
      </c>
      <c r="Q27" s="48">
        <f>IF(L27="","",L27+N27-P27)</f>
        <v/>
      </c>
      <c r="R27" s="47" t="n">
        <v>0</v>
      </c>
      <c r="S27" s="48">
        <f>IF(Q27="","",MAX(Q27-R27,0))</f>
        <v/>
      </c>
      <c r="T27" s="45" t="n"/>
      <c r="U27" s="23">
        <f>IF(I27="","",IF(S27&lt;=0,"",I27-TODAY()))</f>
        <v/>
      </c>
      <c r="V27" s="20">
        <f>IF(B27="","",IF(S27&lt;=0,"Liquidada",IF(U27&gt;=0,"0. En plazo",IF(U27&gt;=-30,"1. 1-30 venc.",IF(U27&gt;=-60,"2. 31-60 venc.",IF(U27&gt;=-90,"3. 61-90 venc.","4. +90 venc."))))))</f>
        <v/>
      </c>
      <c r="W27" s="20">
        <f>IF(B27="","",IF(X27="Sí","Duplicada",IF(S27&lt;=0,"OK",IF(U27&lt;0,"Vencida",IF(U27&lt;=7,"Vence &lt;=7 días",IF(U27&lt;=15,"Vence 8-15 días","En plazo"))))))</f>
        <v/>
      </c>
      <c r="X27" s="20">
        <f>IF(OR(B27="",D27=""),"",IF(COUNTIFS($B$7:$B$106,B27,$D$7:$D$106,D27)&gt;1,"Sí",""))</f>
        <v/>
      </c>
      <c r="Y27" s="21" t="inlineStr">
        <is>
          <t>Proyectos</t>
        </is>
      </c>
      <c r="Z27" s="28">
        <f>IF(F27="","",DATE(YEAR(F27),MONTH(F27),1))</f>
        <v/>
      </c>
      <c r="AA27" s="21" t="inlineStr">
        <is>
          <t>Pendiente validar medición final</t>
        </is>
      </c>
      <c r="AB27" s="23">
        <f>IF(OR(T27="",F27="",S27&gt;0),"",T27-F27)</f>
        <v/>
      </c>
    </row>
    <row r="28">
      <c r="A28" s="20">
        <f>IF(B28="","","AP-"&amp;TEXT(F28,"YYMM")&amp;"-"&amp;TEXT(ROW()-6,"000"))</f>
        <v/>
      </c>
      <c r="B28" s="21" t="inlineStr">
        <is>
          <t>Brisa Creativa Estudio SL</t>
        </is>
      </c>
      <c r="C28" s="20">
        <f>IF(B28="","",IFERROR(VLOOKUP(B28,Proveedores!$B$6:$I$105,2,FALSE),""))</f>
        <v/>
      </c>
      <c r="D28" s="21" t="inlineStr">
        <is>
          <t>BCE-2404-C</t>
        </is>
      </c>
      <c r="E28" s="21" t="inlineStr">
        <is>
          <t>Producción creativa de webinar</t>
        </is>
      </c>
      <c r="F28" s="45" t="n">
        <v>46124</v>
      </c>
      <c r="G28" s="45" t="n">
        <v>46125</v>
      </c>
      <c r="H28" s="23">
        <f>IF(B28="","",IFERROR(VLOOKUP(B28,Proveedores!$B$6:$I$105,7,FALSE),""))</f>
        <v/>
      </c>
      <c r="I28" s="46">
        <f>IF(OR(F28="",H28=""),"",F28+H28)</f>
        <v/>
      </c>
      <c r="J28" s="21" t="inlineStr">
        <is>
          <t>Pendiente</t>
        </is>
      </c>
      <c r="K28" s="20">
        <f>IF(B28="","",IFERROR(VLOOKUP(B28,Proveedores!$B$6:$I$105,8,FALSE),""))</f>
        <v/>
      </c>
      <c r="L28" s="47" t="n">
        <v>920</v>
      </c>
      <c r="M28" s="26" t="n">
        <v>0.21</v>
      </c>
      <c r="N28" s="48">
        <f>IF(L28="","",L28*M28)</f>
        <v/>
      </c>
      <c r="O28" s="26" t="n">
        <v>0</v>
      </c>
      <c r="P28" s="48">
        <f>IF(L28="","",L28*O28)</f>
        <v/>
      </c>
      <c r="Q28" s="48">
        <f>IF(L28="","",L28+N28-P28)</f>
        <v/>
      </c>
      <c r="R28" s="47" t="n">
        <v>0</v>
      </c>
      <c r="S28" s="48">
        <f>IF(Q28="","",MAX(Q28-R28,0))</f>
        <v/>
      </c>
      <c r="T28" s="45" t="n"/>
      <c r="U28" s="23">
        <f>IF(I28="","",IF(S28&lt;=0,"",I28-TODAY()))</f>
        <v/>
      </c>
      <c r="V28" s="20">
        <f>IF(B28="","",IF(S28&lt;=0,"Liquidada",IF(U28&gt;=0,"0. En plazo",IF(U28&gt;=-30,"1. 1-30 venc.",IF(U28&gt;=-60,"2. 31-60 venc.",IF(U28&gt;=-90,"3. 61-90 venc.","4. +90 venc."))))))</f>
        <v/>
      </c>
      <c r="W28" s="20">
        <f>IF(B28="","",IF(X28="Sí","Duplicada",IF(S28&lt;=0,"OK",IF(U28&lt;0,"Vencida",IF(U28&lt;=7,"Vence &lt;=7 días",IF(U28&lt;=15,"Vence 8-15 días","En plazo"))))))</f>
        <v/>
      </c>
      <c r="X28" s="20">
        <f>IF(OR(B28="",D28=""),"",IF(COUNTIFS($B$7:$B$106,B28,$D$7:$D$106,D28)&gt;1,"Sí",""))</f>
        <v/>
      </c>
      <c r="Y28" s="21" t="inlineStr">
        <is>
          <t>Marketing</t>
        </is>
      </c>
      <c r="Z28" s="28">
        <f>IF(F28="","",DATE(YEAR(F28),MONTH(F28),1))</f>
        <v/>
      </c>
      <c r="AA28" s="21" t="inlineStr">
        <is>
          <t>Pendiente conformidad</t>
        </is>
      </c>
      <c r="AB28" s="23">
        <f>IF(OR(T28="",F28="",S28&gt;0),"",T28-F28)</f>
        <v/>
      </c>
    </row>
    <row r="29">
      <c r="A29" s="20">
        <f>IF(B29="","","AP-"&amp;TEXT(F29,"YYMM")&amp;"-"&amp;TEXT(ROW()-6,"000"))</f>
        <v/>
      </c>
      <c r="B29" s="21" t="inlineStr">
        <is>
          <t>Lumen Oficina Integral SL</t>
        </is>
      </c>
      <c r="C29" s="20">
        <f>IF(B29="","",IFERROR(VLOOKUP(B29,Proveedores!$B$6:$I$105,2,FALSE),""))</f>
        <v/>
      </c>
      <c r="D29" s="21" t="inlineStr">
        <is>
          <t>LOI-1205</t>
        </is>
      </c>
      <c r="E29" s="21" t="inlineStr">
        <is>
          <t>Reposición de sillas para visitas</t>
        </is>
      </c>
      <c r="F29" s="45" t="n">
        <v>46126</v>
      </c>
      <c r="G29" s="45" t="n">
        <v>46127</v>
      </c>
      <c r="H29" s="23">
        <f>IF(B29="","",IFERROR(VLOOKUP(B29,Proveedores!$B$6:$I$105,7,FALSE),""))</f>
        <v/>
      </c>
      <c r="I29" s="46">
        <f>IF(OR(F29="",H29=""),"",F29+H29)</f>
        <v/>
      </c>
      <c r="J29" s="21" t="inlineStr">
        <is>
          <t>Pendiente</t>
        </is>
      </c>
      <c r="K29" s="20">
        <f>IF(B29="","",IFERROR(VLOOKUP(B29,Proveedores!$B$6:$I$105,8,FALSE),""))</f>
        <v/>
      </c>
      <c r="L29" s="47" t="n">
        <v>560</v>
      </c>
      <c r="M29" s="26" t="n">
        <v>0.21</v>
      </c>
      <c r="N29" s="48">
        <f>IF(L29="","",L29*M29)</f>
        <v/>
      </c>
      <c r="O29" s="26" t="n">
        <v>0</v>
      </c>
      <c r="P29" s="48">
        <f>IF(L29="","",L29*O29)</f>
        <v/>
      </c>
      <c r="Q29" s="48">
        <f>IF(L29="","",L29+N29-P29)</f>
        <v/>
      </c>
      <c r="R29" s="47" t="n">
        <v>0</v>
      </c>
      <c r="S29" s="48">
        <f>IF(Q29="","",MAX(Q29-R29,0))</f>
        <v/>
      </c>
      <c r="T29" s="45" t="n"/>
      <c r="U29" s="23">
        <f>IF(I29="","",IF(S29&lt;=0,"",I29-TODAY()))</f>
        <v/>
      </c>
      <c r="V29" s="20">
        <f>IF(B29="","",IF(S29&lt;=0,"Liquidada",IF(U29&gt;=0,"0. En plazo",IF(U29&gt;=-30,"1. 1-30 venc.",IF(U29&gt;=-60,"2. 31-60 venc.",IF(U29&gt;=-90,"3. 61-90 venc.","4. +90 venc."))))))</f>
        <v/>
      </c>
      <c r="W29" s="20">
        <f>IF(B29="","",IF(X29="Sí","Duplicada",IF(S29&lt;=0,"OK",IF(U29&lt;0,"Vencida",IF(U29&lt;=7,"Vence &lt;=7 días",IF(U29&lt;=15,"Vence 8-15 días","En plazo"))))))</f>
        <v/>
      </c>
      <c r="X29" s="20">
        <f>IF(OR(B29="",D29=""),"",IF(COUNTIFS($B$7:$B$106,B29,$D$7:$D$106,D29)&gt;1,"Sí",""))</f>
        <v/>
      </c>
      <c r="Y29" s="21" t="inlineStr">
        <is>
          <t>Compras</t>
        </is>
      </c>
      <c r="Z29" s="28">
        <f>IF(F29="","",DATE(YEAR(F29),MONTH(F29),1))</f>
        <v/>
      </c>
      <c r="AA29" s="21" t="inlineStr">
        <is>
          <t>Pedido ya entregado</t>
        </is>
      </c>
      <c r="AB29" s="23">
        <f>IF(OR(T29="",F29="",S29&gt;0),"",T29-F29)</f>
        <v/>
      </c>
    </row>
    <row r="30">
      <c r="A30" s="20">
        <f>IF(B30="","","AP-"&amp;TEXT(F30,"YYMM")&amp;"-"&amp;TEXT(ROW()-6,"000"))</f>
        <v/>
      </c>
      <c r="B30" s="21" t="inlineStr">
        <is>
          <t>Delta Logística Regional SL</t>
        </is>
      </c>
      <c r="C30" s="20">
        <f>IF(B30="","",IFERROR(VLOOKUP(B30,Proveedores!$B$6:$I$105,2,FALSE),""))</f>
        <v/>
      </c>
      <c r="D30" s="21" t="inlineStr">
        <is>
          <t>DLR-5600</t>
        </is>
      </c>
      <c r="E30" s="21" t="inlineStr">
        <is>
          <t>Rutas de distribución abril</t>
        </is>
      </c>
      <c r="F30" s="45" t="n">
        <v>46127</v>
      </c>
      <c r="G30" s="45" t="n">
        <v>46128</v>
      </c>
      <c r="H30" s="23">
        <f>IF(B30="","",IFERROR(VLOOKUP(B30,Proveedores!$B$6:$I$105,7,FALSE),""))</f>
        <v/>
      </c>
      <c r="I30" s="46">
        <f>IF(OR(F30="",H30=""),"",F30+H30)</f>
        <v/>
      </c>
      <c r="J30" s="21" t="inlineStr">
        <is>
          <t>Programada</t>
        </is>
      </c>
      <c r="K30" s="20">
        <f>IF(B30="","",IFERROR(VLOOKUP(B30,Proveedores!$B$6:$I$105,8,FALSE),""))</f>
        <v/>
      </c>
      <c r="L30" s="47" t="n">
        <v>2510</v>
      </c>
      <c r="M30" s="26" t="n">
        <v>0.21</v>
      </c>
      <c r="N30" s="48">
        <f>IF(L30="","",L30*M30)</f>
        <v/>
      </c>
      <c r="O30" s="26" t="n">
        <v>0</v>
      </c>
      <c r="P30" s="48">
        <f>IF(L30="","",L30*O30)</f>
        <v/>
      </c>
      <c r="Q30" s="48">
        <f>IF(L30="","",L30+N30-P30)</f>
        <v/>
      </c>
      <c r="R30" s="47" t="n">
        <v>0</v>
      </c>
      <c r="S30" s="48">
        <f>IF(Q30="","",MAX(Q30-R30,0))</f>
        <v/>
      </c>
      <c r="T30" s="45" t="n"/>
      <c r="U30" s="23">
        <f>IF(I30="","",IF(S30&lt;=0,"",I30-TODAY()))</f>
        <v/>
      </c>
      <c r="V30" s="20">
        <f>IF(B30="","",IF(S30&lt;=0,"Liquidada",IF(U30&gt;=0,"0. En plazo",IF(U30&gt;=-30,"1. 1-30 venc.",IF(U30&gt;=-60,"2. 31-60 venc.",IF(U30&gt;=-90,"3. 61-90 venc.","4. +90 venc."))))))</f>
        <v/>
      </c>
      <c r="W30" s="20">
        <f>IF(B30="","",IF(X30="Sí","Duplicada",IF(S30&lt;=0,"OK",IF(U30&lt;0,"Vencida",IF(U30&lt;=7,"Vence &lt;=7 días",IF(U30&lt;=15,"Vence 8-15 días","En plazo"))))))</f>
        <v/>
      </c>
      <c r="X30" s="20">
        <f>IF(OR(B30="",D30=""),"",IF(COUNTIFS($B$7:$B$106,B30,$D$7:$D$106,D30)&gt;1,"Sí",""))</f>
        <v/>
      </c>
      <c r="Y30" s="21" t="inlineStr">
        <is>
          <t>Operaciones</t>
        </is>
      </c>
      <c r="Z30" s="28">
        <f>IF(F30="","",DATE(YEAR(F30),MONTH(F30),1))</f>
        <v/>
      </c>
      <c r="AA30" s="21" t="inlineStr">
        <is>
          <t>Planificada en remesa mayo</t>
        </is>
      </c>
      <c r="AB30" s="23">
        <f>IF(OR(T30="",F30="",S30&gt;0),"",T30-F30)</f>
        <v/>
      </c>
    </row>
    <row r="31">
      <c r="A31" s="20">
        <f>IF(B31="","","AP-"&amp;TEXT(F31,"YYMM")&amp;"-"&amp;TEXT(ROW()-6,"000"))</f>
        <v/>
      </c>
      <c r="B31" s="21" t="n"/>
      <c r="C31" s="20">
        <f>IF(B31="","",IFERROR(VLOOKUP(B31,Proveedores!$B$6:$I$105,2,FALSE),""))</f>
        <v/>
      </c>
      <c r="D31" s="21" t="n"/>
      <c r="E31" s="21" t="n"/>
      <c r="F31" s="45" t="n"/>
      <c r="G31" s="45" t="n"/>
      <c r="H31" s="23">
        <f>IF(B31="","",IFERROR(VLOOKUP(B31,Proveedores!$B$6:$I$105,7,FALSE),""))</f>
        <v/>
      </c>
      <c r="I31" s="46">
        <f>IF(OR(F31="",H31=""),"",F31+H31)</f>
        <v/>
      </c>
      <c r="J31" s="21" t="n"/>
      <c r="K31" s="20">
        <f>IF(B31="","",IFERROR(VLOOKUP(B31,Proveedores!$B$6:$I$105,8,FALSE),""))</f>
        <v/>
      </c>
      <c r="L31" s="47" t="n"/>
      <c r="M31" s="26" t="n"/>
      <c r="N31" s="48">
        <f>IF(L31="","",L31*M31)</f>
        <v/>
      </c>
      <c r="O31" s="26" t="n"/>
      <c r="P31" s="48">
        <f>IF(L31="","",L31*O31)</f>
        <v/>
      </c>
      <c r="Q31" s="48">
        <f>IF(L31="","",L31+N31-P31)</f>
        <v/>
      </c>
      <c r="R31" s="47" t="n"/>
      <c r="S31" s="48">
        <f>IF(Q31="","",MAX(Q31-R31,0))</f>
        <v/>
      </c>
      <c r="T31" s="45" t="n"/>
      <c r="U31" s="23">
        <f>IF(I31="","",IF(S31&lt;=0,"",I31-TODAY()))</f>
        <v/>
      </c>
      <c r="V31" s="20">
        <f>IF(B31="","",IF(S31&lt;=0,"Liquidada",IF(U31&gt;=0,"0. En plazo",IF(U31&gt;=-30,"1. 1-30 venc.",IF(U31&gt;=-60,"2. 31-60 venc.",IF(U31&gt;=-90,"3. 61-90 venc.","4. +90 venc."))))))</f>
        <v/>
      </c>
      <c r="W31" s="20">
        <f>IF(B31="","",IF(X31="Sí","Duplicada",IF(S31&lt;=0,"OK",IF(U31&lt;0,"Vencida",IF(U31&lt;=7,"Vence &lt;=7 días",IF(U31&lt;=15,"Vence 8-15 días","En plazo"))))))</f>
        <v/>
      </c>
      <c r="X31" s="20">
        <f>IF(OR(B31="",D31=""),"",IF(COUNTIFS($B$7:$B$106,B31,$D$7:$D$106,D31)&gt;1,"Sí",""))</f>
        <v/>
      </c>
      <c r="Y31" s="21" t="n"/>
      <c r="Z31" s="28">
        <f>IF(F31="","",DATE(YEAR(F31),MONTH(F31),1))</f>
        <v/>
      </c>
      <c r="AA31" s="21" t="n"/>
      <c r="AB31" s="23">
        <f>IF(OR(T31="",F31="",S31&gt;0),"",T31-F31)</f>
        <v/>
      </c>
    </row>
    <row r="32">
      <c r="A32" s="20">
        <f>IF(B32="","","AP-"&amp;TEXT(F32,"YYMM")&amp;"-"&amp;TEXT(ROW()-6,"000"))</f>
        <v/>
      </c>
      <c r="B32" s="21" t="n"/>
      <c r="C32" s="20">
        <f>IF(B32="","",IFERROR(VLOOKUP(B32,Proveedores!$B$6:$I$105,2,FALSE),""))</f>
        <v/>
      </c>
      <c r="D32" s="21" t="n"/>
      <c r="E32" s="21" t="n"/>
      <c r="F32" s="45" t="n"/>
      <c r="G32" s="45" t="n"/>
      <c r="H32" s="23">
        <f>IF(B32="","",IFERROR(VLOOKUP(B32,Proveedores!$B$6:$I$105,7,FALSE),""))</f>
        <v/>
      </c>
      <c r="I32" s="46">
        <f>IF(OR(F32="",H32=""),"",F32+H32)</f>
        <v/>
      </c>
      <c r="J32" s="21" t="n"/>
      <c r="K32" s="20">
        <f>IF(B32="","",IFERROR(VLOOKUP(B32,Proveedores!$B$6:$I$105,8,FALSE),""))</f>
        <v/>
      </c>
      <c r="L32" s="47" t="n"/>
      <c r="M32" s="26" t="n"/>
      <c r="N32" s="48">
        <f>IF(L32="","",L32*M32)</f>
        <v/>
      </c>
      <c r="O32" s="26" t="n"/>
      <c r="P32" s="48">
        <f>IF(L32="","",L32*O32)</f>
        <v/>
      </c>
      <c r="Q32" s="48">
        <f>IF(L32="","",L32+N32-P32)</f>
        <v/>
      </c>
      <c r="R32" s="47" t="n"/>
      <c r="S32" s="48">
        <f>IF(Q32="","",MAX(Q32-R32,0))</f>
        <v/>
      </c>
      <c r="T32" s="45" t="n"/>
      <c r="U32" s="23">
        <f>IF(I32="","",IF(S32&lt;=0,"",I32-TODAY()))</f>
        <v/>
      </c>
      <c r="V32" s="20">
        <f>IF(B32="","",IF(S32&lt;=0,"Liquidada",IF(U32&gt;=0,"0. En plazo",IF(U32&gt;=-30,"1. 1-30 venc.",IF(U32&gt;=-60,"2. 31-60 venc.",IF(U32&gt;=-90,"3. 61-90 venc.","4. +90 venc."))))))</f>
        <v/>
      </c>
      <c r="W32" s="20">
        <f>IF(B32="","",IF(X32="Sí","Duplicada",IF(S32&lt;=0,"OK",IF(U32&lt;0,"Vencida",IF(U32&lt;=7,"Vence &lt;=7 días",IF(U32&lt;=15,"Vence 8-15 días","En plazo"))))))</f>
        <v/>
      </c>
      <c r="X32" s="20">
        <f>IF(OR(B32="",D32=""),"",IF(COUNTIFS($B$7:$B$106,B32,$D$7:$D$106,D32)&gt;1,"Sí",""))</f>
        <v/>
      </c>
      <c r="Y32" s="21" t="n"/>
      <c r="Z32" s="28">
        <f>IF(F32="","",DATE(YEAR(F32),MONTH(F32),1))</f>
        <v/>
      </c>
      <c r="AA32" s="21" t="n"/>
      <c r="AB32" s="23">
        <f>IF(OR(T32="",F32="",S32&gt;0),"",T32-F32)</f>
        <v/>
      </c>
    </row>
    <row r="33">
      <c r="A33" s="20">
        <f>IF(B33="","","AP-"&amp;TEXT(F33,"YYMM")&amp;"-"&amp;TEXT(ROW()-6,"000"))</f>
        <v/>
      </c>
      <c r="B33" s="21" t="n"/>
      <c r="C33" s="20">
        <f>IF(B33="","",IFERROR(VLOOKUP(B33,Proveedores!$B$6:$I$105,2,FALSE),""))</f>
        <v/>
      </c>
      <c r="D33" s="21" t="n"/>
      <c r="E33" s="21" t="n"/>
      <c r="F33" s="45" t="n"/>
      <c r="G33" s="45" t="n"/>
      <c r="H33" s="23">
        <f>IF(B33="","",IFERROR(VLOOKUP(B33,Proveedores!$B$6:$I$105,7,FALSE),""))</f>
        <v/>
      </c>
      <c r="I33" s="46">
        <f>IF(OR(F33="",H33=""),"",F33+H33)</f>
        <v/>
      </c>
      <c r="J33" s="21" t="n"/>
      <c r="K33" s="20">
        <f>IF(B33="","",IFERROR(VLOOKUP(B33,Proveedores!$B$6:$I$105,8,FALSE),""))</f>
        <v/>
      </c>
      <c r="L33" s="47" t="n"/>
      <c r="M33" s="26" t="n"/>
      <c r="N33" s="48">
        <f>IF(L33="","",L33*M33)</f>
        <v/>
      </c>
      <c r="O33" s="26" t="n"/>
      <c r="P33" s="48">
        <f>IF(L33="","",L33*O33)</f>
        <v/>
      </c>
      <c r="Q33" s="48">
        <f>IF(L33="","",L33+N33-P33)</f>
        <v/>
      </c>
      <c r="R33" s="47" t="n"/>
      <c r="S33" s="48">
        <f>IF(Q33="","",MAX(Q33-R33,0))</f>
        <v/>
      </c>
      <c r="T33" s="45" t="n"/>
      <c r="U33" s="23">
        <f>IF(I33="","",IF(S33&lt;=0,"",I33-TODAY()))</f>
        <v/>
      </c>
      <c r="V33" s="20">
        <f>IF(B33="","",IF(S33&lt;=0,"Liquidada",IF(U33&gt;=0,"0. En plazo",IF(U33&gt;=-30,"1. 1-30 venc.",IF(U33&gt;=-60,"2. 31-60 venc.",IF(U33&gt;=-90,"3. 61-90 venc.","4. +90 venc."))))))</f>
        <v/>
      </c>
      <c r="W33" s="20">
        <f>IF(B33="","",IF(X33="Sí","Duplicada",IF(S33&lt;=0,"OK",IF(U33&lt;0,"Vencida",IF(U33&lt;=7,"Vence &lt;=7 días",IF(U33&lt;=15,"Vence 8-15 días","En plazo"))))))</f>
        <v/>
      </c>
      <c r="X33" s="20">
        <f>IF(OR(B33="",D33=""),"",IF(COUNTIFS($B$7:$B$106,B33,$D$7:$D$106,D33)&gt;1,"Sí",""))</f>
        <v/>
      </c>
      <c r="Y33" s="21" t="n"/>
      <c r="Z33" s="28">
        <f>IF(F33="","",DATE(YEAR(F33),MONTH(F33),1))</f>
        <v/>
      </c>
      <c r="AA33" s="21" t="n"/>
      <c r="AB33" s="23">
        <f>IF(OR(T33="",F33="",S33&gt;0),"",T33-F33)</f>
        <v/>
      </c>
    </row>
    <row r="34">
      <c r="A34" s="20">
        <f>IF(B34="","","AP-"&amp;TEXT(F34,"YYMM")&amp;"-"&amp;TEXT(ROW()-6,"000"))</f>
        <v/>
      </c>
      <c r="B34" s="21" t="n"/>
      <c r="C34" s="20">
        <f>IF(B34="","",IFERROR(VLOOKUP(B34,Proveedores!$B$6:$I$105,2,FALSE),""))</f>
        <v/>
      </c>
      <c r="D34" s="21" t="n"/>
      <c r="E34" s="21" t="n"/>
      <c r="F34" s="45" t="n"/>
      <c r="G34" s="45" t="n"/>
      <c r="H34" s="23">
        <f>IF(B34="","",IFERROR(VLOOKUP(B34,Proveedores!$B$6:$I$105,7,FALSE),""))</f>
        <v/>
      </c>
      <c r="I34" s="46">
        <f>IF(OR(F34="",H34=""),"",F34+H34)</f>
        <v/>
      </c>
      <c r="J34" s="21" t="n"/>
      <c r="K34" s="20">
        <f>IF(B34="","",IFERROR(VLOOKUP(B34,Proveedores!$B$6:$I$105,8,FALSE),""))</f>
        <v/>
      </c>
      <c r="L34" s="47" t="n"/>
      <c r="M34" s="26" t="n"/>
      <c r="N34" s="48">
        <f>IF(L34="","",L34*M34)</f>
        <v/>
      </c>
      <c r="O34" s="26" t="n"/>
      <c r="P34" s="48">
        <f>IF(L34="","",L34*O34)</f>
        <v/>
      </c>
      <c r="Q34" s="48">
        <f>IF(L34="","",L34+N34-P34)</f>
        <v/>
      </c>
      <c r="R34" s="47" t="n"/>
      <c r="S34" s="48">
        <f>IF(Q34="","",MAX(Q34-R34,0))</f>
        <v/>
      </c>
      <c r="T34" s="45" t="n"/>
      <c r="U34" s="23">
        <f>IF(I34="","",IF(S34&lt;=0,"",I34-TODAY()))</f>
        <v/>
      </c>
      <c r="V34" s="20">
        <f>IF(B34="","",IF(S34&lt;=0,"Liquidada",IF(U34&gt;=0,"0. En plazo",IF(U34&gt;=-30,"1. 1-30 venc.",IF(U34&gt;=-60,"2. 31-60 venc.",IF(U34&gt;=-90,"3. 61-90 venc.","4. +90 venc."))))))</f>
        <v/>
      </c>
      <c r="W34" s="20">
        <f>IF(B34="","",IF(X34="Sí","Duplicada",IF(S34&lt;=0,"OK",IF(U34&lt;0,"Vencida",IF(U34&lt;=7,"Vence &lt;=7 días",IF(U34&lt;=15,"Vence 8-15 días","En plazo"))))))</f>
        <v/>
      </c>
      <c r="X34" s="20">
        <f>IF(OR(B34="",D34=""),"",IF(COUNTIFS($B$7:$B$106,B34,$D$7:$D$106,D34)&gt;1,"Sí",""))</f>
        <v/>
      </c>
      <c r="Y34" s="21" t="n"/>
      <c r="Z34" s="28">
        <f>IF(F34="","",DATE(YEAR(F34),MONTH(F34),1))</f>
        <v/>
      </c>
      <c r="AA34" s="21" t="n"/>
      <c r="AB34" s="23">
        <f>IF(OR(T34="",F34="",S34&gt;0),"",T34-F34)</f>
        <v/>
      </c>
    </row>
    <row r="35">
      <c r="A35" s="20">
        <f>IF(B35="","","AP-"&amp;TEXT(F35,"YYMM")&amp;"-"&amp;TEXT(ROW()-6,"000"))</f>
        <v/>
      </c>
      <c r="B35" s="21" t="n"/>
      <c r="C35" s="20">
        <f>IF(B35="","",IFERROR(VLOOKUP(B35,Proveedores!$B$6:$I$105,2,FALSE),""))</f>
        <v/>
      </c>
      <c r="D35" s="21" t="n"/>
      <c r="E35" s="21" t="n"/>
      <c r="F35" s="45" t="n"/>
      <c r="G35" s="45" t="n"/>
      <c r="H35" s="23">
        <f>IF(B35="","",IFERROR(VLOOKUP(B35,Proveedores!$B$6:$I$105,7,FALSE),""))</f>
        <v/>
      </c>
      <c r="I35" s="46">
        <f>IF(OR(F35="",H35=""),"",F35+H35)</f>
        <v/>
      </c>
      <c r="J35" s="21" t="n"/>
      <c r="K35" s="20">
        <f>IF(B35="","",IFERROR(VLOOKUP(B35,Proveedores!$B$6:$I$105,8,FALSE),""))</f>
        <v/>
      </c>
      <c r="L35" s="47" t="n"/>
      <c r="M35" s="26" t="n"/>
      <c r="N35" s="48">
        <f>IF(L35="","",L35*M35)</f>
        <v/>
      </c>
      <c r="O35" s="26" t="n"/>
      <c r="P35" s="48">
        <f>IF(L35="","",L35*O35)</f>
        <v/>
      </c>
      <c r="Q35" s="48">
        <f>IF(L35="","",L35+N35-P35)</f>
        <v/>
      </c>
      <c r="R35" s="47" t="n"/>
      <c r="S35" s="48">
        <f>IF(Q35="","",MAX(Q35-R35,0))</f>
        <v/>
      </c>
      <c r="T35" s="45" t="n"/>
      <c r="U35" s="23">
        <f>IF(I35="","",IF(S35&lt;=0,"",I35-TODAY()))</f>
        <v/>
      </c>
      <c r="V35" s="20">
        <f>IF(B35="","",IF(S35&lt;=0,"Liquidada",IF(U35&gt;=0,"0. En plazo",IF(U35&gt;=-30,"1. 1-30 venc.",IF(U35&gt;=-60,"2. 31-60 venc.",IF(U35&gt;=-90,"3. 61-90 venc.","4. +90 venc."))))))</f>
        <v/>
      </c>
      <c r="W35" s="20">
        <f>IF(B35="","",IF(X35="Sí","Duplicada",IF(S35&lt;=0,"OK",IF(U35&lt;0,"Vencida",IF(U35&lt;=7,"Vence &lt;=7 días",IF(U35&lt;=15,"Vence 8-15 días","En plazo"))))))</f>
        <v/>
      </c>
      <c r="X35" s="20">
        <f>IF(OR(B35="",D35=""),"",IF(COUNTIFS($B$7:$B$106,B35,$D$7:$D$106,D35)&gt;1,"Sí",""))</f>
        <v/>
      </c>
      <c r="Y35" s="21" t="n"/>
      <c r="Z35" s="28">
        <f>IF(F35="","",DATE(YEAR(F35),MONTH(F35),1))</f>
        <v/>
      </c>
      <c r="AA35" s="21" t="n"/>
      <c r="AB35" s="23">
        <f>IF(OR(T35="",F35="",S35&gt;0),"",T35-F35)</f>
        <v/>
      </c>
    </row>
    <row r="36">
      <c r="A36" s="20">
        <f>IF(B36="","","AP-"&amp;TEXT(F36,"YYMM")&amp;"-"&amp;TEXT(ROW()-6,"000"))</f>
        <v/>
      </c>
      <c r="B36" s="21" t="n"/>
      <c r="C36" s="20">
        <f>IF(B36="","",IFERROR(VLOOKUP(B36,Proveedores!$B$6:$I$105,2,FALSE),""))</f>
        <v/>
      </c>
      <c r="D36" s="21" t="n"/>
      <c r="E36" s="21" t="n"/>
      <c r="F36" s="45" t="n"/>
      <c r="G36" s="45" t="n"/>
      <c r="H36" s="23">
        <f>IF(B36="","",IFERROR(VLOOKUP(B36,Proveedores!$B$6:$I$105,7,FALSE),""))</f>
        <v/>
      </c>
      <c r="I36" s="46">
        <f>IF(OR(F36="",H36=""),"",F36+H36)</f>
        <v/>
      </c>
      <c r="J36" s="21" t="n"/>
      <c r="K36" s="20">
        <f>IF(B36="","",IFERROR(VLOOKUP(B36,Proveedores!$B$6:$I$105,8,FALSE),""))</f>
        <v/>
      </c>
      <c r="L36" s="47" t="n"/>
      <c r="M36" s="26" t="n"/>
      <c r="N36" s="48">
        <f>IF(L36="","",L36*M36)</f>
        <v/>
      </c>
      <c r="O36" s="26" t="n"/>
      <c r="P36" s="48">
        <f>IF(L36="","",L36*O36)</f>
        <v/>
      </c>
      <c r="Q36" s="48">
        <f>IF(L36="","",L36+N36-P36)</f>
        <v/>
      </c>
      <c r="R36" s="47" t="n"/>
      <c r="S36" s="48">
        <f>IF(Q36="","",MAX(Q36-R36,0))</f>
        <v/>
      </c>
      <c r="T36" s="45" t="n"/>
      <c r="U36" s="23">
        <f>IF(I36="","",IF(S36&lt;=0,"",I36-TODAY()))</f>
        <v/>
      </c>
      <c r="V36" s="20">
        <f>IF(B36="","",IF(S36&lt;=0,"Liquidada",IF(U36&gt;=0,"0. En plazo",IF(U36&gt;=-30,"1. 1-30 venc.",IF(U36&gt;=-60,"2. 31-60 venc.",IF(U36&gt;=-90,"3. 61-90 venc.","4. +90 venc."))))))</f>
        <v/>
      </c>
      <c r="W36" s="20">
        <f>IF(B36="","",IF(X36="Sí","Duplicada",IF(S36&lt;=0,"OK",IF(U36&lt;0,"Vencida",IF(U36&lt;=7,"Vence &lt;=7 días",IF(U36&lt;=15,"Vence 8-15 días","En plazo"))))))</f>
        <v/>
      </c>
      <c r="X36" s="20">
        <f>IF(OR(B36="",D36=""),"",IF(COUNTIFS($B$7:$B$106,B36,$D$7:$D$106,D36)&gt;1,"Sí",""))</f>
        <v/>
      </c>
      <c r="Y36" s="21" t="n"/>
      <c r="Z36" s="28">
        <f>IF(F36="","",DATE(YEAR(F36),MONTH(F36),1))</f>
        <v/>
      </c>
      <c r="AA36" s="21" t="n"/>
      <c r="AB36" s="23">
        <f>IF(OR(T36="",F36="",S36&gt;0),"",T36-F36)</f>
        <v/>
      </c>
    </row>
    <row r="37">
      <c r="A37" s="20">
        <f>IF(B37="","","AP-"&amp;TEXT(F37,"YYMM")&amp;"-"&amp;TEXT(ROW()-6,"000"))</f>
        <v/>
      </c>
      <c r="B37" s="21" t="n"/>
      <c r="C37" s="20">
        <f>IF(B37="","",IFERROR(VLOOKUP(B37,Proveedores!$B$6:$I$105,2,FALSE),""))</f>
        <v/>
      </c>
      <c r="D37" s="21" t="n"/>
      <c r="E37" s="21" t="n"/>
      <c r="F37" s="45" t="n"/>
      <c r="G37" s="45" t="n"/>
      <c r="H37" s="23">
        <f>IF(B37="","",IFERROR(VLOOKUP(B37,Proveedores!$B$6:$I$105,7,FALSE),""))</f>
        <v/>
      </c>
      <c r="I37" s="46">
        <f>IF(OR(F37="",H37=""),"",F37+H37)</f>
        <v/>
      </c>
      <c r="J37" s="21" t="n"/>
      <c r="K37" s="20">
        <f>IF(B37="","",IFERROR(VLOOKUP(B37,Proveedores!$B$6:$I$105,8,FALSE),""))</f>
        <v/>
      </c>
      <c r="L37" s="47" t="n"/>
      <c r="M37" s="26" t="n"/>
      <c r="N37" s="48">
        <f>IF(L37="","",L37*M37)</f>
        <v/>
      </c>
      <c r="O37" s="26" t="n"/>
      <c r="P37" s="48">
        <f>IF(L37="","",L37*O37)</f>
        <v/>
      </c>
      <c r="Q37" s="48">
        <f>IF(L37="","",L37+N37-P37)</f>
        <v/>
      </c>
      <c r="R37" s="47" t="n"/>
      <c r="S37" s="48">
        <f>IF(Q37="","",MAX(Q37-R37,0))</f>
        <v/>
      </c>
      <c r="T37" s="45" t="n"/>
      <c r="U37" s="23">
        <f>IF(I37="","",IF(S37&lt;=0,"",I37-TODAY()))</f>
        <v/>
      </c>
      <c r="V37" s="20">
        <f>IF(B37="","",IF(S37&lt;=0,"Liquidada",IF(U37&gt;=0,"0. En plazo",IF(U37&gt;=-30,"1. 1-30 venc.",IF(U37&gt;=-60,"2. 31-60 venc.",IF(U37&gt;=-90,"3. 61-90 venc.","4. +90 venc."))))))</f>
        <v/>
      </c>
      <c r="W37" s="20">
        <f>IF(B37="","",IF(X37="Sí","Duplicada",IF(S37&lt;=0,"OK",IF(U37&lt;0,"Vencida",IF(U37&lt;=7,"Vence &lt;=7 días",IF(U37&lt;=15,"Vence 8-15 días","En plazo"))))))</f>
        <v/>
      </c>
      <c r="X37" s="20">
        <f>IF(OR(B37="",D37=""),"",IF(COUNTIFS($B$7:$B$106,B37,$D$7:$D$106,D37)&gt;1,"Sí",""))</f>
        <v/>
      </c>
      <c r="Y37" s="21" t="n"/>
      <c r="Z37" s="28">
        <f>IF(F37="","",DATE(YEAR(F37),MONTH(F37),1))</f>
        <v/>
      </c>
      <c r="AA37" s="21" t="n"/>
      <c r="AB37" s="23">
        <f>IF(OR(T37="",F37="",S37&gt;0),"",T37-F37)</f>
        <v/>
      </c>
    </row>
    <row r="38">
      <c r="A38" s="20">
        <f>IF(B38="","","AP-"&amp;TEXT(F38,"YYMM")&amp;"-"&amp;TEXT(ROW()-6,"000"))</f>
        <v/>
      </c>
      <c r="B38" s="21" t="n"/>
      <c r="C38" s="20">
        <f>IF(B38="","",IFERROR(VLOOKUP(B38,Proveedores!$B$6:$I$105,2,FALSE),""))</f>
        <v/>
      </c>
      <c r="D38" s="21" t="n"/>
      <c r="E38" s="21" t="n"/>
      <c r="F38" s="45" t="n"/>
      <c r="G38" s="45" t="n"/>
      <c r="H38" s="23">
        <f>IF(B38="","",IFERROR(VLOOKUP(B38,Proveedores!$B$6:$I$105,7,FALSE),""))</f>
        <v/>
      </c>
      <c r="I38" s="46">
        <f>IF(OR(F38="",H38=""),"",F38+H38)</f>
        <v/>
      </c>
      <c r="J38" s="21" t="n"/>
      <c r="K38" s="20">
        <f>IF(B38="","",IFERROR(VLOOKUP(B38,Proveedores!$B$6:$I$105,8,FALSE),""))</f>
        <v/>
      </c>
      <c r="L38" s="47" t="n"/>
      <c r="M38" s="26" t="n"/>
      <c r="N38" s="48">
        <f>IF(L38="","",L38*M38)</f>
        <v/>
      </c>
      <c r="O38" s="26" t="n"/>
      <c r="P38" s="48">
        <f>IF(L38="","",L38*O38)</f>
        <v/>
      </c>
      <c r="Q38" s="48">
        <f>IF(L38="","",L38+N38-P38)</f>
        <v/>
      </c>
      <c r="R38" s="47" t="n"/>
      <c r="S38" s="48">
        <f>IF(Q38="","",MAX(Q38-R38,0))</f>
        <v/>
      </c>
      <c r="T38" s="45" t="n"/>
      <c r="U38" s="23">
        <f>IF(I38="","",IF(S38&lt;=0,"",I38-TODAY()))</f>
        <v/>
      </c>
      <c r="V38" s="20">
        <f>IF(B38="","",IF(S38&lt;=0,"Liquidada",IF(U38&gt;=0,"0. En plazo",IF(U38&gt;=-30,"1. 1-30 venc.",IF(U38&gt;=-60,"2. 31-60 venc.",IF(U38&gt;=-90,"3. 61-90 venc.","4. +90 venc."))))))</f>
        <v/>
      </c>
      <c r="W38" s="20">
        <f>IF(B38="","",IF(X38="Sí","Duplicada",IF(S38&lt;=0,"OK",IF(U38&lt;0,"Vencida",IF(U38&lt;=7,"Vence &lt;=7 días",IF(U38&lt;=15,"Vence 8-15 días","En plazo"))))))</f>
        <v/>
      </c>
      <c r="X38" s="20">
        <f>IF(OR(B38="",D38=""),"",IF(COUNTIFS($B$7:$B$106,B38,$D$7:$D$106,D38)&gt;1,"Sí",""))</f>
        <v/>
      </c>
      <c r="Y38" s="21" t="n"/>
      <c r="Z38" s="28">
        <f>IF(F38="","",DATE(YEAR(F38),MONTH(F38),1))</f>
        <v/>
      </c>
      <c r="AA38" s="21" t="n"/>
      <c r="AB38" s="23">
        <f>IF(OR(T38="",F38="",S38&gt;0),"",T38-F38)</f>
        <v/>
      </c>
    </row>
    <row r="39">
      <c r="A39" s="20">
        <f>IF(B39="","","AP-"&amp;TEXT(F39,"YYMM")&amp;"-"&amp;TEXT(ROW()-6,"000"))</f>
        <v/>
      </c>
      <c r="B39" s="21" t="n"/>
      <c r="C39" s="20">
        <f>IF(B39="","",IFERROR(VLOOKUP(B39,Proveedores!$B$6:$I$105,2,FALSE),""))</f>
        <v/>
      </c>
      <c r="D39" s="21" t="n"/>
      <c r="E39" s="21" t="n"/>
      <c r="F39" s="45" t="n"/>
      <c r="G39" s="45" t="n"/>
      <c r="H39" s="23">
        <f>IF(B39="","",IFERROR(VLOOKUP(B39,Proveedores!$B$6:$I$105,7,FALSE),""))</f>
        <v/>
      </c>
      <c r="I39" s="46">
        <f>IF(OR(F39="",H39=""),"",F39+H39)</f>
        <v/>
      </c>
      <c r="J39" s="21" t="n"/>
      <c r="K39" s="20">
        <f>IF(B39="","",IFERROR(VLOOKUP(B39,Proveedores!$B$6:$I$105,8,FALSE),""))</f>
        <v/>
      </c>
      <c r="L39" s="47" t="n"/>
      <c r="M39" s="26" t="n"/>
      <c r="N39" s="48">
        <f>IF(L39="","",L39*M39)</f>
        <v/>
      </c>
      <c r="O39" s="26" t="n"/>
      <c r="P39" s="48">
        <f>IF(L39="","",L39*O39)</f>
        <v/>
      </c>
      <c r="Q39" s="48">
        <f>IF(L39="","",L39+N39-P39)</f>
        <v/>
      </c>
      <c r="R39" s="47" t="n"/>
      <c r="S39" s="48">
        <f>IF(Q39="","",MAX(Q39-R39,0))</f>
        <v/>
      </c>
      <c r="T39" s="45" t="n"/>
      <c r="U39" s="23">
        <f>IF(I39="","",IF(S39&lt;=0,"",I39-TODAY()))</f>
        <v/>
      </c>
      <c r="V39" s="20">
        <f>IF(B39="","",IF(S39&lt;=0,"Liquidada",IF(U39&gt;=0,"0. En plazo",IF(U39&gt;=-30,"1. 1-30 venc.",IF(U39&gt;=-60,"2. 31-60 venc.",IF(U39&gt;=-90,"3. 61-90 venc.","4. +90 venc."))))))</f>
        <v/>
      </c>
      <c r="W39" s="20">
        <f>IF(B39="","",IF(X39="Sí","Duplicada",IF(S39&lt;=0,"OK",IF(U39&lt;0,"Vencida",IF(U39&lt;=7,"Vence &lt;=7 días",IF(U39&lt;=15,"Vence 8-15 días","En plazo"))))))</f>
        <v/>
      </c>
      <c r="X39" s="20">
        <f>IF(OR(B39="",D39=""),"",IF(COUNTIFS($B$7:$B$106,B39,$D$7:$D$106,D39)&gt;1,"Sí",""))</f>
        <v/>
      </c>
      <c r="Y39" s="21" t="n"/>
      <c r="Z39" s="28">
        <f>IF(F39="","",DATE(YEAR(F39),MONTH(F39),1))</f>
        <v/>
      </c>
      <c r="AA39" s="21" t="n"/>
      <c r="AB39" s="23">
        <f>IF(OR(T39="",F39="",S39&gt;0),"",T39-F39)</f>
        <v/>
      </c>
    </row>
    <row r="40">
      <c r="A40" s="20">
        <f>IF(B40="","","AP-"&amp;TEXT(F40,"YYMM")&amp;"-"&amp;TEXT(ROW()-6,"000"))</f>
        <v/>
      </c>
      <c r="B40" s="21" t="n"/>
      <c r="C40" s="20">
        <f>IF(B40="","",IFERROR(VLOOKUP(B40,Proveedores!$B$6:$I$105,2,FALSE),""))</f>
        <v/>
      </c>
      <c r="D40" s="21" t="n"/>
      <c r="E40" s="21" t="n"/>
      <c r="F40" s="45" t="n"/>
      <c r="G40" s="45" t="n"/>
      <c r="H40" s="23">
        <f>IF(B40="","",IFERROR(VLOOKUP(B40,Proveedores!$B$6:$I$105,7,FALSE),""))</f>
        <v/>
      </c>
      <c r="I40" s="46">
        <f>IF(OR(F40="",H40=""),"",F40+H40)</f>
        <v/>
      </c>
      <c r="J40" s="21" t="n"/>
      <c r="K40" s="20">
        <f>IF(B40="","",IFERROR(VLOOKUP(B40,Proveedores!$B$6:$I$105,8,FALSE),""))</f>
        <v/>
      </c>
      <c r="L40" s="47" t="n"/>
      <c r="M40" s="26" t="n"/>
      <c r="N40" s="48">
        <f>IF(L40="","",L40*M40)</f>
        <v/>
      </c>
      <c r="O40" s="26" t="n"/>
      <c r="P40" s="48">
        <f>IF(L40="","",L40*O40)</f>
        <v/>
      </c>
      <c r="Q40" s="48">
        <f>IF(L40="","",L40+N40-P40)</f>
        <v/>
      </c>
      <c r="R40" s="47" t="n"/>
      <c r="S40" s="48">
        <f>IF(Q40="","",MAX(Q40-R40,0))</f>
        <v/>
      </c>
      <c r="T40" s="45" t="n"/>
      <c r="U40" s="23">
        <f>IF(I40="","",IF(S40&lt;=0,"",I40-TODAY()))</f>
        <v/>
      </c>
      <c r="V40" s="20">
        <f>IF(B40="","",IF(S40&lt;=0,"Liquidada",IF(U40&gt;=0,"0. En plazo",IF(U40&gt;=-30,"1. 1-30 venc.",IF(U40&gt;=-60,"2. 31-60 venc.",IF(U40&gt;=-90,"3. 61-90 venc.","4. +90 venc."))))))</f>
        <v/>
      </c>
      <c r="W40" s="20">
        <f>IF(B40="","",IF(X40="Sí","Duplicada",IF(S40&lt;=0,"OK",IF(U40&lt;0,"Vencida",IF(U40&lt;=7,"Vence &lt;=7 días",IF(U40&lt;=15,"Vence 8-15 días","En plazo"))))))</f>
        <v/>
      </c>
      <c r="X40" s="20">
        <f>IF(OR(B40="",D40=""),"",IF(COUNTIFS($B$7:$B$106,B40,$D$7:$D$106,D40)&gt;1,"Sí",""))</f>
        <v/>
      </c>
      <c r="Y40" s="21" t="n"/>
      <c r="Z40" s="28">
        <f>IF(F40="","",DATE(YEAR(F40),MONTH(F40),1))</f>
        <v/>
      </c>
      <c r="AA40" s="21" t="n"/>
      <c r="AB40" s="23">
        <f>IF(OR(T40="",F40="",S40&gt;0),"",T40-F40)</f>
        <v/>
      </c>
    </row>
    <row r="41">
      <c r="A41" s="20">
        <f>IF(B41="","","AP-"&amp;TEXT(F41,"YYMM")&amp;"-"&amp;TEXT(ROW()-6,"000"))</f>
        <v/>
      </c>
      <c r="B41" s="21" t="n"/>
      <c r="C41" s="20">
        <f>IF(B41="","",IFERROR(VLOOKUP(B41,Proveedores!$B$6:$I$105,2,FALSE),""))</f>
        <v/>
      </c>
      <c r="D41" s="21" t="n"/>
      <c r="E41" s="21" t="n"/>
      <c r="F41" s="45" t="n"/>
      <c r="G41" s="45" t="n"/>
      <c r="H41" s="23">
        <f>IF(B41="","",IFERROR(VLOOKUP(B41,Proveedores!$B$6:$I$105,7,FALSE),""))</f>
        <v/>
      </c>
      <c r="I41" s="46">
        <f>IF(OR(F41="",H41=""),"",F41+H41)</f>
        <v/>
      </c>
      <c r="J41" s="21" t="n"/>
      <c r="K41" s="20">
        <f>IF(B41="","",IFERROR(VLOOKUP(B41,Proveedores!$B$6:$I$105,8,FALSE),""))</f>
        <v/>
      </c>
      <c r="L41" s="47" t="n"/>
      <c r="M41" s="26" t="n"/>
      <c r="N41" s="48">
        <f>IF(L41="","",L41*M41)</f>
        <v/>
      </c>
      <c r="O41" s="26" t="n"/>
      <c r="P41" s="48">
        <f>IF(L41="","",L41*O41)</f>
        <v/>
      </c>
      <c r="Q41" s="48">
        <f>IF(L41="","",L41+N41-P41)</f>
        <v/>
      </c>
      <c r="R41" s="47" t="n"/>
      <c r="S41" s="48">
        <f>IF(Q41="","",MAX(Q41-R41,0))</f>
        <v/>
      </c>
      <c r="T41" s="45" t="n"/>
      <c r="U41" s="23">
        <f>IF(I41="","",IF(S41&lt;=0,"",I41-TODAY()))</f>
        <v/>
      </c>
      <c r="V41" s="20">
        <f>IF(B41="","",IF(S41&lt;=0,"Liquidada",IF(U41&gt;=0,"0. En plazo",IF(U41&gt;=-30,"1. 1-30 venc.",IF(U41&gt;=-60,"2. 31-60 venc.",IF(U41&gt;=-90,"3. 61-90 venc.","4. +90 venc."))))))</f>
        <v/>
      </c>
      <c r="W41" s="20">
        <f>IF(B41="","",IF(X41="Sí","Duplicada",IF(S41&lt;=0,"OK",IF(U41&lt;0,"Vencida",IF(U41&lt;=7,"Vence &lt;=7 días",IF(U41&lt;=15,"Vence 8-15 días","En plazo"))))))</f>
        <v/>
      </c>
      <c r="X41" s="20">
        <f>IF(OR(B41="",D41=""),"",IF(COUNTIFS($B$7:$B$106,B41,$D$7:$D$106,D41)&gt;1,"Sí",""))</f>
        <v/>
      </c>
      <c r="Y41" s="21" t="n"/>
      <c r="Z41" s="28">
        <f>IF(F41="","",DATE(YEAR(F41),MONTH(F41),1))</f>
        <v/>
      </c>
      <c r="AA41" s="21" t="n"/>
      <c r="AB41" s="23">
        <f>IF(OR(T41="",F41="",S41&gt;0),"",T41-F41)</f>
        <v/>
      </c>
    </row>
    <row r="42">
      <c r="A42" s="20">
        <f>IF(B42="","","AP-"&amp;TEXT(F42,"YYMM")&amp;"-"&amp;TEXT(ROW()-6,"000"))</f>
        <v/>
      </c>
      <c r="B42" s="21" t="n"/>
      <c r="C42" s="20">
        <f>IF(B42="","",IFERROR(VLOOKUP(B42,Proveedores!$B$6:$I$105,2,FALSE),""))</f>
        <v/>
      </c>
      <c r="D42" s="21" t="n"/>
      <c r="E42" s="21" t="n"/>
      <c r="F42" s="45" t="n"/>
      <c r="G42" s="45" t="n"/>
      <c r="H42" s="23">
        <f>IF(B42="","",IFERROR(VLOOKUP(B42,Proveedores!$B$6:$I$105,7,FALSE),""))</f>
        <v/>
      </c>
      <c r="I42" s="46">
        <f>IF(OR(F42="",H42=""),"",F42+H42)</f>
        <v/>
      </c>
      <c r="J42" s="21" t="n"/>
      <c r="K42" s="20">
        <f>IF(B42="","",IFERROR(VLOOKUP(B42,Proveedores!$B$6:$I$105,8,FALSE),""))</f>
        <v/>
      </c>
      <c r="L42" s="47" t="n"/>
      <c r="M42" s="26" t="n"/>
      <c r="N42" s="48">
        <f>IF(L42="","",L42*M42)</f>
        <v/>
      </c>
      <c r="O42" s="26" t="n"/>
      <c r="P42" s="48">
        <f>IF(L42="","",L42*O42)</f>
        <v/>
      </c>
      <c r="Q42" s="48">
        <f>IF(L42="","",L42+N42-P42)</f>
        <v/>
      </c>
      <c r="R42" s="47" t="n"/>
      <c r="S42" s="48">
        <f>IF(Q42="","",MAX(Q42-R42,0))</f>
        <v/>
      </c>
      <c r="T42" s="45" t="n"/>
      <c r="U42" s="23">
        <f>IF(I42="","",IF(S42&lt;=0,"",I42-TODAY()))</f>
        <v/>
      </c>
      <c r="V42" s="20">
        <f>IF(B42="","",IF(S42&lt;=0,"Liquidada",IF(U42&gt;=0,"0. En plazo",IF(U42&gt;=-30,"1. 1-30 venc.",IF(U42&gt;=-60,"2. 31-60 venc.",IF(U42&gt;=-90,"3. 61-90 venc.","4. +90 venc."))))))</f>
        <v/>
      </c>
      <c r="W42" s="20">
        <f>IF(B42="","",IF(X42="Sí","Duplicada",IF(S42&lt;=0,"OK",IF(U42&lt;0,"Vencida",IF(U42&lt;=7,"Vence &lt;=7 días",IF(U42&lt;=15,"Vence 8-15 días","En plazo"))))))</f>
        <v/>
      </c>
      <c r="X42" s="20">
        <f>IF(OR(B42="",D42=""),"",IF(COUNTIFS($B$7:$B$106,B42,$D$7:$D$106,D42)&gt;1,"Sí",""))</f>
        <v/>
      </c>
      <c r="Y42" s="21" t="n"/>
      <c r="Z42" s="28">
        <f>IF(F42="","",DATE(YEAR(F42),MONTH(F42),1))</f>
        <v/>
      </c>
      <c r="AA42" s="21" t="n"/>
      <c r="AB42" s="23">
        <f>IF(OR(T42="",F42="",S42&gt;0),"",T42-F42)</f>
        <v/>
      </c>
    </row>
    <row r="43">
      <c r="A43" s="20">
        <f>IF(B43="","","AP-"&amp;TEXT(F43,"YYMM")&amp;"-"&amp;TEXT(ROW()-6,"000"))</f>
        <v/>
      </c>
      <c r="B43" s="21" t="n"/>
      <c r="C43" s="20">
        <f>IF(B43="","",IFERROR(VLOOKUP(B43,Proveedores!$B$6:$I$105,2,FALSE),""))</f>
        <v/>
      </c>
      <c r="D43" s="21" t="n"/>
      <c r="E43" s="21" t="n"/>
      <c r="F43" s="45" t="n"/>
      <c r="G43" s="45" t="n"/>
      <c r="H43" s="23">
        <f>IF(B43="","",IFERROR(VLOOKUP(B43,Proveedores!$B$6:$I$105,7,FALSE),""))</f>
        <v/>
      </c>
      <c r="I43" s="46">
        <f>IF(OR(F43="",H43=""),"",F43+H43)</f>
        <v/>
      </c>
      <c r="J43" s="21" t="n"/>
      <c r="K43" s="20">
        <f>IF(B43="","",IFERROR(VLOOKUP(B43,Proveedores!$B$6:$I$105,8,FALSE),""))</f>
        <v/>
      </c>
      <c r="L43" s="47" t="n"/>
      <c r="M43" s="26" t="n"/>
      <c r="N43" s="48">
        <f>IF(L43="","",L43*M43)</f>
        <v/>
      </c>
      <c r="O43" s="26" t="n"/>
      <c r="P43" s="48">
        <f>IF(L43="","",L43*O43)</f>
        <v/>
      </c>
      <c r="Q43" s="48">
        <f>IF(L43="","",L43+N43-P43)</f>
        <v/>
      </c>
      <c r="R43" s="47" t="n"/>
      <c r="S43" s="48">
        <f>IF(Q43="","",MAX(Q43-R43,0))</f>
        <v/>
      </c>
      <c r="T43" s="45" t="n"/>
      <c r="U43" s="23">
        <f>IF(I43="","",IF(S43&lt;=0,"",I43-TODAY()))</f>
        <v/>
      </c>
      <c r="V43" s="20">
        <f>IF(B43="","",IF(S43&lt;=0,"Liquidada",IF(U43&gt;=0,"0. En plazo",IF(U43&gt;=-30,"1. 1-30 venc.",IF(U43&gt;=-60,"2. 31-60 venc.",IF(U43&gt;=-90,"3. 61-90 venc.","4. +90 venc."))))))</f>
        <v/>
      </c>
      <c r="W43" s="20">
        <f>IF(B43="","",IF(X43="Sí","Duplicada",IF(S43&lt;=0,"OK",IF(U43&lt;0,"Vencida",IF(U43&lt;=7,"Vence &lt;=7 días",IF(U43&lt;=15,"Vence 8-15 días","En plazo"))))))</f>
        <v/>
      </c>
      <c r="X43" s="20">
        <f>IF(OR(B43="",D43=""),"",IF(COUNTIFS($B$7:$B$106,B43,$D$7:$D$106,D43)&gt;1,"Sí",""))</f>
        <v/>
      </c>
      <c r="Y43" s="21" t="n"/>
      <c r="Z43" s="28">
        <f>IF(F43="","",DATE(YEAR(F43),MONTH(F43),1))</f>
        <v/>
      </c>
      <c r="AA43" s="21" t="n"/>
      <c r="AB43" s="23">
        <f>IF(OR(T43="",F43="",S43&gt;0),"",T43-F43)</f>
        <v/>
      </c>
    </row>
    <row r="44">
      <c r="A44" s="20">
        <f>IF(B44="","","AP-"&amp;TEXT(F44,"YYMM")&amp;"-"&amp;TEXT(ROW()-6,"000"))</f>
        <v/>
      </c>
      <c r="B44" s="21" t="n"/>
      <c r="C44" s="20">
        <f>IF(B44="","",IFERROR(VLOOKUP(B44,Proveedores!$B$6:$I$105,2,FALSE),""))</f>
        <v/>
      </c>
      <c r="D44" s="21" t="n"/>
      <c r="E44" s="21" t="n"/>
      <c r="F44" s="45" t="n"/>
      <c r="G44" s="45" t="n"/>
      <c r="H44" s="23">
        <f>IF(B44="","",IFERROR(VLOOKUP(B44,Proveedores!$B$6:$I$105,7,FALSE),""))</f>
        <v/>
      </c>
      <c r="I44" s="46">
        <f>IF(OR(F44="",H44=""),"",F44+H44)</f>
        <v/>
      </c>
      <c r="J44" s="21" t="n"/>
      <c r="K44" s="20">
        <f>IF(B44="","",IFERROR(VLOOKUP(B44,Proveedores!$B$6:$I$105,8,FALSE),""))</f>
        <v/>
      </c>
      <c r="L44" s="47" t="n"/>
      <c r="M44" s="26" t="n"/>
      <c r="N44" s="48">
        <f>IF(L44="","",L44*M44)</f>
        <v/>
      </c>
      <c r="O44" s="26" t="n"/>
      <c r="P44" s="48">
        <f>IF(L44="","",L44*O44)</f>
        <v/>
      </c>
      <c r="Q44" s="48">
        <f>IF(L44="","",L44+N44-P44)</f>
        <v/>
      </c>
      <c r="R44" s="47" t="n"/>
      <c r="S44" s="48">
        <f>IF(Q44="","",MAX(Q44-R44,0))</f>
        <v/>
      </c>
      <c r="T44" s="45" t="n"/>
      <c r="U44" s="23">
        <f>IF(I44="","",IF(S44&lt;=0,"",I44-TODAY()))</f>
        <v/>
      </c>
      <c r="V44" s="20">
        <f>IF(B44="","",IF(S44&lt;=0,"Liquidada",IF(U44&gt;=0,"0. En plazo",IF(U44&gt;=-30,"1. 1-30 venc.",IF(U44&gt;=-60,"2. 31-60 venc.",IF(U44&gt;=-90,"3. 61-90 venc.","4. +90 venc."))))))</f>
        <v/>
      </c>
      <c r="W44" s="20">
        <f>IF(B44="","",IF(X44="Sí","Duplicada",IF(S44&lt;=0,"OK",IF(U44&lt;0,"Vencida",IF(U44&lt;=7,"Vence &lt;=7 días",IF(U44&lt;=15,"Vence 8-15 días","En plazo"))))))</f>
        <v/>
      </c>
      <c r="X44" s="20">
        <f>IF(OR(B44="",D44=""),"",IF(COUNTIFS($B$7:$B$106,B44,$D$7:$D$106,D44)&gt;1,"Sí",""))</f>
        <v/>
      </c>
      <c r="Y44" s="21" t="n"/>
      <c r="Z44" s="28">
        <f>IF(F44="","",DATE(YEAR(F44),MONTH(F44),1))</f>
        <v/>
      </c>
      <c r="AA44" s="21" t="n"/>
      <c r="AB44" s="23">
        <f>IF(OR(T44="",F44="",S44&gt;0),"",T44-F44)</f>
        <v/>
      </c>
    </row>
    <row r="45">
      <c r="A45" s="20">
        <f>IF(B45="","","AP-"&amp;TEXT(F45,"YYMM")&amp;"-"&amp;TEXT(ROW()-6,"000"))</f>
        <v/>
      </c>
      <c r="B45" s="21" t="n"/>
      <c r="C45" s="20">
        <f>IF(B45="","",IFERROR(VLOOKUP(B45,Proveedores!$B$6:$I$105,2,FALSE),""))</f>
        <v/>
      </c>
      <c r="D45" s="21" t="n"/>
      <c r="E45" s="21" t="n"/>
      <c r="F45" s="45" t="n"/>
      <c r="G45" s="45" t="n"/>
      <c r="H45" s="23">
        <f>IF(B45="","",IFERROR(VLOOKUP(B45,Proveedores!$B$6:$I$105,7,FALSE),""))</f>
        <v/>
      </c>
      <c r="I45" s="46">
        <f>IF(OR(F45="",H45=""),"",F45+H45)</f>
        <v/>
      </c>
      <c r="J45" s="21" t="n"/>
      <c r="K45" s="20">
        <f>IF(B45="","",IFERROR(VLOOKUP(B45,Proveedores!$B$6:$I$105,8,FALSE),""))</f>
        <v/>
      </c>
      <c r="L45" s="47" t="n"/>
      <c r="M45" s="26" t="n"/>
      <c r="N45" s="48">
        <f>IF(L45="","",L45*M45)</f>
        <v/>
      </c>
      <c r="O45" s="26" t="n"/>
      <c r="P45" s="48">
        <f>IF(L45="","",L45*O45)</f>
        <v/>
      </c>
      <c r="Q45" s="48">
        <f>IF(L45="","",L45+N45-P45)</f>
        <v/>
      </c>
      <c r="R45" s="47" t="n"/>
      <c r="S45" s="48">
        <f>IF(Q45="","",MAX(Q45-R45,0))</f>
        <v/>
      </c>
      <c r="T45" s="45" t="n"/>
      <c r="U45" s="23">
        <f>IF(I45="","",IF(S45&lt;=0,"",I45-TODAY()))</f>
        <v/>
      </c>
      <c r="V45" s="20">
        <f>IF(B45="","",IF(S45&lt;=0,"Liquidada",IF(U45&gt;=0,"0. En plazo",IF(U45&gt;=-30,"1. 1-30 venc.",IF(U45&gt;=-60,"2. 31-60 venc.",IF(U45&gt;=-90,"3. 61-90 venc.","4. +90 venc."))))))</f>
        <v/>
      </c>
      <c r="W45" s="20">
        <f>IF(B45="","",IF(X45="Sí","Duplicada",IF(S45&lt;=0,"OK",IF(U45&lt;0,"Vencida",IF(U45&lt;=7,"Vence &lt;=7 días",IF(U45&lt;=15,"Vence 8-15 días","En plazo"))))))</f>
        <v/>
      </c>
      <c r="X45" s="20">
        <f>IF(OR(B45="",D45=""),"",IF(COUNTIFS($B$7:$B$106,B45,$D$7:$D$106,D45)&gt;1,"Sí",""))</f>
        <v/>
      </c>
      <c r="Y45" s="21" t="n"/>
      <c r="Z45" s="28">
        <f>IF(F45="","",DATE(YEAR(F45),MONTH(F45),1))</f>
        <v/>
      </c>
      <c r="AA45" s="21" t="n"/>
      <c r="AB45" s="23">
        <f>IF(OR(T45="",F45="",S45&gt;0),"",T45-F45)</f>
        <v/>
      </c>
    </row>
    <row r="46">
      <c r="A46" s="20">
        <f>IF(B46="","","AP-"&amp;TEXT(F46,"YYMM")&amp;"-"&amp;TEXT(ROW()-6,"000"))</f>
        <v/>
      </c>
      <c r="B46" s="21" t="n"/>
      <c r="C46" s="20">
        <f>IF(B46="","",IFERROR(VLOOKUP(B46,Proveedores!$B$6:$I$105,2,FALSE),""))</f>
        <v/>
      </c>
      <c r="D46" s="21" t="n"/>
      <c r="E46" s="21" t="n"/>
      <c r="F46" s="45" t="n"/>
      <c r="G46" s="45" t="n"/>
      <c r="H46" s="23">
        <f>IF(B46="","",IFERROR(VLOOKUP(B46,Proveedores!$B$6:$I$105,7,FALSE),""))</f>
        <v/>
      </c>
      <c r="I46" s="46">
        <f>IF(OR(F46="",H46=""),"",F46+H46)</f>
        <v/>
      </c>
      <c r="J46" s="21" t="n"/>
      <c r="K46" s="20">
        <f>IF(B46="","",IFERROR(VLOOKUP(B46,Proveedores!$B$6:$I$105,8,FALSE),""))</f>
        <v/>
      </c>
      <c r="L46" s="47" t="n"/>
      <c r="M46" s="26" t="n"/>
      <c r="N46" s="48">
        <f>IF(L46="","",L46*M46)</f>
        <v/>
      </c>
      <c r="O46" s="26" t="n"/>
      <c r="P46" s="48">
        <f>IF(L46="","",L46*O46)</f>
        <v/>
      </c>
      <c r="Q46" s="48">
        <f>IF(L46="","",L46+N46-P46)</f>
        <v/>
      </c>
      <c r="R46" s="47" t="n"/>
      <c r="S46" s="48">
        <f>IF(Q46="","",MAX(Q46-R46,0))</f>
        <v/>
      </c>
      <c r="T46" s="45" t="n"/>
      <c r="U46" s="23">
        <f>IF(I46="","",IF(S46&lt;=0,"",I46-TODAY()))</f>
        <v/>
      </c>
      <c r="V46" s="20">
        <f>IF(B46="","",IF(S46&lt;=0,"Liquidada",IF(U46&gt;=0,"0. En plazo",IF(U46&gt;=-30,"1. 1-30 venc.",IF(U46&gt;=-60,"2. 31-60 venc.",IF(U46&gt;=-90,"3. 61-90 venc.","4. +90 venc."))))))</f>
        <v/>
      </c>
      <c r="W46" s="20">
        <f>IF(B46="","",IF(X46="Sí","Duplicada",IF(S46&lt;=0,"OK",IF(U46&lt;0,"Vencida",IF(U46&lt;=7,"Vence &lt;=7 días",IF(U46&lt;=15,"Vence 8-15 días","En plazo"))))))</f>
        <v/>
      </c>
      <c r="X46" s="20">
        <f>IF(OR(B46="",D46=""),"",IF(COUNTIFS($B$7:$B$106,B46,$D$7:$D$106,D46)&gt;1,"Sí",""))</f>
        <v/>
      </c>
      <c r="Y46" s="21" t="n"/>
      <c r="Z46" s="28">
        <f>IF(F46="","",DATE(YEAR(F46),MONTH(F46),1))</f>
        <v/>
      </c>
      <c r="AA46" s="21" t="n"/>
      <c r="AB46" s="23">
        <f>IF(OR(T46="",F46="",S46&gt;0),"",T46-F46)</f>
        <v/>
      </c>
    </row>
    <row r="47">
      <c r="A47" s="20">
        <f>IF(B47="","","AP-"&amp;TEXT(F47,"YYMM")&amp;"-"&amp;TEXT(ROW()-6,"000"))</f>
        <v/>
      </c>
      <c r="B47" s="21" t="n"/>
      <c r="C47" s="20">
        <f>IF(B47="","",IFERROR(VLOOKUP(B47,Proveedores!$B$6:$I$105,2,FALSE),""))</f>
        <v/>
      </c>
      <c r="D47" s="21" t="n"/>
      <c r="E47" s="21" t="n"/>
      <c r="F47" s="45" t="n"/>
      <c r="G47" s="45" t="n"/>
      <c r="H47" s="23">
        <f>IF(B47="","",IFERROR(VLOOKUP(B47,Proveedores!$B$6:$I$105,7,FALSE),""))</f>
        <v/>
      </c>
      <c r="I47" s="46">
        <f>IF(OR(F47="",H47=""),"",F47+H47)</f>
        <v/>
      </c>
      <c r="J47" s="21" t="n"/>
      <c r="K47" s="20">
        <f>IF(B47="","",IFERROR(VLOOKUP(B47,Proveedores!$B$6:$I$105,8,FALSE),""))</f>
        <v/>
      </c>
      <c r="L47" s="47" t="n"/>
      <c r="M47" s="26" t="n"/>
      <c r="N47" s="48">
        <f>IF(L47="","",L47*M47)</f>
        <v/>
      </c>
      <c r="O47" s="26" t="n"/>
      <c r="P47" s="48">
        <f>IF(L47="","",L47*O47)</f>
        <v/>
      </c>
      <c r="Q47" s="48">
        <f>IF(L47="","",L47+N47-P47)</f>
        <v/>
      </c>
      <c r="R47" s="47" t="n"/>
      <c r="S47" s="48">
        <f>IF(Q47="","",MAX(Q47-R47,0))</f>
        <v/>
      </c>
      <c r="T47" s="45" t="n"/>
      <c r="U47" s="23">
        <f>IF(I47="","",IF(S47&lt;=0,"",I47-TODAY()))</f>
        <v/>
      </c>
      <c r="V47" s="20">
        <f>IF(B47="","",IF(S47&lt;=0,"Liquidada",IF(U47&gt;=0,"0. En plazo",IF(U47&gt;=-30,"1. 1-30 venc.",IF(U47&gt;=-60,"2. 31-60 venc.",IF(U47&gt;=-90,"3. 61-90 venc.","4. +90 venc."))))))</f>
        <v/>
      </c>
      <c r="W47" s="20">
        <f>IF(B47="","",IF(X47="Sí","Duplicada",IF(S47&lt;=0,"OK",IF(U47&lt;0,"Vencida",IF(U47&lt;=7,"Vence &lt;=7 días",IF(U47&lt;=15,"Vence 8-15 días","En plazo"))))))</f>
        <v/>
      </c>
      <c r="X47" s="20">
        <f>IF(OR(B47="",D47=""),"",IF(COUNTIFS($B$7:$B$106,B47,$D$7:$D$106,D47)&gt;1,"Sí",""))</f>
        <v/>
      </c>
      <c r="Y47" s="21" t="n"/>
      <c r="Z47" s="28">
        <f>IF(F47="","",DATE(YEAR(F47),MONTH(F47),1))</f>
        <v/>
      </c>
      <c r="AA47" s="21" t="n"/>
      <c r="AB47" s="23">
        <f>IF(OR(T47="",F47="",S47&gt;0),"",T47-F47)</f>
        <v/>
      </c>
    </row>
    <row r="48">
      <c r="A48" s="20">
        <f>IF(B48="","","AP-"&amp;TEXT(F48,"YYMM")&amp;"-"&amp;TEXT(ROW()-6,"000"))</f>
        <v/>
      </c>
      <c r="B48" s="21" t="n"/>
      <c r="C48" s="20">
        <f>IF(B48="","",IFERROR(VLOOKUP(B48,Proveedores!$B$6:$I$105,2,FALSE),""))</f>
        <v/>
      </c>
      <c r="D48" s="21" t="n"/>
      <c r="E48" s="21" t="n"/>
      <c r="F48" s="45" t="n"/>
      <c r="G48" s="45" t="n"/>
      <c r="H48" s="23">
        <f>IF(B48="","",IFERROR(VLOOKUP(B48,Proveedores!$B$6:$I$105,7,FALSE),""))</f>
        <v/>
      </c>
      <c r="I48" s="46">
        <f>IF(OR(F48="",H48=""),"",F48+H48)</f>
        <v/>
      </c>
      <c r="J48" s="21" t="n"/>
      <c r="K48" s="20">
        <f>IF(B48="","",IFERROR(VLOOKUP(B48,Proveedores!$B$6:$I$105,8,FALSE),""))</f>
        <v/>
      </c>
      <c r="L48" s="47" t="n"/>
      <c r="M48" s="26" t="n"/>
      <c r="N48" s="48">
        <f>IF(L48="","",L48*M48)</f>
        <v/>
      </c>
      <c r="O48" s="26" t="n"/>
      <c r="P48" s="48">
        <f>IF(L48="","",L48*O48)</f>
        <v/>
      </c>
      <c r="Q48" s="48">
        <f>IF(L48="","",L48+N48-P48)</f>
        <v/>
      </c>
      <c r="R48" s="47" t="n"/>
      <c r="S48" s="48">
        <f>IF(Q48="","",MAX(Q48-R48,0))</f>
        <v/>
      </c>
      <c r="T48" s="45" t="n"/>
      <c r="U48" s="23">
        <f>IF(I48="","",IF(S48&lt;=0,"",I48-TODAY()))</f>
        <v/>
      </c>
      <c r="V48" s="20">
        <f>IF(B48="","",IF(S48&lt;=0,"Liquidada",IF(U48&gt;=0,"0. En plazo",IF(U48&gt;=-30,"1. 1-30 venc.",IF(U48&gt;=-60,"2. 31-60 venc.",IF(U48&gt;=-90,"3. 61-90 venc.","4. +90 venc."))))))</f>
        <v/>
      </c>
      <c r="W48" s="20">
        <f>IF(B48="","",IF(X48="Sí","Duplicada",IF(S48&lt;=0,"OK",IF(U48&lt;0,"Vencida",IF(U48&lt;=7,"Vence &lt;=7 días",IF(U48&lt;=15,"Vence 8-15 días","En plazo"))))))</f>
        <v/>
      </c>
      <c r="X48" s="20">
        <f>IF(OR(B48="",D48=""),"",IF(COUNTIFS($B$7:$B$106,B48,$D$7:$D$106,D48)&gt;1,"Sí",""))</f>
        <v/>
      </c>
      <c r="Y48" s="21" t="n"/>
      <c r="Z48" s="28">
        <f>IF(F48="","",DATE(YEAR(F48),MONTH(F48),1))</f>
        <v/>
      </c>
      <c r="AA48" s="21" t="n"/>
      <c r="AB48" s="23">
        <f>IF(OR(T48="",F48="",S48&gt;0),"",T48-F48)</f>
        <v/>
      </c>
    </row>
    <row r="49">
      <c r="A49" s="20">
        <f>IF(B49="","","AP-"&amp;TEXT(F49,"YYMM")&amp;"-"&amp;TEXT(ROW()-6,"000"))</f>
        <v/>
      </c>
      <c r="B49" s="21" t="n"/>
      <c r="C49" s="20">
        <f>IF(B49="","",IFERROR(VLOOKUP(B49,Proveedores!$B$6:$I$105,2,FALSE),""))</f>
        <v/>
      </c>
      <c r="D49" s="21" t="n"/>
      <c r="E49" s="21" t="n"/>
      <c r="F49" s="45" t="n"/>
      <c r="G49" s="45" t="n"/>
      <c r="H49" s="23">
        <f>IF(B49="","",IFERROR(VLOOKUP(B49,Proveedores!$B$6:$I$105,7,FALSE),""))</f>
        <v/>
      </c>
      <c r="I49" s="46">
        <f>IF(OR(F49="",H49=""),"",F49+H49)</f>
        <v/>
      </c>
      <c r="J49" s="21" t="n"/>
      <c r="K49" s="20">
        <f>IF(B49="","",IFERROR(VLOOKUP(B49,Proveedores!$B$6:$I$105,8,FALSE),""))</f>
        <v/>
      </c>
      <c r="L49" s="47" t="n"/>
      <c r="M49" s="26" t="n"/>
      <c r="N49" s="48">
        <f>IF(L49="","",L49*M49)</f>
        <v/>
      </c>
      <c r="O49" s="26" t="n"/>
      <c r="P49" s="48">
        <f>IF(L49="","",L49*O49)</f>
        <v/>
      </c>
      <c r="Q49" s="48">
        <f>IF(L49="","",L49+N49-P49)</f>
        <v/>
      </c>
      <c r="R49" s="47" t="n"/>
      <c r="S49" s="48">
        <f>IF(Q49="","",MAX(Q49-R49,0))</f>
        <v/>
      </c>
      <c r="T49" s="45" t="n"/>
      <c r="U49" s="23">
        <f>IF(I49="","",IF(S49&lt;=0,"",I49-TODAY()))</f>
        <v/>
      </c>
      <c r="V49" s="20">
        <f>IF(B49="","",IF(S49&lt;=0,"Liquidada",IF(U49&gt;=0,"0. En plazo",IF(U49&gt;=-30,"1. 1-30 venc.",IF(U49&gt;=-60,"2. 31-60 venc.",IF(U49&gt;=-90,"3. 61-90 venc.","4. +90 venc."))))))</f>
        <v/>
      </c>
      <c r="W49" s="20">
        <f>IF(B49="","",IF(X49="Sí","Duplicada",IF(S49&lt;=0,"OK",IF(U49&lt;0,"Vencida",IF(U49&lt;=7,"Vence &lt;=7 días",IF(U49&lt;=15,"Vence 8-15 días","En plazo"))))))</f>
        <v/>
      </c>
      <c r="X49" s="20">
        <f>IF(OR(B49="",D49=""),"",IF(COUNTIFS($B$7:$B$106,B49,$D$7:$D$106,D49)&gt;1,"Sí",""))</f>
        <v/>
      </c>
      <c r="Y49" s="21" t="n"/>
      <c r="Z49" s="28">
        <f>IF(F49="","",DATE(YEAR(F49),MONTH(F49),1))</f>
        <v/>
      </c>
      <c r="AA49" s="21" t="n"/>
      <c r="AB49" s="23">
        <f>IF(OR(T49="",F49="",S49&gt;0),"",T49-F49)</f>
        <v/>
      </c>
    </row>
    <row r="50">
      <c r="A50" s="20">
        <f>IF(B50="","","AP-"&amp;TEXT(F50,"YYMM")&amp;"-"&amp;TEXT(ROW()-6,"000"))</f>
        <v/>
      </c>
      <c r="B50" s="21" t="n"/>
      <c r="C50" s="20">
        <f>IF(B50="","",IFERROR(VLOOKUP(B50,Proveedores!$B$6:$I$105,2,FALSE),""))</f>
        <v/>
      </c>
      <c r="D50" s="21" t="n"/>
      <c r="E50" s="21" t="n"/>
      <c r="F50" s="45" t="n"/>
      <c r="G50" s="45" t="n"/>
      <c r="H50" s="23">
        <f>IF(B50="","",IFERROR(VLOOKUP(B50,Proveedores!$B$6:$I$105,7,FALSE),""))</f>
        <v/>
      </c>
      <c r="I50" s="46">
        <f>IF(OR(F50="",H50=""),"",F50+H50)</f>
        <v/>
      </c>
      <c r="J50" s="21" t="n"/>
      <c r="K50" s="20">
        <f>IF(B50="","",IFERROR(VLOOKUP(B50,Proveedores!$B$6:$I$105,8,FALSE),""))</f>
        <v/>
      </c>
      <c r="L50" s="47" t="n"/>
      <c r="M50" s="26" t="n"/>
      <c r="N50" s="48">
        <f>IF(L50="","",L50*M50)</f>
        <v/>
      </c>
      <c r="O50" s="26" t="n"/>
      <c r="P50" s="48">
        <f>IF(L50="","",L50*O50)</f>
        <v/>
      </c>
      <c r="Q50" s="48">
        <f>IF(L50="","",L50+N50-P50)</f>
        <v/>
      </c>
      <c r="R50" s="47" t="n"/>
      <c r="S50" s="48">
        <f>IF(Q50="","",MAX(Q50-R50,0))</f>
        <v/>
      </c>
      <c r="T50" s="45" t="n"/>
      <c r="U50" s="23">
        <f>IF(I50="","",IF(S50&lt;=0,"",I50-TODAY()))</f>
        <v/>
      </c>
      <c r="V50" s="20">
        <f>IF(B50="","",IF(S50&lt;=0,"Liquidada",IF(U50&gt;=0,"0. En plazo",IF(U50&gt;=-30,"1. 1-30 venc.",IF(U50&gt;=-60,"2. 31-60 venc.",IF(U50&gt;=-90,"3. 61-90 venc.","4. +90 venc."))))))</f>
        <v/>
      </c>
      <c r="W50" s="20">
        <f>IF(B50="","",IF(X50="Sí","Duplicada",IF(S50&lt;=0,"OK",IF(U50&lt;0,"Vencida",IF(U50&lt;=7,"Vence &lt;=7 días",IF(U50&lt;=15,"Vence 8-15 días","En plazo"))))))</f>
        <v/>
      </c>
      <c r="X50" s="20">
        <f>IF(OR(B50="",D50=""),"",IF(COUNTIFS($B$7:$B$106,B50,$D$7:$D$106,D50)&gt;1,"Sí",""))</f>
        <v/>
      </c>
      <c r="Y50" s="21" t="n"/>
      <c r="Z50" s="28">
        <f>IF(F50="","",DATE(YEAR(F50),MONTH(F50),1))</f>
        <v/>
      </c>
      <c r="AA50" s="21" t="n"/>
      <c r="AB50" s="23">
        <f>IF(OR(T50="",F50="",S50&gt;0),"",T50-F50)</f>
        <v/>
      </c>
    </row>
    <row r="51">
      <c r="A51" s="20">
        <f>IF(B51="","","AP-"&amp;TEXT(F51,"YYMM")&amp;"-"&amp;TEXT(ROW()-6,"000"))</f>
        <v/>
      </c>
      <c r="B51" s="21" t="n"/>
      <c r="C51" s="20">
        <f>IF(B51="","",IFERROR(VLOOKUP(B51,Proveedores!$B$6:$I$105,2,FALSE),""))</f>
        <v/>
      </c>
      <c r="D51" s="21" t="n"/>
      <c r="E51" s="21" t="n"/>
      <c r="F51" s="45" t="n"/>
      <c r="G51" s="45" t="n"/>
      <c r="H51" s="23">
        <f>IF(B51="","",IFERROR(VLOOKUP(B51,Proveedores!$B$6:$I$105,7,FALSE),""))</f>
        <v/>
      </c>
      <c r="I51" s="46">
        <f>IF(OR(F51="",H51=""),"",F51+H51)</f>
        <v/>
      </c>
      <c r="J51" s="21" t="n"/>
      <c r="K51" s="20">
        <f>IF(B51="","",IFERROR(VLOOKUP(B51,Proveedores!$B$6:$I$105,8,FALSE),""))</f>
        <v/>
      </c>
      <c r="L51" s="47" t="n"/>
      <c r="M51" s="26" t="n"/>
      <c r="N51" s="48">
        <f>IF(L51="","",L51*M51)</f>
        <v/>
      </c>
      <c r="O51" s="26" t="n"/>
      <c r="P51" s="48">
        <f>IF(L51="","",L51*O51)</f>
        <v/>
      </c>
      <c r="Q51" s="48">
        <f>IF(L51="","",L51+N51-P51)</f>
        <v/>
      </c>
      <c r="R51" s="47" t="n"/>
      <c r="S51" s="48">
        <f>IF(Q51="","",MAX(Q51-R51,0))</f>
        <v/>
      </c>
      <c r="T51" s="45" t="n"/>
      <c r="U51" s="23">
        <f>IF(I51="","",IF(S51&lt;=0,"",I51-TODAY()))</f>
        <v/>
      </c>
      <c r="V51" s="20">
        <f>IF(B51="","",IF(S51&lt;=0,"Liquidada",IF(U51&gt;=0,"0. En plazo",IF(U51&gt;=-30,"1. 1-30 venc.",IF(U51&gt;=-60,"2. 31-60 venc.",IF(U51&gt;=-90,"3. 61-90 venc.","4. +90 venc."))))))</f>
        <v/>
      </c>
      <c r="W51" s="20">
        <f>IF(B51="","",IF(X51="Sí","Duplicada",IF(S51&lt;=0,"OK",IF(U51&lt;0,"Vencida",IF(U51&lt;=7,"Vence &lt;=7 días",IF(U51&lt;=15,"Vence 8-15 días","En plazo"))))))</f>
        <v/>
      </c>
      <c r="X51" s="20">
        <f>IF(OR(B51="",D51=""),"",IF(COUNTIFS($B$7:$B$106,B51,$D$7:$D$106,D51)&gt;1,"Sí",""))</f>
        <v/>
      </c>
      <c r="Y51" s="21" t="n"/>
      <c r="Z51" s="28">
        <f>IF(F51="","",DATE(YEAR(F51),MONTH(F51),1))</f>
        <v/>
      </c>
      <c r="AA51" s="21" t="n"/>
      <c r="AB51" s="23">
        <f>IF(OR(T51="",F51="",S51&gt;0),"",T51-F51)</f>
        <v/>
      </c>
    </row>
    <row r="52">
      <c r="A52" s="20">
        <f>IF(B52="","","AP-"&amp;TEXT(F52,"YYMM")&amp;"-"&amp;TEXT(ROW()-6,"000"))</f>
        <v/>
      </c>
      <c r="B52" s="21" t="n"/>
      <c r="C52" s="20">
        <f>IF(B52="","",IFERROR(VLOOKUP(B52,Proveedores!$B$6:$I$105,2,FALSE),""))</f>
        <v/>
      </c>
      <c r="D52" s="21" t="n"/>
      <c r="E52" s="21" t="n"/>
      <c r="F52" s="45" t="n"/>
      <c r="G52" s="45" t="n"/>
      <c r="H52" s="23">
        <f>IF(B52="","",IFERROR(VLOOKUP(B52,Proveedores!$B$6:$I$105,7,FALSE),""))</f>
        <v/>
      </c>
      <c r="I52" s="46">
        <f>IF(OR(F52="",H52=""),"",F52+H52)</f>
        <v/>
      </c>
      <c r="J52" s="21" t="n"/>
      <c r="K52" s="20">
        <f>IF(B52="","",IFERROR(VLOOKUP(B52,Proveedores!$B$6:$I$105,8,FALSE),""))</f>
        <v/>
      </c>
      <c r="L52" s="47" t="n"/>
      <c r="M52" s="26" t="n"/>
      <c r="N52" s="48">
        <f>IF(L52="","",L52*M52)</f>
        <v/>
      </c>
      <c r="O52" s="26" t="n"/>
      <c r="P52" s="48">
        <f>IF(L52="","",L52*O52)</f>
        <v/>
      </c>
      <c r="Q52" s="48">
        <f>IF(L52="","",L52+N52-P52)</f>
        <v/>
      </c>
      <c r="R52" s="47" t="n"/>
      <c r="S52" s="48">
        <f>IF(Q52="","",MAX(Q52-R52,0))</f>
        <v/>
      </c>
      <c r="T52" s="45" t="n"/>
      <c r="U52" s="23">
        <f>IF(I52="","",IF(S52&lt;=0,"",I52-TODAY()))</f>
        <v/>
      </c>
      <c r="V52" s="20">
        <f>IF(B52="","",IF(S52&lt;=0,"Liquidada",IF(U52&gt;=0,"0. En plazo",IF(U52&gt;=-30,"1. 1-30 venc.",IF(U52&gt;=-60,"2. 31-60 venc.",IF(U52&gt;=-90,"3. 61-90 venc.","4. +90 venc."))))))</f>
        <v/>
      </c>
      <c r="W52" s="20">
        <f>IF(B52="","",IF(X52="Sí","Duplicada",IF(S52&lt;=0,"OK",IF(U52&lt;0,"Vencida",IF(U52&lt;=7,"Vence &lt;=7 días",IF(U52&lt;=15,"Vence 8-15 días","En plazo"))))))</f>
        <v/>
      </c>
      <c r="X52" s="20">
        <f>IF(OR(B52="",D52=""),"",IF(COUNTIFS($B$7:$B$106,B52,$D$7:$D$106,D52)&gt;1,"Sí",""))</f>
        <v/>
      </c>
      <c r="Y52" s="21" t="n"/>
      <c r="Z52" s="28">
        <f>IF(F52="","",DATE(YEAR(F52),MONTH(F52),1))</f>
        <v/>
      </c>
      <c r="AA52" s="21" t="n"/>
      <c r="AB52" s="23">
        <f>IF(OR(T52="",F52="",S52&gt;0),"",T52-F52)</f>
        <v/>
      </c>
    </row>
    <row r="53">
      <c r="A53" s="20">
        <f>IF(B53="","","AP-"&amp;TEXT(F53,"YYMM")&amp;"-"&amp;TEXT(ROW()-6,"000"))</f>
        <v/>
      </c>
      <c r="B53" s="21" t="n"/>
      <c r="C53" s="20">
        <f>IF(B53="","",IFERROR(VLOOKUP(B53,Proveedores!$B$6:$I$105,2,FALSE),""))</f>
        <v/>
      </c>
      <c r="D53" s="21" t="n"/>
      <c r="E53" s="21" t="n"/>
      <c r="F53" s="45" t="n"/>
      <c r="G53" s="45" t="n"/>
      <c r="H53" s="23">
        <f>IF(B53="","",IFERROR(VLOOKUP(B53,Proveedores!$B$6:$I$105,7,FALSE),""))</f>
        <v/>
      </c>
      <c r="I53" s="46">
        <f>IF(OR(F53="",H53=""),"",F53+H53)</f>
        <v/>
      </c>
      <c r="J53" s="21" t="n"/>
      <c r="K53" s="20">
        <f>IF(B53="","",IFERROR(VLOOKUP(B53,Proveedores!$B$6:$I$105,8,FALSE),""))</f>
        <v/>
      </c>
      <c r="L53" s="47" t="n"/>
      <c r="M53" s="26" t="n"/>
      <c r="N53" s="48">
        <f>IF(L53="","",L53*M53)</f>
        <v/>
      </c>
      <c r="O53" s="26" t="n"/>
      <c r="P53" s="48">
        <f>IF(L53="","",L53*O53)</f>
        <v/>
      </c>
      <c r="Q53" s="48">
        <f>IF(L53="","",L53+N53-P53)</f>
        <v/>
      </c>
      <c r="R53" s="47" t="n"/>
      <c r="S53" s="48">
        <f>IF(Q53="","",MAX(Q53-R53,0))</f>
        <v/>
      </c>
      <c r="T53" s="45" t="n"/>
      <c r="U53" s="23">
        <f>IF(I53="","",IF(S53&lt;=0,"",I53-TODAY()))</f>
        <v/>
      </c>
      <c r="V53" s="20">
        <f>IF(B53="","",IF(S53&lt;=0,"Liquidada",IF(U53&gt;=0,"0. En plazo",IF(U53&gt;=-30,"1. 1-30 venc.",IF(U53&gt;=-60,"2. 31-60 venc.",IF(U53&gt;=-90,"3. 61-90 venc.","4. +90 venc."))))))</f>
        <v/>
      </c>
      <c r="W53" s="20">
        <f>IF(B53="","",IF(X53="Sí","Duplicada",IF(S53&lt;=0,"OK",IF(U53&lt;0,"Vencida",IF(U53&lt;=7,"Vence &lt;=7 días",IF(U53&lt;=15,"Vence 8-15 días","En plazo"))))))</f>
        <v/>
      </c>
      <c r="X53" s="20">
        <f>IF(OR(B53="",D53=""),"",IF(COUNTIFS($B$7:$B$106,B53,$D$7:$D$106,D53)&gt;1,"Sí",""))</f>
        <v/>
      </c>
      <c r="Y53" s="21" t="n"/>
      <c r="Z53" s="28">
        <f>IF(F53="","",DATE(YEAR(F53),MONTH(F53),1))</f>
        <v/>
      </c>
      <c r="AA53" s="21" t="n"/>
      <c r="AB53" s="23">
        <f>IF(OR(T53="",F53="",S53&gt;0),"",T53-F53)</f>
        <v/>
      </c>
    </row>
    <row r="54">
      <c r="A54" s="20">
        <f>IF(B54="","","AP-"&amp;TEXT(F54,"YYMM")&amp;"-"&amp;TEXT(ROW()-6,"000"))</f>
        <v/>
      </c>
      <c r="B54" s="21" t="n"/>
      <c r="C54" s="20">
        <f>IF(B54="","",IFERROR(VLOOKUP(B54,Proveedores!$B$6:$I$105,2,FALSE),""))</f>
        <v/>
      </c>
      <c r="D54" s="21" t="n"/>
      <c r="E54" s="21" t="n"/>
      <c r="F54" s="45" t="n"/>
      <c r="G54" s="45" t="n"/>
      <c r="H54" s="23">
        <f>IF(B54="","",IFERROR(VLOOKUP(B54,Proveedores!$B$6:$I$105,7,FALSE),""))</f>
        <v/>
      </c>
      <c r="I54" s="46">
        <f>IF(OR(F54="",H54=""),"",F54+H54)</f>
        <v/>
      </c>
      <c r="J54" s="21" t="n"/>
      <c r="K54" s="20">
        <f>IF(B54="","",IFERROR(VLOOKUP(B54,Proveedores!$B$6:$I$105,8,FALSE),""))</f>
        <v/>
      </c>
      <c r="L54" s="47" t="n"/>
      <c r="M54" s="26" t="n"/>
      <c r="N54" s="48">
        <f>IF(L54="","",L54*M54)</f>
        <v/>
      </c>
      <c r="O54" s="26" t="n"/>
      <c r="P54" s="48">
        <f>IF(L54="","",L54*O54)</f>
        <v/>
      </c>
      <c r="Q54" s="48">
        <f>IF(L54="","",L54+N54-P54)</f>
        <v/>
      </c>
      <c r="R54" s="47" t="n"/>
      <c r="S54" s="48">
        <f>IF(Q54="","",MAX(Q54-R54,0))</f>
        <v/>
      </c>
      <c r="T54" s="45" t="n"/>
      <c r="U54" s="23">
        <f>IF(I54="","",IF(S54&lt;=0,"",I54-TODAY()))</f>
        <v/>
      </c>
      <c r="V54" s="20">
        <f>IF(B54="","",IF(S54&lt;=0,"Liquidada",IF(U54&gt;=0,"0. En plazo",IF(U54&gt;=-30,"1. 1-30 venc.",IF(U54&gt;=-60,"2. 31-60 venc.",IF(U54&gt;=-90,"3. 61-90 venc.","4. +90 venc."))))))</f>
        <v/>
      </c>
      <c r="W54" s="20">
        <f>IF(B54="","",IF(X54="Sí","Duplicada",IF(S54&lt;=0,"OK",IF(U54&lt;0,"Vencida",IF(U54&lt;=7,"Vence &lt;=7 días",IF(U54&lt;=15,"Vence 8-15 días","En plazo"))))))</f>
        <v/>
      </c>
      <c r="X54" s="20">
        <f>IF(OR(B54="",D54=""),"",IF(COUNTIFS($B$7:$B$106,B54,$D$7:$D$106,D54)&gt;1,"Sí",""))</f>
        <v/>
      </c>
      <c r="Y54" s="21" t="n"/>
      <c r="Z54" s="28">
        <f>IF(F54="","",DATE(YEAR(F54),MONTH(F54),1))</f>
        <v/>
      </c>
      <c r="AA54" s="21" t="n"/>
      <c r="AB54" s="23">
        <f>IF(OR(T54="",F54="",S54&gt;0),"",T54-F54)</f>
        <v/>
      </c>
    </row>
    <row r="55">
      <c r="A55" s="20">
        <f>IF(B55="","","AP-"&amp;TEXT(F55,"YYMM")&amp;"-"&amp;TEXT(ROW()-6,"000"))</f>
        <v/>
      </c>
      <c r="B55" s="21" t="n"/>
      <c r="C55" s="20">
        <f>IF(B55="","",IFERROR(VLOOKUP(B55,Proveedores!$B$6:$I$105,2,FALSE),""))</f>
        <v/>
      </c>
      <c r="D55" s="21" t="n"/>
      <c r="E55" s="21" t="n"/>
      <c r="F55" s="45" t="n"/>
      <c r="G55" s="45" t="n"/>
      <c r="H55" s="23">
        <f>IF(B55="","",IFERROR(VLOOKUP(B55,Proveedores!$B$6:$I$105,7,FALSE),""))</f>
        <v/>
      </c>
      <c r="I55" s="46">
        <f>IF(OR(F55="",H55=""),"",F55+H55)</f>
        <v/>
      </c>
      <c r="J55" s="21" t="n"/>
      <c r="K55" s="20">
        <f>IF(B55="","",IFERROR(VLOOKUP(B55,Proveedores!$B$6:$I$105,8,FALSE),""))</f>
        <v/>
      </c>
      <c r="L55" s="47" t="n"/>
      <c r="M55" s="26" t="n"/>
      <c r="N55" s="48">
        <f>IF(L55="","",L55*M55)</f>
        <v/>
      </c>
      <c r="O55" s="26" t="n"/>
      <c r="P55" s="48">
        <f>IF(L55="","",L55*O55)</f>
        <v/>
      </c>
      <c r="Q55" s="48">
        <f>IF(L55="","",L55+N55-P55)</f>
        <v/>
      </c>
      <c r="R55" s="47" t="n"/>
      <c r="S55" s="48">
        <f>IF(Q55="","",MAX(Q55-R55,0))</f>
        <v/>
      </c>
      <c r="T55" s="45" t="n"/>
      <c r="U55" s="23">
        <f>IF(I55="","",IF(S55&lt;=0,"",I55-TODAY()))</f>
        <v/>
      </c>
      <c r="V55" s="20">
        <f>IF(B55="","",IF(S55&lt;=0,"Liquidada",IF(U55&gt;=0,"0. En plazo",IF(U55&gt;=-30,"1. 1-30 venc.",IF(U55&gt;=-60,"2. 31-60 venc.",IF(U55&gt;=-90,"3. 61-90 venc.","4. +90 venc."))))))</f>
        <v/>
      </c>
      <c r="W55" s="20">
        <f>IF(B55="","",IF(X55="Sí","Duplicada",IF(S55&lt;=0,"OK",IF(U55&lt;0,"Vencida",IF(U55&lt;=7,"Vence &lt;=7 días",IF(U55&lt;=15,"Vence 8-15 días","En plazo"))))))</f>
        <v/>
      </c>
      <c r="X55" s="20">
        <f>IF(OR(B55="",D55=""),"",IF(COUNTIFS($B$7:$B$106,B55,$D$7:$D$106,D55)&gt;1,"Sí",""))</f>
        <v/>
      </c>
      <c r="Y55" s="21" t="n"/>
      <c r="Z55" s="28">
        <f>IF(F55="","",DATE(YEAR(F55),MONTH(F55),1))</f>
        <v/>
      </c>
      <c r="AA55" s="21" t="n"/>
      <c r="AB55" s="23">
        <f>IF(OR(T55="",F55="",S55&gt;0),"",T55-F55)</f>
        <v/>
      </c>
    </row>
    <row r="56">
      <c r="A56" s="20">
        <f>IF(B56="","","AP-"&amp;TEXT(F56,"YYMM")&amp;"-"&amp;TEXT(ROW()-6,"000"))</f>
        <v/>
      </c>
      <c r="B56" s="21" t="n"/>
      <c r="C56" s="20">
        <f>IF(B56="","",IFERROR(VLOOKUP(B56,Proveedores!$B$6:$I$105,2,FALSE),""))</f>
        <v/>
      </c>
      <c r="D56" s="21" t="n"/>
      <c r="E56" s="21" t="n"/>
      <c r="F56" s="45" t="n"/>
      <c r="G56" s="45" t="n"/>
      <c r="H56" s="23">
        <f>IF(B56="","",IFERROR(VLOOKUP(B56,Proveedores!$B$6:$I$105,7,FALSE),""))</f>
        <v/>
      </c>
      <c r="I56" s="46">
        <f>IF(OR(F56="",H56=""),"",F56+H56)</f>
        <v/>
      </c>
      <c r="J56" s="21" t="n"/>
      <c r="K56" s="20">
        <f>IF(B56="","",IFERROR(VLOOKUP(B56,Proveedores!$B$6:$I$105,8,FALSE),""))</f>
        <v/>
      </c>
      <c r="L56" s="47" t="n"/>
      <c r="M56" s="26" t="n"/>
      <c r="N56" s="48">
        <f>IF(L56="","",L56*M56)</f>
        <v/>
      </c>
      <c r="O56" s="26" t="n"/>
      <c r="P56" s="48">
        <f>IF(L56="","",L56*O56)</f>
        <v/>
      </c>
      <c r="Q56" s="48">
        <f>IF(L56="","",L56+N56-P56)</f>
        <v/>
      </c>
      <c r="R56" s="47" t="n"/>
      <c r="S56" s="48">
        <f>IF(Q56="","",MAX(Q56-R56,0))</f>
        <v/>
      </c>
      <c r="T56" s="45" t="n"/>
      <c r="U56" s="23">
        <f>IF(I56="","",IF(S56&lt;=0,"",I56-TODAY()))</f>
        <v/>
      </c>
      <c r="V56" s="20">
        <f>IF(B56="","",IF(S56&lt;=0,"Liquidada",IF(U56&gt;=0,"0. En plazo",IF(U56&gt;=-30,"1. 1-30 venc.",IF(U56&gt;=-60,"2. 31-60 venc.",IF(U56&gt;=-90,"3. 61-90 venc.","4. +90 venc."))))))</f>
        <v/>
      </c>
      <c r="W56" s="20">
        <f>IF(B56="","",IF(X56="Sí","Duplicada",IF(S56&lt;=0,"OK",IF(U56&lt;0,"Vencida",IF(U56&lt;=7,"Vence &lt;=7 días",IF(U56&lt;=15,"Vence 8-15 días","En plazo"))))))</f>
        <v/>
      </c>
      <c r="X56" s="20">
        <f>IF(OR(B56="",D56=""),"",IF(COUNTIFS($B$7:$B$106,B56,$D$7:$D$106,D56)&gt;1,"Sí",""))</f>
        <v/>
      </c>
      <c r="Y56" s="21" t="n"/>
      <c r="Z56" s="28">
        <f>IF(F56="","",DATE(YEAR(F56),MONTH(F56),1))</f>
        <v/>
      </c>
      <c r="AA56" s="21" t="n"/>
      <c r="AB56" s="23">
        <f>IF(OR(T56="",F56="",S56&gt;0),"",T56-F56)</f>
        <v/>
      </c>
    </row>
    <row r="57">
      <c r="A57" s="20">
        <f>IF(B57="","","AP-"&amp;TEXT(F57,"YYMM")&amp;"-"&amp;TEXT(ROW()-6,"000"))</f>
        <v/>
      </c>
      <c r="B57" s="21" t="n"/>
      <c r="C57" s="20">
        <f>IF(B57="","",IFERROR(VLOOKUP(B57,Proveedores!$B$6:$I$105,2,FALSE),""))</f>
        <v/>
      </c>
      <c r="D57" s="21" t="n"/>
      <c r="E57" s="21" t="n"/>
      <c r="F57" s="45" t="n"/>
      <c r="G57" s="45" t="n"/>
      <c r="H57" s="23">
        <f>IF(B57="","",IFERROR(VLOOKUP(B57,Proveedores!$B$6:$I$105,7,FALSE),""))</f>
        <v/>
      </c>
      <c r="I57" s="46">
        <f>IF(OR(F57="",H57=""),"",F57+H57)</f>
        <v/>
      </c>
      <c r="J57" s="21" t="n"/>
      <c r="K57" s="20">
        <f>IF(B57="","",IFERROR(VLOOKUP(B57,Proveedores!$B$6:$I$105,8,FALSE),""))</f>
        <v/>
      </c>
      <c r="L57" s="47" t="n"/>
      <c r="M57" s="26" t="n"/>
      <c r="N57" s="48">
        <f>IF(L57="","",L57*M57)</f>
        <v/>
      </c>
      <c r="O57" s="26" t="n"/>
      <c r="P57" s="48">
        <f>IF(L57="","",L57*O57)</f>
        <v/>
      </c>
      <c r="Q57" s="48">
        <f>IF(L57="","",L57+N57-P57)</f>
        <v/>
      </c>
      <c r="R57" s="47" t="n"/>
      <c r="S57" s="48">
        <f>IF(Q57="","",MAX(Q57-R57,0))</f>
        <v/>
      </c>
      <c r="T57" s="45" t="n"/>
      <c r="U57" s="23">
        <f>IF(I57="","",IF(S57&lt;=0,"",I57-TODAY()))</f>
        <v/>
      </c>
      <c r="V57" s="20">
        <f>IF(B57="","",IF(S57&lt;=0,"Liquidada",IF(U57&gt;=0,"0. En plazo",IF(U57&gt;=-30,"1. 1-30 venc.",IF(U57&gt;=-60,"2. 31-60 venc.",IF(U57&gt;=-90,"3. 61-90 venc.","4. +90 venc."))))))</f>
        <v/>
      </c>
      <c r="W57" s="20">
        <f>IF(B57="","",IF(X57="Sí","Duplicada",IF(S57&lt;=0,"OK",IF(U57&lt;0,"Vencida",IF(U57&lt;=7,"Vence &lt;=7 días",IF(U57&lt;=15,"Vence 8-15 días","En plazo"))))))</f>
        <v/>
      </c>
      <c r="X57" s="20">
        <f>IF(OR(B57="",D57=""),"",IF(COUNTIFS($B$7:$B$106,B57,$D$7:$D$106,D57)&gt;1,"Sí",""))</f>
        <v/>
      </c>
      <c r="Y57" s="21" t="n"/>
      <c r="Z57" s="28">
        <f>IF(F57="","",DATE(YEAR(F57),MONTH(F57),1))</f>
        <v/>
      </c>
      <c r="AA57" s="21" t="n"/>
      <c r="AB57" s="23">
        <f>IF(OR(T57="",F57="",S57&gt;0),"",T57-F57)</f>
        <v/>
      </c>
    </row>
    <row r="58">
      <c r="A58" s="20">
        <f>IF(B58="","","AP-"&amp;TEXT(F58,"YYMM")&amp;"-"&amp;TEXT(ROW()-6,"000"))</f>
        <v/>
      </c>
      <c r="B58" s="21" t="n"/>
      <c r="C58" s="20">
        <f>IF(B58="","",IFERROR(VLOOKUP(B58,Proveedores!$B$6:$I$105,2,FALSE),""))</f>
        <v/>
      </c>
      <c r="D58" s="21" t="n"/>
      <c r="E58" s="21" t="n"/>
      <c r="F58" s="45" t="n"/>
      <c r="G58" s="45" t="n"/>
      <c r="H58" s="23">
        <f>IF(B58="","",IFERROR(VLOOKUP(B58,Proveedores!$B$6:$I$105,7,FALSE),""))</f>
        <v/>
      </c>
      <c r="I58" s="46">
        <f>IF(OR(F58="",H58=""),"",F58+H58)</f>
        <v/>
      </c>
      <c r="J58" s="21" t="n"/>
      <c r="K58" s="20">
        <f>IF(B58="","",IFERROR(VLOOKUP(B58,Proveedores!$B$6:$I$105,8,FALSE),""))</f>
        <v/>
      </c>
      <c r="L58" s="47" t="n"/>
      <c r="M58" s="26" t="n"/>
      <c r="N58" s="48">
        <f>IF(L58="","",L58*M58)</f>
        <v/>
      </c>
      <c r="O58" s="26" t="n"/>
      <c r="P58" s="48">
        <f>IF(L58="","",L58*O58)</f>
        <v/>
      </c>
      <c r="Q58" s="48">
        <f>IF(L58="","",L58+N58-P58)</f>
        <v/>
      </c>
      <c r="R58" s="47" t="n"/>
      <c r="S58" s="48">
        <f>IF(Q58="","",MAX(Q58-R58,0))</f>
        <v/>
      </c>
      <c r="T58" s="45" t="n"/>
      <c r="U58" s="23">
        <f>IF(I58="","",IF(S58&lt;=0,"",I58-TODAY()))</f>
        <v/>
      </c>
      <c r="V58" s="20">
        <f>IF(B58="","",IF(S58&lt;=0,"Liquidada",IF(U58&gt;=0,"0. En plazo",IF(U58&gt;=-30,"1. 1-30 venc.",IF(U58&gt;=-60,"2. 31-60 venc.",IF(U58&gt;=-90,"3. 61-90 venc.","4. +90 venc."))))))</f>
        <v/>
      </c>
      <c r="W58" s="20">
        <f>IF(B58="","",IF(X58="Sí","Duplicada",IF(S58&lt;=0,"OK",IF(U58&lt;0,"Vencida",IF(U58&lt;=7,"Vence &lt;=7 días",IF(U58&lt;=15,"Vence 8-15 días","En plazo"))))))</f>
        <v/>
      </c>
      <c r="X58" s="20">
        <f>IF(OR(B58="",D58=""),"",IF(COUNTIFS($B$7:$B$106,B58,$D$7:$D$106,D58)&gt;1,"Sí",""))</f>
        <v/>
      </c>
      <c r="Y58" s="21" t="n"/>
      <c r="Z58" s="28">
        <f>IF(F58="","",DATE(YEAR(F58),MONTH(F58),1))</f>
        <v/>
      </c>
      <c r="AA58" s="21" t="n"/>
      <c r="AB58" s="23">
        <f>IF(OR(T58="",F58="",S58&gt;0),"",T58-F58)</f>
        <v/>
      </c>
    </row>
    <row r="59">
      <c r="A59" s="20">
        <f>IF(B59="","","AP-"&amp;TEXT(F59,"YYMM")&amp;"-"&amp;TEXT(ROW()-6,"000"))</f>
        <v/>
      </c>
      <c r="B59" s="21" t="n"/>
      <c r="C59" s="20">
        <f>IF(B59="","",IFERROR(VLOOKUP(B59,Proveedores!$B$6:$I$105,2,FALSE),""))</f>
        <v/>
      </c>
      <c r="D59" s="21" t="n"/>
      <c r="E59" s="21" t="n"/>
      <c r="F59" s="45" t="n"/>
      <c r="G59" s="45" t="n"/>
      <c r="H59" s="23">
        <f>IF(B59="","",IFERROR(VLOOKUP(B59,Proveedores!$B$6:$I$105,7,FALSE),""))</f>
        <v/>
      </c>
      <c r="I59" s="46">
        <f>IF(OR(F59="",H59=""),"",F59+H59)</f>
        <v/>
      </c>
      <c r="J59" s="21" t="n"/>
      <c r="K59" s="20">
        <f>IF(B59="","",IFERROR(VLOOKUP(B59,Proveedores!$B$6:$I$105,8,FALSE),""))</f>
        <v/>
      </c>
      <c r="L59" s="47" t="n"/>
      <c r="M59" s="26" t="n"/>
      <c r="N59" s="48">
        <f>IF(L59="","",L59*M59)</f>
        <v/>
      </c>
      <c r="O59" s="26" t="n"/>
      <c r="P59" s="48">
        <f>IF(L59="","",L59*O59)</f>
        <v/>
      </c>
      <c r="Q59" s="48">
        <f>IF(L59="","",L59+N59-P59)</f>
        <v/>
      </c>
      <c r="R59" s="47" t="n"/>
      <c r="S59" s="48">
        <f>IF(Q59="","",MAX(Q59-R59,0))</f>
        <v/>
      </c>
      <c r="T59" s="45" t="n"/>
      <c r="U59" s="23">
        <f>IF(I59="","",IF(S59&lt;=0,"",I59-TODAY()))</f>
        <v/>
      </c>
      <c r="V59" s="20">
        <f>IF(B59="","",IF(S59&lt;=0,"Liquidada",IF(U59&gt;=0,"0. En plazo",IF(U59&gt;=-30,"1. 1-30 venc.",IF(U59&gt;=-60,"2. 31-60 venc.",IF(U59&gt;=-90,"3. 61-90 venc.","4. +90 venc."))))))</f>
        <v/>
      </c>
      <c r="W59" s="20">
        <f>IF(B59="","",IF(X59="Sí","Duplicada",IF(S59&lt;=0,"OK",IF(U59&lt;0,"Vencida",IF(U59&lt;=7,"Vence &lt;=7 días",IF(U59&lt;=15,"Vence 8-15 días","En plazo"))))))</f>
        <v/>
      </c>
      <c r="X59" s="20">
        <f>IF(OR(B59="",D59=""),"",IF(COUNTIFS($B$7:$B$106,B59,$D$7:$D$106,D59)&gt;1,"Sí",""))</f>
        <v/>
      </c>
      <c r="Y59" s="21" t="n"/>
      <c r="Z59" s="28">
        <f>IF(F59="","",DATE(YEAR(F59),MONTH(F59),1))</f>
        <v/>
      </c>
      <c r="AA59" s="21" t="n"/>
      <c r="AB59" s="23">
        <f>IF(OR(T59="",F59="",S59&gt;0),"",T59-F59)</f>
        <v/>
      </c>
    </row>
    <row r="60">
      <c r="A60" s="20">
        <f>IF(B60="","","AP-"&amp;TEXT(F60,"YYMM")&amp;"-"&amp;TEXT(ROW()-6,"000"))</f>
        <v/>
      </c>
      <c r="B60" s="21" t="n"/>
      <c r="C60" s="20">
        <f>IF(B60="","",IFERROR(VLOOKUP(B60,Proveedores!$B$6:$I$105,2,FALSE),""))</f>
        <v/>
      </c>
      <c r="D60" s="21" t="n"/>
      <c r="E60" s="21" t="n"/>
      <c r="F60" s="45" t="n"/>
      <c r="G60" s="45" t="n"/>
      <c r="H60" s="23">
        <f>IF(B60="","",IFERROR(VLOOKUP(B60,Proveedores!$B$6:$I$105,7,FALSE),""))</f>
        <v/>
      </c>
      <c r="I60" s="46">
        <f>IF(OR(F60="",H60=""),"",F60+H60)</f>
        <v/>
      </c>
      <c r="J60" s="21" t="n"/>
      <c r="K60" s="20">
        <f>IF(B60="","",IFERROR(VLOOKUP(B60,Proveedores!$B$6:$I$105,8,FALSE),""))</f>
        <v/>
      </c>
      <c r="L60" s="47" t="n"/>
      <c r="M60" s="26" t="n"/>
      <c r="N60" s="48">
        <f>IF(L60="","",L60*M60)</f>
        <v/>
      </c>
      <c r="O60" s="26" t="n"/>
      <c r="P60" s="48">
        <f>IF(L60="","",L60*O60)</f>
        <v/>
      </c>
      <c r="Q60" s="48">
        <f>IF(L60="","",L60+N60-P60)</f>
        <v/>
      </c>
      <c r="R60" s="47" t="n"/>
      <c r="S60" s="48">
        <f>IF(Q60="","",MAX(Q60-R60,0))</f>
        <v/>
      </c>
      <c r="T60" s="45" t="n"/>
      <c r="U60" s="23">
        <f>IF(I60="","",IF(S60&lt;=0,"",I60-TODAY()))</f>
        <v/>
      </c>
      <c r="V60" s="20">
        <f>IF(B60="","",IF(S60&lt;=0,"Liquidada",IF(U60&gt;=0,"0. En plazo",IF(U60&gt;=-30,"1. 1-30 venc.",IF(U60&gt;=-60,"2. 31-60 venc.",IF(U60&gt;=-90,"3. 61-90 venc.","4. +90 venc."))))))</f>
        <v/>
      </c>
      <c r="W60" s="20">
        <f>IF(B60="","",IF(X60="Sí","Duplicada",IF(S60&lt;=0,"OK",IF(U60&lt;0,"Vencida",IF(U60&lt;=7,"Vence &lt;=7 días",IF(U60&lt;=15,"Vence 8-15 días","En plazo"))))))</f>
        <v/>
      </c>
      <c r="X60" s="20">
        <f>IF(OR(B60="",D60=""),"",IF(COUNTIFS($B$7:$B$106,B60,$D$7:$D$106,D60)&gt;1,"Sí",""))</f>
        <v/>
      </c>
      <c r="Y60" s="21" t="n"/>
      <c r="Z60" s="28">
        <f>IF(F60="","",DATE(YEAR(F60),MONTH(F60),1))</f>
        <v/>
      </c>
      <c r="AA60" s="21" t="n"/>
      <c r="AB60" s="23">
        <f>IF(OR(T60="",F60="",S60&gt;0),"",T60-F60)</f>
        <v/>
      </c>
    </row>
    <row r="61">
      <c r="A61" s="20">
        <f>IF(B61="","","AP-"&amp;TEXT(F61,"YYMM")&amp;"-"&amp;TEXT(ROW()-6,"000"))</f>
        <v/>
      </c>
      <c r="B61" s="21" t="n"/>
      <c r="C61" s="20">
        <f>IF(B61="","",IFERROR(VLOOKUP(B61,Proveedores!$B$6:$I$105,2,FALSE),""))</f>
        <v/>
      </c>
      <c r="D61" s="21" t="n"/>
      <c r="E61" s="21" t="n"/>
      <c r="F61" s="45" t="n"/>
      <c r="G61" s="45" t="n"/>
      <c r="H61" s="23">
        <f>IF(B61="","",IFERROR(VLOOKUP(B61,Proveedores!$B$6:$I$105,7,FALSE),""))</f>
        <v/>
      </c>
      <c r="I61" s="46">
        <f>IF(OR(F61="",H61=""),"",F61+H61)</f>
        <v/>
      </c>
      <c r="J61" s="21" t="n"/>
      <c r="K61" s="20">
        <f>IF(B61="","",IFERROR(VLOOKUP(B61,Proveedores!$B$6:$I$105,8,FALSE),""))</f>
        <v/>
      </c>
      <c r="L61" s="47" t="n"/>
      <c r="M61" s="26" t="n"/>
      <c r="N61" s="48">
        <f>IF(L61="","",L61*M61)</f>
        <v/>
      </c>
      <c r="O61" s="26" t="n"/>
      <c r="P61" s="48">
        <f>IF(L61="","",L61*O61)</f>
        <v/>
      </c>
      <c r="Q61" s="48">
        <f>IF(L61="","",L61+N61-P61)</f>
        <v/>
      </c>
      <c r="R61" s="47" t="n"/>
      <c r="S61" s="48">
        <f>IF(Q61="","",MAX(Q61-R61,0))</f>
        <v/>
      </c>
      <c r="T61" s="45" t="n"/>
      <c r="U61" s="23">
        <f>IF(I61="","",IF(S61&lt;=0,"",I61-TODAY()))</f>
        <v/>
      </c>
      <c r="V61" s="20">
        <f>IF(B61="","",IF(S61&lt;=0,"Liquidada",IF(U61&gt;=0,"0. En plazo",IF(U61&gt;=-30,"1. 1-30 venc.",IF(U61&gt;=-60,"2. 31-60 venc.",IF(U61&gt;=-90,"3. 61-90 venc.","4. +90 venc."))))))</f>
        <v/>
      </c>
      <c r="W61" s="20">
        <f>IF(B61="","",IF(X61="Sí","Duplicada",IF(S61&lt;=0,"OK",IF(U61&lt;0,"Vencida",IF(U61&lt;=7,"Vence &lt;=7 días",IF(U61&lt;=15,"Vence 8-15 días","En plazo"))))))</f>
        <v/>
      </c>
      <c r="X61" s="20">
        <f>IF(OR(B61="",D61=""),"",IF(COUNTIFS($B$7:$B$106,B61,$D$7:$D$106,D61)&gt;1,"Sí",""))</f>
        <v/>
      </c>
      <c r="Y61" s="21" t="n"/>
      <c r="Z61" s="28">
        <f>IF(F61="","",DATE(YEAR(F61),MONTH(F61),1))</f>
        <v/>
      </c>
      <c r="AA61" s="21" t="n"/>
      <c r="AB61" s="23">
        <f>IF(OR(T61="",F61="",S61&gt;0),"",T61-F61)</f>
        <v/>
      </c>
    </row>
    <row r="62">
      <c r="A62" s="20">
        <f>IF(B62="","","AP-"&amp;TEXT(F62,"YYMM")&amp;"-"&amp;TEXT(ROW()-6,"000"))</f>
        <v/>
      </c>
      <c r="B62" s="21" t="n"/>
      <c r="C62" s="20">
        <f>IF(B62="","",IFERROR(VLOOKUP(B62,Proveedores!$B$6:$I$105,2,FALSE),""))</f>
        <v/>
      </c>
      <c r="D62" s="21" t="n"/>
      <c r="E62" s="21" t="n"/>
      <c r="F62" s="45" t="n"/>
      <c r="G62" s="45" t="n"/>
      <c r="H62" s="23">
        <f>IF(B62="","",IFERROR(VLOOKUP(B62,Proveedores!$B$6:$I$105,7,FALSE),""))</f>
        <v/>
      </c>
      <c r="I62" s="46">
        <f>IF(OR(F62="",H62=""),"",F62+H62)</f>
        <v/>
      </c>
      <c r="J62" s="21" t="n"/>
      <c r="K62" s="20">
        <f>IF(B62="","",IFERROR(VLOOKUP(B62,Proveedores!$B$6:$I$105,8,FALSE),""))</f>
        <v/>
      </c>
      <c r="L62" s="47" t="n"/>
      <c r="M62" s="26" t="n"/>
      <c r="N62" s="48">
        <f>IF(L62="","",L62*M62)</f>
        <v/>
      </c>
      <c r="O62" s="26" t="n"/>
      <c r="P62" s="48">
        <f>IF(L62="","",L62*O62)</f>
        <v/>
      </c>
      <c r="Q62" s="48">
        <f>IF(L62="","",L62+N62-P62)</f>
        <v/>
      </c>
      <c r="R62" s="47" t="n"/>
      <c r="S62" s="48">
        <f>IF(Q62="","",MAX(Q62-R62,0))</f>
        <v/>
      </c>
      <c r="T62" s="45" t="n"/>
      <c r="U62" s="23">
        <f>IF(I62="","",IF(S62&lt;=0,"",I62-TODAY()))</f>
        <v/>
      </c>
      <c r="V62" s="20">
        <f>IF(B62="","",IF(S62&lt;=0,"Liquidada",IF(U62&gt;=0,"0. En plazo",IF(U62&gt;=-30,"1. 1-30 venc.",IF(U62&gt;=-60,"2. 31-60 venc.",IF(U62&gt;=-90,"3. 61-90 venc.","4. +90 venc."))))))</f>
        <v/>
      </c>
      <c r="W62" s="20">
        <f>IF(B62="","",IF(X62="Sí","Duplicada",IF(S62&lt;=0,"OK",IF(U62&lt;0,"Vencida",IF(U62&lt;=7,"Vence &lt;=7 días",IF(U62&lt;=15,"Vence 8-15 días","En plazo"))))))</f>
        <v/>
      </c>
      <c r="X62" s="20">
        <f>IF(OR(B62="",D62=""),"",IF(COUNTIFS($B$7:$B$106,B62,$D$7:$D$106,D62)&gt;1,"Sí",""))</f>
        <v/>
      </c>
      <c r="Y62" s="21" t="n"/>
      <c r="Z62" s="28">
        <f>IF(F62="","",DATE(YEAR(F62),MONTH(F62),1))</f>
        <v/>
      </c>
      <c r="AA62" s="21" t="n"/>
      <c r="AB62" s="23">
        <f>IF(OR(T62="",F62="",S62&gt;0),"",T62-F62)</f>
        <v/>
      </c>
    </row>
    <row r="63">
      <c r="A63" s="20">
        <f>IF(B63="","","AP-"&amp;TEXT(F63,"YYMM")&amp;"-"&amp;TEXT(ROW()-6,"000"))</f>
        <v/>
      </c>
      <c r="B63" s="21" t="n"/>
      <c r="C63" s="20">
        <f>IF(B63="","",IFERROR(VLOOKUP(B63,Proveedores!$B$6:$I$105,2,FALSE),""))</f>
        <v/>
      </c>
      <c r="D63" s="21" t="n"/>
      <c r="E63" s="21" t="n"/>
      <c r="F63" s="45" t="n"/>
      <c r="G63" s="45" t="n"/>
      <c r="H63" s="23">
        <f>IF(B63="","",IFERROR(VLOOKUP(B63,Proveedores!$B$6:$I$105,7,FALSE),""))</f>
        <v/>
      </c>
      <c r="I63" s="46">
        <f>IF(OR(F63="",H63=""),"",F63+H63)</f>
        <v/>
      </c>
      <c r="J63" s="21" t="n"/>
      <c r="K63" s="20">
        <f>IF(B63="","",IFERROR(VLOOKUP(B63,Proveedores!$B$6:$I$105,8,FALSE),""))</f>
        <v/>
      </c>
      <c r="L63" s="47" t="n"/>
      <c r="M63" s="26" t="n"/>
      <c r="N63" s="48">
        <f>IF(L63="","",L63*M63)</f>
        <v/>
      </c>
      <c r="O63" s="26" t="n"/>
      <c r="P63" s="48">
        <f>IF(L63="","",L63*O63)</f>
        <v/>
      </c>
      <c r="Q63" s="48">
        <f>IF(L63="","",L63+N63-P63)</f>
        <v/>
      </c>
      <c r="R63" s="47" t="n"/>
      <c r="S63" s="48">
        <f>IF(Q63="","",MAX(Q63-R63,0))</f>
        <v/>
      </c>
      <c r="T63" s="45" t="n"/>
      <c r="U63" s="23">
        <f>IF(I63="","",IF(S63&lt;=0,"",I63-TODAY()))</f>
        <v/>
      </c>
      <c r="V63" s="20">
        <f>IF(B63="","",IF(S63&lt;=0,"Liquidada",IF(U63&gt;=0,"0. En plazo",IF(U63&gt;=-30,"1. 1-30 venc.",IF(U63&gt;=-60,"2. 31-60 venc.",IF(U63&gt;=-90,"3. 61-90 venc.","4. +90 venc."))))))</f>
        <v/>
      </c>
      <c r="W63" s="20">
        <f>IF(B63="","",IF(X63="Sí","Duplicada",IF(S63&lt;=0,"OK",IF(U63&lt;0,"Vencida",IF(U63&lt;=7,"Vence &lt;=7 días",IF(U63&lt;=15,"Vence 8-15 días","En plazo"))))))</f>
        <v/>
      </c>
      <c r="X63" s="20">
        <f>IF(OR(B63="",D63=""),"",IF(COUNTIFS($B$7:$B$106,B63,$D$7:$D$106,D63)&gt;1,"Sí",""))</f>
        <v/>
      </c>
      <c r="Y63" s="21" t="n"/>
      <c r="Z63" s="28">
        <f>IF(F63="","",DATE(YEAR(F63),MONTH(F63),1))</f>
        <v/>
      </c>
      <c r="AA63" s="21" t="n"/>
      <c r="AB63" s="23">
        <f>IF(OR(T63="",F63="",S63&gt;0),"",T63-F63)</f>
        <v/>
      </c>
    </row>
    <row r="64">
      <c r="A64" s="20">
        <f>IF(B64="","","AP-"&amp;TEXT(F64,"YYMM")&amp;"-"&amp;TEXT(ROW()-6,"000"))</f>
        <v/>
      </c>
      <c r="B64" s="21" t="n"/>
      <c r="C64" s="20">
        <f>IF(B64="","",IFERROR(VLOOKUP(B64,Proveedores!$B$6:$I$105,2,FALSE),""))</f>
        <v/>
      </c>
      <c r="D64" s="21" t="n"/>
      <c r="E64" s="21" t="n"/>
      <c r="F64" s="45" t="n"/>
      <c r="G64" s="45" t="n"/>
      <c r="H64" s="23">
        <f>IF(B64="","",IFERROR(VLOOKUP(B64,Proveedores!$B$6:$I$105,7,FALSE),""))</f>
        <v/>
      </c>
      <c r="I64" s="46">
        <f>IF(OR(F64="",H64=""),"",F64+H64)</f>
        <v/>
      </c>
      <c r="J64" s="21" t="n"/>
      <c r="K64" s="20">
        <f>IF(B64="","",IFERROR(VLOOKUP(B64,Proveedores!$B$6:$I$105,8,FALSE),""))</f>
        <v/>
      </c>
      <c r="L64" s="47" t="n"/>
      <c r="M64" s="26" t="n"/>
      <c r="N64" s="48">
        <f>IF(L64="","",L64*M64)</f>
        <v/>
      </c>
      <c r="O64" s="26" t="n"/>
      <c r="P64" s="48">
        <f>IF(L64="","",L64*O64)</f>
        <v/>
      </c>
      <c r="Q64" s="48">
        <f>IF(L64="","",L64+N64-P64)</f>
        <v/>
      </c>
      <c r="R64" s="47" t="n"/>
      <c r="S64" s="48">
        <f>IF(Q64="","",MAX(Q64-R64,0))</f>
        <v/>
      </c>
      <c r="T64" s="45" t="n"/>
      <c r="U64" s="23">
        <f>IF(I64="","",IF(S64&lt;=0,"",I64-TODAY()))</f>
        <v/>
      </c>
      <c r="V64" s="20">
        <f>IF(B64="","",IF(S64&lt;=0,"Liquidada",IF(U64&gt;=0,"0. En plazo",IF(U64&gt;=-30,"1. 1-30 venc.",IF(U64&gt;=-60,"2. 31-60 venc.",IF(U64&gt;=-90,"3. 61-90 venc.","4. +90 venc."))))))</f>
        <v/>
      </c>
      <c r="W64" s="20">
        <f>IF(B64="","",IF(X64="Sí","Duplicada",IF(S64&lt;=0,"OK",IF(U64&lt;0,"Vencida",IF(U64&lt;=7,"Vence &lt;=7 días",IF(U64&lt;=15,"Vence 8-15 días","En plazo"))))))</f>
        <v/>
      </c>
      <c r="X64" s="20">
        <f>IF(OR(B64="",D64=""),"",IF(COUNTIFS($B$7:$B$106,B64,$D$7:$D$106,D64)&gt;1,"Sí",""))</f>
        <v/>
      </c>
      <c r="Y64" s="21" t="n"/>
      <c r="Z64" s="28">
        <f>IF(F64="","",DATE(YEAR(F64),MONTH(F64),1))</f>
        <v/>
      </c>
      <c r="AA64" s="21" t="n"/>
      <c r="AB64" s="23">
        <f>IF(OR(T64="",F64="",S64&gt;0),"",T64-F64)</f>
        <v/>
      </c>
    </row>
    <row r="65">
      <c r="A65" s="20">
        <f>IF(B65="","","AP-"&amp;TEXT(F65,"YYMM")&amp;"-"&amp;TEXT(ROW()-6,"000"))</f>
        <v/>
      </c>
      <c r="B65" s="21" t="n"/>
      <c r="C65" s="20">
        <f>IF(B65="","",IFERROR(VLOOKUP(B65,Proveedores!$B$6:$I$105,2,FALSE),""))</f>
        <v/>
      </c>
      <c r="D65" s="21" t="n"/>
      <c r="E65" s="21" t="n"/>
      <c r="F65" s="45" t="n"/>
      <c r="G65" s="45" t="n"/>
      <c r="H65" s="23">
        <f>IF(B65="","",IFERROR(VLOOKUP(B65,Proveedores!$B$6:$I$105,7,FALSE),""))</f>
        <v/>
      </c>
      <c r="I65" s="46">
        <f>IF(OR(F65="",H65=""),"",F65+H65)</f>
        <v/>
      </c>
      <c r="J65" s="21" t="n"/>
      <c r="K65" s="20">
        <f>IF(B65="","",IFERROR(VLOOKUP(B65,Proveedores!$B$6:$I$105,8,FALSE),""))</f>
        <v/>
      </c>
      <c r="L65" s="47" t="n"/>
      <c r="M65" s="26" t="n"/>
      <c r="N65" s="48">
        <f>IF(L65="","",L65*M65)</f>
        <v/>
      </c>
      <c r="O65" s="26" t="n"/>
      <c r="P65" s="48">
        <f>IF(L65="","",L65*O65)</f>
        <v/>
      </c>
      <c r="Q65" s="48">
        <f>IF(L65="","",L65+N65-P65)</f>
        <v/>
      </c>
      <c r="R65" s="47" t="n"/>
      <c r="S65" s="48">
        <f>IF(Q65="","",MAX(Q65-R65,0))</f>
        <v/>
      </c>
      <c r="T65" s="45" t="n"/>
      <c r="U65" s="23">
        <f>IF(I65="","",IF(S65&lt;=0,"",I65-TODAY()))</f>
        <v/>
      </c>
      <c r="V65" s="20">
        <f>IF(B65="","",IF(S65&lt;=0,"Liquidada",IF(U65&gt;=0,"0. En plazo",IF(U65&gt;=-30,"1. 1-30 venc.",IF(U65&gt;=-60,"2. 31-60 venc.",IF(U65&gt;=-90,"3. 61-90 venc.","4. +90 venc."))))))</f>
        <v/>
      </c>
      <c r="W65" s="20">
        <f>IF(B65="","",IF(X65="Sí","Duplicada",IF(S65&lt;=0,"OK",IF(U65&lt;0,"Vencida",IF(U65&lt;=7,"Vence &lt;=7 días",IF(U65&lt;=15,"Vence 8-15 días","En plazo"))))))</f>
        <v/>
      </c>
      <c r="X65" s="20">
        <f>IF(OR(B65="",D65=""),"",IF(COUNTIFS($B$7:$B$106,B65,$D$7:$D$106,D65)&gt;1,"Sí",""))</f>
        <v/>
      </c>
      <c r="Y65" s="21" t="n"/>
      <c r="Z65" s="28">
        <f>IF(F65="","",DATE(YEAR(F65),MONTH(F65),1))</f>
        <v/>
      </c>
      <c r="AA65" s="21" t="n"/>
      <c r="AB65" s="23">
        <f>IF(OR(T65="",F65="",S65&gt;0),"",T65-F65)</f>
        <v/>
      </c>
    </row>
    <row r="66">
      <c r="A66" s="20">
        <f>IF(B66="","","AP-"&amp;TEXT(F66,"YYMM")&amp;"-"&amp;TEXT(ROW()-6,"000"))</f>
        <v/>
      </c>
      <c r="B66" s="21" t="n"/>
      <c r="C66" s="20">
        <f>IF(B66="","",IFERROR(VLOOKUP(B66,Proveedores!$B$6:$I$105,2,FALSE),""))</f>
        <v/>
      </c>
      <c r="D66" s="21" t="n"/>
      <c r="E66" s="21" t="n"/>
      <c r="F66" s="45" t="n"/>
      <c r="G66" s="45" t="n"/>
      <c r="H66" s="23">
        <f>IF(B66="","",IFERROR(VLOOKUP(B66,Proveedores!$B$6:$I$105,7,FALSE),""))</f>
        <v/>
      </c>
      <c r="I66" s="46">
        <f>IF(OR(F66="",H66=""),"",F66+H66)</f>
        <v/>
      </c>
      <c r="J66" s="21" t="n"/>
      <c r="K66" s="20">
        <f>IF(B66="","",IFERROR(VLOOKUP(B66,Proveedores!$B$6:$I$105,8,FALSE),""))</f>
        <v/>
      </c>
      <c r="L66" s="47" t="n"/>
      <c r="M66" s="26" t="n"/>
      <c r="N66" s="48">
        <f>IF(L66="","",L66*M66)</f>
        <v/>
      </c>
      <c r="O66" s="26" t="n"/>
      <c r="P66" s="48">
        <f>IF(L66="","",L66*O66)</f>
        <v/>
      </c>
      <c r="Q66" s="48">
        <f>IF(L66="","",L66+N66-P66)</f>
        <v/>
      </c>
      <c r="R66" s="47" t="n"/>
      <c r="S66" s="48">
        <f>IF(Q66="","",MAX(Q66-R66,0))</f>
        <v/>
      </c>
      <c r="T66" s="45" t="n"/>
      <c r="U66" s="23">
        <f>IF(I66="","",IF(S66&lt;=0,"",I66-TODAY()))</f>
        <v/>
      </c>
      <c r="V66" s="20">
        <f>IF(B66="","",IF(S66&lt;=0,"Liquidada",IF(U66&gt;=0,"0. En plazo",IF(U66&gt;=-30,"1. 1-30 venc.",IF(U66&gt;=-60,"2. 31-60 venc.",IF(U66&gt;=-90,"3. 61-90 venc.","4. +90 venc."))))))</f>
        <v/>
      </c>
      <c r="W66" s="20">
        <f>IF(B66="","",IF(X66="Sí","Duplicada",IF(S66&lt;=0,"OK",IF(U66&lt;0,"Vencida",IF(U66&lt;=7,"Vence &lt;=7 días",IF(U66&lt;=15,"Vence 8-15 días","En plazo"))))))</f>
        <v/>
      </c>
      <c r="X66" s="20">
        <f>IF(OR(B66="",D66=""),"",IF(COUNTIFS($B$7:$B$106,B66,$D$7:$D$106,D66)&gt;1,"Sí",""))</f>
        <v/>
      </c>
      <c r="Y66" s="21" t="n"/>
      <c r="Z66" s="28">
        <f>IF(F66="","",DATE(YEAR(F66),MONTH(F66),1))</f>
        <v/>
      </c>
      <c r="AA66" s="21" t="n"/>
      <c r="AB66" s="23">
        <f>IF(OR(T66="",F66="",S66&gt;0),"",T66-F66)</f>
        <v/>
      </c>
    </row>
    <row r="67">
      <c r="A67" s="20">
        <f>IF(B67="","","AP-"&amp;TEXT(F67,"YYMM")&amp;"-"&amp;TEXT(ROW()-6,"000"))</f>
        <v/>
      </c>
      <c r="B67" s="21" t="n"/>
      <c r="C67" s="20">
        <f>IF(B67="","",IFERROR(VLOOKUP(B67,Proveedores!$B$6:$I$105,2,FALSE),""))</f>
        <v/>
      </c>
      <c r="D67" s="21" t="n"/>
      <c r="E67" s="21" t="n"/>
      <c r="F67" s="45" t="n"/>
      <c r="G67" s="45" t="n"/>
      <c r="H67" s="23">
        <f>IF(B67="","",IFERROR(VLOOKUP(B67,Proveedores!$B$6:$I$105,7,FALSE),""))</f>
        <v/>
      </c>
      <c r="I67" s="46">
        <f>IF(OR(F67="",H67=""),"",F67+H67)</f>
        <v/>
      </c>
      <c r="J67" s="21" t="n"/>
      <c r="K67" s="20">
        <f>IF(B67="","",IFERROR(VLOOKUP(B67,Proveedores!$B$6:$I$105,8,FALSE),""))</f>
        <v/>
      </c>
      <c r="L67" s="47" t="n"/>
      <c r="M67" s="26" t="n"/>
      <c r="N67" s="48">
        <f>IF(L67="","",L67*M67)</f>
        <v/>
      </c>
      <c r="O67" s="26" t="n"/>
      <c r="P67" s="48">
        <f>IF(L67="","",L67*O67)</f>
        <v/>
      </c>
      <c r="Q67" s="48">
        <f>IF(L67="","",L67+N67-P67)</f>
        <v/>
      </c>
      <c r="R67" s="47" t="n"/>
      <c r="S67" s="48">
        <f>IF(Q67="","",MAX(Q67-R67,0))</f>
        <v/>
      </c>
      <c r="T67" s="45" t="n"/>
      <c r="U67" s="23">
        <f>IF(I67="","",IF(S67&lt;=0,"",I67-TODAY()))</f>
        <v/>
      </c>
      <c r="V67" s="20">
        <f>IF(B67="","",IF(S67&lt;=0,"Liquidada",IF(U67&gt;=0,"0. En plazo",IF(U67&gt;=-30,"1. 1-30 venc.",IF(U67&gt;=-60,"2. 31-60 venc.",IF(U67&gt;=-90,"3. 61-90 venc.","4. +90 venc."))))))</f>
        <v/>
      </c>
      <c r="W67" s="20">
        <f>IF(B67="","",IF(X67="Sí","Duplicada",IF(S67&lt;=0,"OK",IF(U67&lt;0,"Vencida",IF(U67&lt;=7,"Vence &lt;=7 días",IF(U67&lt;=15,"Vence 8-15 días","En plazo"))))))</f>
        <v/>
      </c>
      <c r="X67" s="20">
        <f>IF(OR(B67="",D67=""),"",IF(COUNTIFS($B$7:$B$106,B67,$D$7:$D$106,D67)&gt;1,"Sí",""))</f>
        <v/>
      </c>
      <c r="Y67" s="21" t="n"/>
      <c r="Z67" s="28">
        <f>IF(F67="","",DATE(YEAR(F67),MONTH(F67),1))</f>
        <v/>
      </c>
      <c r="AA67" s="21" t="n"/>
      <c r="AB67" s="23">
        <f>IF(OR(T67="",F67="",S67&gt;0),"",T67-F67)</f>
        <v/>
      </c>
    </row>
    <row r="68">
      <c r="A68" s="20">
        <f>IF(B68="","","AP-"&amp;TEXT(F68,"YYMM")&amp;"-"&amp;TEXT(ROW()-6,"000"))</f>
        <v/>
      </c>
      <c r="B68" s="21" t="n"/>
      <c r="C68" s="20">
        <f>IF(B68="","",IFERROR(VLOOKUP(B68,Proveedores!$B$6:$I$105,2,FALSE),""))</f>
        <v/>
      </c>
      <c r="D68" s="21" t="n"/>
      <c r="E68" s="21" t="n"/>
      <c r="F68" s="45" t="n"/>
      <c r="G68" s="45" t="n"/>
      <c r="H68" s="23">
        <f>IF(B68="","",IFERROR(VLOOKUP(B68,Proveedores!$B$6:$I$105,7,FALSE),""))</f>
        <v/>
      </c>
      <c r="I68" s="46">
        <f>IF(OR(F68="",H68=""),"",F68+H68)</f>
        <v/>
      </c>
      <c r="J68" s="21" t="n"/>
      <c r="K68" s="20">
        <f>IF(B68="","",IFERROR(VLOOKUP(B68,Proveedores!$B$6:$I$105,8,FALSE),""))</f>
        <v/>
      </c>
      <c r="L68" s="47" t="n"/>
      <c r="M68" s="26" t="n"/>
      <c r="N68" s="48">
        <f>IF(L68="","",L68*M68)</f>
        <v/>
      </c>
      <c r="O68" s="26" t="n"/>
      <c r="P68" s="48">
        <f>IF(L68="","",L68*O68)</f>
        <v/>
      </c>
      <c r="Q68" s="48">
        <f>IF(L68="","",L68+N68-P68)</f>
        <v/>
      </c>
      <c r="R68" s="47" t="n"/>
      <c r="S68" s="48">
        <f>IF(Q68="","",MAX(Q68-R68,0))</f>
        <v/>
      </c>
      <c r="T68" s="45" t="n"/>
      <c r="U68" s="23">
        <f>IF(I68="","",IF(S68&lt;=0,"",I68-TODAY()))</f>
        <v/>
      </c>
      <c r="V68" s="20">
        <f>IF(B68="","",IF(S68&lt;=0,"Liquidada",IF(U68&gt;=0,"0. En plazo",IF(U68&gt;=-30,"1. 1-30 venc.",IF(U68&gt;=-60,"2. 31-60 venc.",IF(U68&gt;=-90,"3. 61-90 venc.","4. +90 venc."))))))</f>
        <v/>
      </c>
      <c r="W68" s="20">
        <f>IF(B68="","",IF(X68="Sí","Duplicada",IF(S68&lt;=0,"OK",IF(U68&lt;0,"Vencida",IF(U68&lt;=7,"Vence &lt;=7 días",IF(U68&lt;=15,"Vence 8-15 días","En plazo"))))))</f>
        <v/>
      </c>
      <c r="X68" s="20">
        <f>IF(OR(B68="",D68=""),"",IF(COUNTIFS($B$7:$B$106,B68,$D$7:$D$106,D68)&gt;1,"Sí",""))</f>
        <v/>
      </c>
      <c r="Y68" s="21" t="n"/>
      <c r="Z68" s="28">
        <f>IF(F68="","",DATE(YEAR(F68),MONTH(F68),1))</f>
        <v/>
      </c>
      <c r="AA68" s="21" t="n"/>
      <c r="AB68" s="23">
        <f>IF(OR(T68="",F68="",S68&gt;0),"",T68-F68)</f>
        <v/>
      </c>
    </row>
    <row r="69">
      <c r="A69" s="20">
        <f>IF(B69="","","AP-"&amp;TEXT(F69,"YYMM")&amp;"-"&amp;TEXT(ROW()-6,"000"))</f>
        <v/>
      </c>
      <c r="B69" s="21" t="n"/>
      <c r="C69" s="20">
        <f>IF(B69="","",IFERROR(VLOOKUP(B69,Proveedores!$B$6:$I$105,2,FALSE),""))</f>
        <v/>
      </c>
      <c r="D69" s="21" t="n"/>
      <c r="E69" s="21" t="n"/>
      <c r="F69" s="45" t="n"/>
      <c r="G69" s="45" t="n"/>
      <c r="H69" s="23">
        <f>IF(B69="","",IFERROR(VLOOKUP(B69,Proveedores!$B$6:$I$105,7,FALSE),""))</f>
        <v/>
      </c>
      <c r="I69" s="46">
        <f>IF(OR(F69="",H69=""),"",F69+H69)</f>
        <v/>
      </c>
      <c r="J69" s="21" t="n"/>
      <c r="K69" s="20">
        <f>IF(B69="","",IFERROR(VLOOKUP(B69,Proveedores!$B$6:$I$105,8,FALSE),""))</f>
        <v/>
      </c>
      <c r="L69" s="47" t="n"/>
      <c r="M69" s="26" t="n"/>
      <c r="N69" s="48">
        <f>IF(L69="","",L69*M69)</f>
        <v/>
      </c>
      <c r="O69" s="26" t="n"/>
      <c r="P69" s="48">
        <f>IF(L69="","",L69*O69)</f>
        <v/>
      </c>
      <c r="Q69" s="48">
        <f>IF(L69="","",L69+N69-P69)</f>
        <v/>
      </c>
      <c r="R69" s="47" t="n"/>
      <c r="S69" s="48">
        <f>IF(Q69="","",MAX(Q69-R69,0))</f>
        <v/>
      </c>
      <c r="T69" s="45" t="n"/>
      <c r="U69" s="23">
        <f>IF(I69="","",IF(S69&lt;=0,"",I69-TODAY()))</f>
        <v/>
      </c>
      <c r="V69" s="20">
        <f>IF(B69="","",IF(S69&lt;=0,"Liquidada",IF(U69&gt;=0,"0. En plazo",IF(U69&gt;=-30,"1. 1-30 venc.",IF(U69&gt;=-60,"2. 31-60 venc.",IF(U69&gt;=-90,"3. 61-90 venc.","4. +90 venc."))))))</f>
        <v/>
      </c>
      <c r="W69" s="20">
        <f>IF(B69="","",IF(X69="Sí","Duplicada",IF(S69&lt;=0,"OK",IF(U69&lt;0,"Vencida",IF(U69&lt;=7,"Vence &lt;=7 días",IF(U69&lt;=15,"Vence 8-15 días","En plazo"))))))</f>
        <v/>
      </c>
      <c r="X69" s="20">
        <f>IF(OR(B69="",D69=""),"",IF(COUNTIFS($B$7:$B$106,B69,$D$7:$D$106,D69)&gt;1,"Sí",""))</f>
        <v/>
      </c>
      <c r="Y69" s="21" t="n"/>
      <c r="Z69" s="28">
        <f>IF(F69="","",DATE(YEAR(F69),MONTH(F69),1))</f>
        <v/>
      </c>
      <c r="AA69" s="21" t="n"/>
      <c r="AB69" s="23">
        <f>IF(OR(T69="",F69="",S69&gt;0),"",T69-F69)</f>
        <v/>
      </c>
    </row>
    <row r="70">
      <c r="A70" s="20">
        <f>IF(B70="","","AP-"&amp;TEXT(F70,"YYMM")&amp;"-"&amp;TEXT(ROW()-6,"000"))</f>
        <v/>
      </c>
      <c r="B70" s="21" t="n"/>
      <c r="C70" s="20">
        <f>IF(B70="","",IFERROR(VLOOKUP(B70,Proveedores!$B$6:$I$105,2,FALSE),""))</f>
        <v/>
      </c>
      <c r="D70" s="21" t="n"/>
      <c r="E70" s="21" t="n"/>
      <c r="F70" s="45" t="n"/>
      <c r="G70" s="45" t="n"/>
      <c r="H70" s="23">
        <f>IF(B70="","",IFERROR(VLOOKUP(B70,Proveedores!$B$6:$I$105,7,FALSE),""))</f>
        <v/>
      </c>
      <c r="I70" s="46">
        <f>IF(OR(F70="",H70=""),"",F70+H70)</f>
        <v/>
      </c>
      <c r="J70" s="21" t="n"/>
      <c r="K70" s="20">
        <f>IF(B70="","",IFERROR(VLOOKUP(B70,Proveedores!$B$6:$I$105,8,FALSE),""))</f>
        <v/>
      </c>
      <c r="L70" s="47" t="n"/>
      <c r="M70" s="26" t="n"/>
      <c r="N70" s="48">
        <f>IF(L70="","",L70*M70)</f>
        <v/>
      </c>
      <c r="O70" s="26" t="n"/>
      <c r="P70" s="48">
        <f>IF(L70="","",L70*O70)</f>
        <v/>
      </c>
      <c r="Q70" s="48">
        <f>IF(L70="","",L70+N70-P70)</f>
        <v/>
      </c>
      <c r="R70" s="47" t="n"/>
      <c r="S70" s="48">
        <f>IF(Q70="","",MAX(Q70-R70,0))</f>
        <v/>
      </c>
      <c r="T70" s="45" t="n"/>
      <c r="U70" s="23">
        <f>IF(I70="","",IF(S70&lt;=0,"",I70-TODAY()))</f>
        <v/>
      </c>
      <c r="V70" s="20">
        <f>IF(B70="","",IF(S70&lt;=0,"Liquidada",IF(U70&gt;=0,"0. En plazo",IF(U70&gt;=-30,"1. 1-30 venc.",IF(U70&gt;=-60,"2. 31-60 venc.",IF(U70&gt;=-90,"3. 61-90 venc.","4. +90 venc."))))))</f>
        <v/>
      </c>
      <c r="W70" s="20">
        <f>IF(B70="","",IF(X70="Sí","Duplicada",IF(S70&lt;=0,"OK",IF(U70&lt;0,"Vencida",IF(U70&lt;=7,"Vence &lt;=7 días",IF(U70&lt;=15,"Vence 8-15 días","En plazo"))))))</f>
        <v/>
      </c>
      <c r="X70" s="20">
        <f>IF(OR(B70="",D70=""),"",IF(COUNTIFS($B$7:$B$106,B70,$D$7:$D$106,D70)&gt;1,"Sí",""))</f>
        <v/>
      </c>
      <c r="Y70" s="21" t="n"/>
      <c r="Z70" s="28">
        <f>IF(F70="","",DATE(YEAR(F70),MONTH(F70),1))</f>
        <v/>
      </c>
      <c r="AA70" s="21" t="n"/>
      <c r="AB70" s="23">
        <f>IF(OR(T70="",F70="",S70&gt;0),"",T70-F70)</f>
        <v/>
      </c>
    </row>
    <row r="71">
      <c r="A71" s="20">
        <f>IF(B71="","","AP-"&amp;TEXT(F71,"YYMM")&amp;"-"&amp;TEXT(ROW()-6,"000"))</f>
        <v/>
      </c>
      <c r="B71" s="21" t="n"/>
      <c r="C71" s="20">
        <f>IF(B71="","",IFERROR(VLOOKUP(B71,Proveedores!$B$6:$I$105,2,FALSE),""))</f>
        <v/>
      </c>
      <c r="D71" s="21" t="n"/>
      <c r="E71" s="21" t="n"/>
      <c r="F71" s="45" t="n"/>
      <c r="G71" s="45" t="n"/>
      <c r="H71" s="23">
        <f>IF(B71="","",IFERROR(VLOOKUP(B71,Proveedores!$B$6:$I$105,7,FALSE),""))</f>
        <v/>
      </c>
      <c r="I71" s="46">
        <f>IF(OR(F71="",H71=""),"",F71+H71)</f>
        <v/>
      </c>
      <c r="J71" s="21" t="n"/>
      <c r="K71" s="20">
        <f>IF(B71="","",IFERROR(VLOOKUP(B71,Proveedores!$B$6:$I$105,8,FALSE),""))</f>
        <v/>
      </c>
      <c r="L71" s="47" t="n"/>
      <c r="M71" s="26" t="n"/>
      <c r="N71" s="48">
        <f>IF(L71="","",L71*M71)</f>
        <v/>
      </c>
      <c r="O71" s="26" t="n"/>
      <c r="P71" s="48">
        <f>IF(L71="","",L71*O71)</f>
        <v/>
      </c>
      <c r="Q71" s="48">
        <f>IF(L71="","",L71+N71-P71)</f>
        <v/>
      </c>
      <c r="R71" s="47" t="n"/>
      <c r="S71" s="48">
        <f>IF(Q71="","",MAX(Q71-R71,0))</f>
        <v/>
      </c>
      <c r="T71" s="45" t="n"/>
      <c r="U71" s="23">
        <f>IF(I71="","",IF(S71&lt;=0,"",I71-TODAY()))</f>
        <v/>
      </c>
      <c r="V71" s="20">
        <f>IF(B71="","",IF(S71&lt;=0,"Liquidada",IF(U71&gt;=0,"0. En plazo",IF(U71&gt;=-30,"1. 1-30 venc.",IF(U71&gt;=-60,"2. 31-60 venc.",IF(U71&gt;=-90,"3. 61-90 venc.","4. +90 venc."))))))</f>
        <v/>
      </c>
      <c r="W71" s="20">
        <f>IF(B71="","",IF(X71="Sí","Duplicada",IF(S71&lt;=0,"OK",IF(U71&lt;0,"Vencida",IF(U71&lt;=7,"Vence &lt;=7 días",IF(U71&lt;=15,"Vence 8-15 días","En plazo"))))))</f>
        <v/>
      </c>
      <c r="X71" s="20">
        <f>IF(OR(B71="",D71=""),"",IF(COUNTIFS($B$7:$B$106,B71,$D$7:$D$106,D71)&gt;1,"Sí",""))</f>
        <v/>
      </c>
      <c r="Y71" s="21" t="n"/>
      <c r="Z71" s="28">
        <f>IF(F71="","",DATE(YEAR(F71),MONTH(F71),1))</f>
        <v/>
      </c>
      <c r="AA71" s="21" t="n"/>
      <c r="AB71" s="23">
        <f>IF(OR(T71="",F71="",S71&gt;0),"",T71-F71)</f>
        <v/>
      </c>
    </row>
    <row r="72">
      <c r="A72" s="20">
        <f>IF(B72="","","AP-"&amp;TEXT(F72,"YYMM")&amp;"-"&amp;TEXT(ROW()-6,"000"))</f>
        <v/>
      </c>
      <c r="B72" s="21" t="n"/>
      <c r="C72" s="20">
        <f>IF(B72="","",IFERROR(VLOOKUP(B72,Proveedores!$B$6:$I$105,2,FALSE),""))</f>
        <v/>
      </c>
      <c r="D72" s="21" t="n"/>
      <c r="E72" s="21" t="n"/>
      <c r="F72" s="45" t="n"/>
      <c r="G72" s="45" t="n"/>
      <c r="H72" s="23">
        <f>IF(B72="","",IFERROR(VLOOKUP(B72,Proveedores!$B$6:$I$105,7,FALSE),""))</f>
        <v/>
      </c>
      <c r="I72" s="46">
        <f>IF(OR(F72="",H72=""),"",F72+H72)</f>
        <v/>
      </c>
      <c r="J72" s="21" t="n"/>
      <c r="K72" s="20">
        <f>IF(B72="","",IFERROR(VLOOKUP(B72,Proveedores!$B$6:$I$105,8,FALSE),""))</f>
        <v/>
      </c>
      <c r="L72" s="47" t="n"/>
      <c r="M72" s="26" t="n"/>
      <c r="N72" s="48">
        <f>IF(L72="","",L72*M72)</f>
        <v/>
      </c>
      <c r="O72" s="26" t="n"/>
      <c r="P72" s="48">
        <f>IF(L72="","",L72*O72)</f>
        <v/>
      </c>
      <c r="Q72" s="48">
        <f>IF(L72="","",L72+N72-P72)</f>
        <v/>
      </c>
      <c r="R72" s="47" t="n"/>
      <c r="S72" s="48">
        <f>IF(Q72="","",MAX(Q72-R72,0))</f>
        <v/>
      </c>
      <c r="T72" s="45" t="n"/>
      <c r="U72" s="23">
        <f>IF(I72="","",IF(S72&lt;=0,"",I72-TODAY()))</f>
        <v/>
      </c>
      <c r="V72" s="20">
        <f>IF(B72="","",IF(S72&lt;=0,"Liquidada",IF(U72&gt;=0,"0. En plazo",IF(U72&gt;=-30,"1. 1-30 venc.",IF(U72&gt;=-60,"2. 31-60 venc.",IF(U72&gt;=-90,"3. 61-90 venc.","4. +90 venc."))))))</f>
        <v/>
      </c>
      <c r="W72" s="20">
        <f>IF(B72="","",IF(X72="Sí","Duplicada",IF(S72&lt;=0,"OK",IF(U72&lt;0,"Vencida",IF(U72&lt;=7,"Vence &lt;=7 días",IF(U72&lt;=15,"Vence 8-15 días","En plazo"))))))</f>
        <v/>
      </c>
      <c r="X72" s="20">
        <f>IF(OR(B72="",D72=""),"",IF(COUNTIFS($B$7:$B$106,B72,$D$7:$D$106,D72)&gt;1,"Sí",""))</f>
        <v/>
      </c>
      <c r="Y72" s="21" t="n"/>
      <c r="Z72" s="28">
        <f>IF(F72="","",DATE(YEAR(F72),MONTH(F72),1))</f>
        <v/>
      </c>
      <c r="AA72" s="21" t="n"/>
      <c r="AB72" s="23">
        <f>IF(OR(T72="",F72="",S72&gt;0),"",T72-F72)</f>
        <v/>
      </c>
    </row>
    <row r="73">
      <c r="A73" s="20">
        <f>IF(B73="","","AP-"&amp;TEXT(F73,"YYMM")&amp;"-"&amp;TEXT(ROW()-6,"000"))</f>
        <v/>
      </c>
      <c r="B73" s="21" t="n"/>
      <c r="C73" s="20">
        <f>IF(B73="","",IFERROR(VLOOKUP(B73,Proveedores!$B$6:$I$105,2,FALSE),""))</f>
        <v/>
      </c>
      <c r="D73" s="21" t="n"/>
      <c r="E73" s="21" t="n"/>
      <c r="F73" s="45" t="n"/>
      <c r="G73" s="45" t="n"/>
      <c r="H73" s="23">
        <f>IF(B73="","",IFERROR(VLOOKUP(B73,Proveedores!$B$6:$I$105,7,FALSE),""))</f>
        <v/>
      </c>
      <c r="I73" s="46">
        <f>IF(OR(F73="",H73=""),"",F73+H73)</f>
        <v/>
      </c>
      <c r="J73" s="21" t="n"/>
      <c r="K73" s="20">
        <f>IF(B73="","",IFERROR(VLOOKUP(B73,Proveedores!$B$6:$I$105,8,FALSE),""))</f>
        <v/>
      </c>
      <c r="L73" s="47" t="n"/>
      <c r="M73" s="26" t="n"/>
      <c r="N73" s="48">
        <f>IF(L73="","",L73*M73)</f>
        <v/>
      </c>
      <c r="O73" s="26" t="n"/>
      <c r="P73" s="48">
        <f>IF(L73="","",L73*O73)</f>
        <v/>
      </c>
      <c r="Q73" s="48">
        <f>IF(L73="","",L73+N73-P73)</f>
        <v/>
      </c>
      <c r="R73" s="47" t="n"/>
      <c r="S73" s="48">
        <f>IF(Q73="","",MAX(Q73-R73,0))</f>
        <v/>
      </c>
      <c r="T73" s="45" t="n"/>
      <c r="U73" s="23">
        <f>IF(I73="","",IF(S73&lt;=0,"",I73-TODAY()))</f>
        <v/>
      </c>
      <c r="V73" s="20">
        <f>IF(B73="","",IF(S73&lt;=0,"Liquidada",IF(U73&gt;=0,"0. En plazo",IF(U73&gt;=-30,"1. 1-30 venc.",IF(U73&gt;=-60,"2. 31-60 venc.",IF(U73&gt;=-90,"3. 61-90 venc.","4. +90 venc."))))))</f>
        <v/>
      </c>
      <c r="W73" s="20">
        <f>IF(B73="","",IF(X73="Sí","Duplicada",IF(S73&lt;=0,"OK",IF(U73&lt;0,"Vencida",IF(U73&lt;=7,"Vence &lt;=7 días",IF(U73&lt;=15,"Vence 8-15 días","En plazo"))))))</f>
        <v/>
      </c>
      <c r="X73" s="20">
        <f>IF(OR(B73="",D73=""),"",IF(COUNTIFS($B$7:$B$106,B73,$D$7:$D$106,D73)&gt;1,"Sí",""))</f>
        <v/>
      </c>
      <c r="Y73" s="21" t="n"/>
      <c r="Z73" s="28">
        <f>IF(F73="","",DATE(YEAR(F73),MONTH(F73),1))</f>
        <v/>
      </c>
      <c r="AA73" s="21" t="n"/>
      <c r="AB73" s="23">
        <f>IF(OR(T73="",F73="",S73&gt;0),"",T73-F73)</f>
        <v/>
      </c>
    </row>
    <row r="74">
      <c r="A74" s="20">
        <f>IF(B74="","","AP-"&amp;TEXT(F74,"YYMM")&amp;"-"&amp;TEXT(ROW()-6,"000"))</f>
        <v/>
      </c>
      <c r="B74" s="21" t="n"/>
      <c r="C74" s="20">
        <f>IF(B74="","",IFERROR(VLOOKUP(B74,Proveedores!$B$6:$I$105,2,FALSE),""))</f>
        <v/>
      </c>
      <c r="D74" s="21" t="n"/>
      <c r="E74" s="21" t="n"/>
      <c r="F74" s="45" t="n"/>
      <c r="G74" s="45" t="n"/>
      <c r="H74" s="23">
        <f>IF(B74="","",IFERROR(VLOOKUP(B74,Proveedores!$B$6:$I$105,7,FALSE),""))</f>
        <v/>
      </c>
      <c r="I74" s="46">
        <f>IF(OR(F74="",H74=""),"",F74+H74)</f>
        <v/>
      </c>
      <c r="J74" s="21" t="n"/>
      <c r="K74" s="20">
        <f>IF(B74="","",IFERROR(VLOOKUP(B74,Proveedores!$B$6:$I$105,8,FALSE),""))</f>
        <v/>
      </c>
      <c r="L74" s="47" t="n"/>
      <c r="M74" s="26" t="n"/>
      <c r="N74" s="48">
        <f>IF(L74="","",L74*M74)</f>
        <v/>
      </c>
      <c r="O74" s="26" t="n"/>
      <c r="P74" s="48">
        <f>IF(L74="","",L74*O74)</f>
        <v/>
      </c>
      <c r="Q74" s="48">
        <f>IF(L74="","",L74+N74-P74)</f>
        <v/>
      </c>
      <c r="R74" s="47" t="n"/>
      <c r="S74" s="48">
        <f>IF(Q74="","",MAX(Q74-R74,0))</f>
        <v/>
      </c>
      <c r="T74" s="45" t="n"/>
      <c r="U74" s="23">
        <f>IF(I74="","",IF(S74&lt;=0,"",I74-TODAY()))</f>
        <v/>
      </c>
      <c r="V74" s="20">
        <f>IF(B74="","",IF(S74&lt;=0,"Liquidada",IF(U74&gt;=0,"0. En plazo",IF(U74&gt;=-30,"1. 1-30 venc.",IF(U74&gt;=-60,"2. 31-60 venc.",IF(U74&gt;=-90,"3. 61-90 venc.","4. +90 venc."))))))</f>
        <v/>
      </c>
      <c r="W74" s="20">
        <f>IF(B74="","",IF(X74="Sí","Duplicada",IF(S74&lt;=0,"OK",IF(U74&lt;0,"Vencida",IF(U74&lt;=7,"Vence &lt;=7 días",IF(U74&lt;=15,"Vence 8-15 días","En plazo"))))))</f>
        <v/>
      </c>
      <c r="X74" s="20">
        <f>IF(OR(B74="",D74=""),"",IF(COUNTIFS($B$7:$B$106,B74,$D$7:$D$106,D74)&gt;1,"Sí",""))</f>
        <v/>
      </c>
      <c r="Y74" s="21" t="n"/>
      <c r="Z74" s="28">
        <f>IF(F74="","",DATE(YEAR(F74),MONTH(F74),1))</f>
        <v/>
      </c>
      <c r="AA74" s="21" t="n"/>
      <c r="AB74" s="23">
        <f>IF(OR(T74="",F74="",S74&gt;0),"",T74-F74)</f>
        <v/>
      </c>
    </row>
    <row r="75">
      <c r="A75" s="20">
        <f>IF(B75="","","AP-"&amp;TEXT(F75,"YYMM")&amp;"-"&amp;TEXT(ROW()-6,"000"))</f>
        <v/>
      </c>
      <c r="B75" s="21" t="n"/>
      <c r="C75" s="20">
        <f>IF(B75="","",IFERROR(VLOOKUP(B75,Proveedores!$B$6:$I$105,2,FALSE),""))</f>
        <v/>
      </c>
      <c r="D75" s="21" t="n"/>
      <c r="E75" s="21" t="n"/>
      <c r="F75" s="45" t="n"/>
      <c r="G75" s="45" t="n"/>
      <c r="H75" s="23">
        <f>IF(B75="","",IFERROR(VLOOKUP(B75,Proveedores!$B$6:$I$105,7,FALSE),""))</f>
        <v/>
      </c>
      <c r="I75" s="46">
        <f>IF(OR(F75="",H75=""),"",F75+H75)</f>
        <v/>
      </c>
      <c r="J75" s="21" t="n"/>
      <c r="K75" s="20">
        <f>IF(B75="","",IFERROR(VLOOKUP(B75,Proveedores!$B$6:$I$105,8,FALSE),""))</f>
        <v/>
      </c>
      <c r="L75" s="47" t="n"/>
      <c r="M75" s="26" t="n"/>
      <c r="N75" s="48">
        <f>IF(L75="","",L75*M75)</f>
        <v/>
      </c>
      <c r="O75" s="26" t="n"/>
      <c r="P75" s="48">
        <f>IF(L75="","",L75*O75)</f>
        <v/>
      </c>
      <c r="Q75" s="48">
        <f>IF(L75="","",L75+N75-P75)</f>
        <v/>
      </c>
      <c r="R75" s="47" t="n"/>
      <c r="S75" s="48">
        <f>IF(Q75="","",MAX(Q75-R75,0))</f>
        <v/>
      </c>
      <c r="T75" s="45" t="n"/>
      <c r="U75" s="23">
        <f>IF(I75="","",IF(S75&lt;=0,"",I75-TODAY()))</f>
        <v/>
      </c>
      <c r="V75" s="20">
        <f>IF(B75="","",IF(S75&lt;=0,"Liquidada",IF(U75&gt;=0,"0. En plazo",IF(U75&gt;=-30,"1. 1-30 venc.",IF(U75&gt;=-60,"2. 31-60 venc.",IF(U75&gt;=-90,"3. 61-90 venc.","4. +90 venc."))))))</f>
        <v/>
      </c>
      <c r="W75" s="20">
        <f>IF(B75="","",IF(X75="Sí","Duplicada",IF(S75&lt;=0,"OK",IF(U75&lt;0,"Vencida",IF(U75&lt;=7,"Vence &lt;=7 días",IF(U75&lt;=15,"Vence 8-15 días","En plazo"))))))</f>
        <v/>
      </c>
      <c r="X75" s="20">
        <f>IF(OR(B75="",D75=""),"",IF(COUNTIFS($B$7:$B$106,B75,$D$7:$D$106,D75)&gt;1,"Sí",""))</f>
        <v/>
      </c>
      <c r="Y75" s="21" t="n"/>
      <c r="Z75" s="28">
        <f>IF(F75="","",DATE(YEAR(F75),MONTH(F75),1))</f>
        <v/>
      </c>
      <c r="AA75" s="21" t="n"/>
      <c r="AB75" s="23">
        <f>IF(OR(T75="",F75="",S75&gt;0),"",T75-F75)</f>
        <v/>
      </c>
    </row>
    <row r="76">
      <c r="A76" s="20">
        <f>IF(B76="","","AP-"&amp;TEXT(F76,"YYMM")&amp;"-"&amp;TEXT(ROW()-6,"000"))</f>
        <v/>
      </c>
      <c r="B76" s="21" t="n"/>
      <c r="C76" s="20">
        <f>IF(B76="","",IFERROR(VLOOKUP(B76,Proveedores!$B$6:$I$105,2,FALSE),""))</f>
        <v/>
      </c>
      <c r="D76" s="21" t="n"/>
      <c r="E76" s="21" t="n"/>
      <c r="F76" s="45" t="n"/>
      <c r="G76" s="45" t="n"/>
      <c r="H76" s="23">
        <f>IF(B76="","",IFERROR(VLOOKUP(B76,Proveedores!$B$6:$I$105,7,FALSE),""))</f>
        <v/>
      </c>
      <c r="I76" s="46">
        <f>IF(OR(F76="",H76=""),"",F76+H76)</f>
        <v/>
      </c>
      <c r="J76" s="21" t="n"/>
      <c r="K76" s="20">
        <f>IF(B76="","",IFERROR(VLOOKUP(B76,Proveedores!$B$6:$I$105,8,FALSE),""))</f>
        <v/>
      </c>
      <c r="L76" s="47" t="n"/>
      <c r="M76" s="26" t="n"/>
      <c r="N76" s="48">
        <f>IF(L76="","",L76*M76)</f>
        <v/>
      </c>
      <c r="O76" s="26" t="n"/>
      <c r="P76" s="48">
        <f>IF(L76="","",L76*O76)</f>
        <v/>
      </c>
      <c r="Q76" s="48">
        <f>IF(L76="","",L76+N76-P76)</f>
        <v/>
      </c>
      <c r="R76" s="47" t="n"/>
      <c r="S76" s="48">
        <f>IF(Q76="","",MAX(Q76-R76,0))</f>
        <v/>
      </c>
      <c r="T76" s="45" t="n"/>
      <c r="U76" s="23">
        <f>IF(I76="","",IF(S76&lt;=0,"",I76-TODAY()))</f>
        <v/>
      </c>
      <c r="V76" s="20">
        <f>IF(B76="","",IF(S76&lt;=0,"Liquidada",IF(U76&gt;=0,"0. En plazo",IF(U76&gt;=-30,"1. 1-30 venc.",IF(U76&gt;=-60,"2. 31-60 venc.",IF(U76&gt;=-90,"3. 61-90 venc.","4. +90 venc."))))))</f>
        <v/>
      </c>
      <c r="W76" s="20">
        <f>IF(B76="","",IF(X76="Sí","Duplicada",IF(S76&lt;=0,"OK",IF(U76&lt;0,"Vencida",IF(U76&lt;=7,"Vence &lt;=7 días",IF(U76&lt;=15,"Vence 8-15 días","En plazo"))))))</f>
        <v/>
      </c>
      <c r="X76" s="20">
        <f>IF(OR(B76="",D76=""),"",IF(COUNTIFS($B$7:$B$106,B76,$D$7:$D$106,D76)&gt;1,"Sí",""))</f>
        <v/>
      </c>
      <c r="Y76" s="21" t="n"/>
      <c r="Z76" s="28">
        <f>IF(F76="","",DATE(YEAR(F76),MONTH(F76),1))</f>
        <v/>
      </c>
      <c r="AA76" s="21" t="n"/>
      <c r="AB76" s="23">
        <f>IF(OR(T76="",F76="",S76&gt;0),"",T76-F76)</f>
        <v/>
      </c>
    </row>
    <row r="77">
      <c r="A77" s="20">
        <f>IF(B77="","","AP-"&amp;TEXT(F77,"YYMM")&amp;"-"&amp;TEXT(ROW()-6,"000"))</f>
        <v/>
      </c>
      <c r="B77" s="21" t="n"/>
      <c r="C77" s="20">
        <f>IF(B77="","",IFERROR(VLOOKUP(B77,Proveedores!$B$6:$I$105,2,FALSE),""))</f>
        <v/>
      </c>
      <c r="D77" s="21" t="n"/>
      <c r="E77" s="21" t="n"/>
      <c r="F77" s="45" t="n"/>
      <c r="G77" s="45" t="n"/>
      <c r="H77" s="23">
        <f>IF(B77="","",IFERROR(VLOOKUP(B77,Proveedores!$B$6:$I$105,7,FALSE),""))</f>
        <v/>
      </c>
      <c r="I77" s="46">
        <f>IF(OR(F77="",H77=""),"",F77+H77)</f>
        <v/>
      </c>
      <c r="J77" s="21" t="n"/>
      <c r="K77" s="20">
        <f>IF(B77="","",IFERROR(VLOOKUP(B77,Proveedores!$B$6:$I$105,8,FALSE),""))</f>
        <v/>
      </c>
      <c r="L77" s="47" t="n"/>
      <c r="M77" s="26" t="n"/>
      <c r="N77" s="48">
        <f>IF(L77="","",L77*M77)</f>
        <v/>
      </c>
      <c r="O77" s="26" t="n"/>
      <c r="P77" s="48">
        <f>IF(L77="","",L77*O77)</f>
        <v/>
      </c>
      <c r="Q77" s="48">
        <f>IF(L77="","",L77+N77-P77)</f>
        <v/>
      </c>
      <c r="R77" s="47" t="n"/>
      <c r="S77" s="48">
        <f>IF(Q77="","",MAX(Q77-R77,0))</f>
        <v/>
      </c>
      <c r="T77" s="45" t="n"/>
      <c r="U77" s="23">
        <f>IF(I77="","",IF(S77&lt;=0,"",I77-TODAY()))</f>
        <v/>
      </c>
      <c r="V77" s="20">
        <f>IF(B77="","",IF(S77&lt;=0,"Liquidada",IF(U77&gt;=0,"0. En plazo",IF(U77&gt;=-30,"1. 1-30 venc.",IF(U77&gt;=-60,"2. 31-60 venc.",IF(U77&gt;=-90,"3. 61-90 venc.","4. +90 venc."))))))</f>
        <v/>
      </c>
      <c r="W77" s="20">
        <f>IF(B77="","",IF(X77="Sí","Duplicada",IF(S77&lt;=0,"OK",IF(U77&lt;0,"Vencida",IF(U77&lt;=7,"Vence &lt;=7 días",IF(U77&lt;=15,"Vence 8-15 días","En plazo"))))))</f>
        <v/>
      </c>
      <c r="X77" s="20">
        <f>IF(OR(B77="",D77=""),"",IF(COUNTIFS($B$7:$B$106,B77,$D$7:$D$106,D77)&gt;1,"Sí",""))</f>
        <v/>
      </c>
      <c r="Y77" s="21" t="n"/>
      <c r="Z77" s="28">
        <f>IF(F77="","",DATE(YEAR(F77),MONTH(F77),1))</f>
        <v/>
      </c>
      <c r="AA77" s="21" t="n"/>
      <c r="AB77" s="23">
        <f>IF(OR(T77="",F77="",S77&gt;0),"",T77-F77)</f>
        <v/>
      </c>
    </row>
    <row r="78">
      <c r="A78" s="20">
        <f>IF(B78="","","AP-"&amp;TEXT(F78,"YYMM")&amp;"-"&amp;TEXT(ROW()-6,"000"))</f>
        <v/>
      </c>
      <c r="B78" s="21" t="n"/>
      <c r="C78" s="20">
        <f>IF(B78="","",IFERROR(VLOOKUP(B78,Proveedores!$B$6:$I$105,2,FALSE),""))</f>
        <v/>
      </c>
      <c r="D78" s="21" t="n"/>
      <c r="E78" s="21" t="n"/>
      <c r="F78" s="45" t="n"/>
      <c r="G78" s="45" t="n"/>
      <c r="H78" s="23">
        <f>IF(B78="","",IFERROR(VLOOKUP(B78,Proveedores!$B$6:$I$105,7,FALSE),""))</f>
        <v/>
      </c>
      <c r="I78" s="46">
        <f>IF(OR(F78="",H78=""),"",F78+H78)</f>
        <v/>
      </c>
      <c r="J78" s="21" t="n"/>
      <c r="K78" s="20">
        <f>IF(B78="","",IFERROR(VLOOKUP(B78,Proveedores!$B$6:$I$105,8,FALSE),""))</f>
        <v/>
      </c>
      <c r="L78" s="47" t="n"/>
      <c r="M78" s="26" t="n"/>
      <c r="N78" s="48">
        <f>IF(L78="","",L78*M78)</f>
        <v/>
      </c>
      <c r="O78" s="26" t="n"/>
      <c r="P78" s="48">
        <f>IF(L78="","",L78*O78)</f>
        <v/>
      </c>
      <c r="Q78" s="48">
        <f>IF(L78="","",L78+N78-P78)</f>
        <v/>
      </c>
      <c r="R78" s="47" t="n"/>
      <c r="S78" s="48">
        <f>IF(Q78="","",MAX(Q78-R78,0))</f>
        <v/>
      </c>
      <c r="T78" s="45" t="n"/>
      <c r="U78" s="23">
        <f>IF(I78="","",IF(S78&lt;=0,"",I78-TODAY()))</f>
        <v/>
      </c>
      <c r="V78" s="20">
        <f>IF(B78="","",IF(S78&lt;=0,"Liquidada",IF(U78&gt;=0,"0. En plazo",IF(U78&gt;=-30,"1. 1-30 venc.",IF(U78&gt;=-60,"2. 31-60 venc.",IF(U78&gt;=-90,"3. 61-90 venc.","4. +90 venc."))))))</f>
        <v/>
      </c>
      <c r="W78" s="20">
        <f>IF(B78="","",IF(X78="Sí","Duplicada",IF(S78&lt;=0,"OK",IF(U78&lt;0,"Vencida",IF(U78&lt;=7,"Vence &lt;=7 días",IF(U78&lt;=15,"Vence 8-15 días","En plazo"))))))</f>
        <v/>
      </c>
      <c r="X78" s="20">
        <f>IF(OR(B78="",D78=""),"",IF(COUNTIFS($B$7:$B$106,B78,$D$7:$D$106,D78)&gt;1,"Sí",""))</f>
        <v/>
      </c>
      <c r="Y78" s="21" t="n"/>
      <c r="Z78" s="28">
        <f>IF(F78="","",DATE(YEAR(F78),MONTH(F78),1))</f>
        <v/>
      </c>
      <c r="AA78" s="21" t="n"/>
      <c r="AB78" s="23">
        <f>IF(OR(T78="",F78="",S78&gt;0),"",T78-F78)</f>
        <v/>
      </c>
    </row>
    <row r="79">
      <c r="A79" s="20">
        <f>IF(B79="","","AP-"&amp;TEXT(F79,"YYMM")&amp;"-"&amp;TEXT(ROW()-6,"000"))</f>
        <v/>
      </c>
      <c r="B79" s="21" t="n"/>
      <c r="C79" s="20">
        <f>IF(B79="","",IFERROR(VLOOKUP(B79,Proveedores!$B$6:$I$105,2,FALSE),""))</f>
        <v/>
      </c>
      <c r="D79" s="21" t="n"/>
      <c r="E79" s="21" t="n"/>
      <c r="F79" s="45" t="n"/>
      <c r="G79" s="45" t="n"/>
      <c r="H79" s="23">
        <f>IF(B79="","",IFERROR(VLOOKUP(B79,Proveedores!$B$6:$I$105,7,FALSE),""))</f>
        <v/>
      </c>
      <c r="I79" s="46">
        <f>IF(OR(F79="",H79=""),"",F79+H79)</f>
        <v/>
      </c>
      <c r="J79" s="21" t="n"/>
      <c r="K79" s="20">
        <f>IF(B79="","",IFERROR(VLOOKUP(B79,Proveedores!$B$6:$I$105,8,FALSE),""))</f>
        <v/>
      </c>
      <c r="L79" s="47" t="n"/>
      <c r="M79" s="26" t="n"/>
      <c r="N79" s="48">
        <f>IF(L79="","",L79*M79)</f>
        <v/>
      </c>
      <c r="O79" s="26" t="n"/>
      <c r="P79" s="48">
        <f>IF(L79="","",L79*O79)</f>
        <v/>
      </c>
      <c r="Q79" s="48">
        <f>IF(L79="","",L79+N79-P79)</f>
        <v/>
      </c>
      <c r="R79" s="47" t="n"/>
      <c r="S79" s="48">
        <f>IF(Q79="","",MAX(Q79-R79,0))</f>
        <v/>
      </c>
      <c r="T79" s="45" t="n"/>
      <c r="U79" s="23">
        <f>IF(I79="","",IF(S79&lt;=0,"",I79-TODAY()))</f>
        <v/>
      </c>
      <c r="V79" s="20">
        <f>IF(B79="","",IF(S79&lt;=0,"Liquidada",IF(U79&gt;=0,"0. En plazo",IF(U79&gt;=-30,"1. 1-30 venc.",IF(U79&gt;=-60,"2. 31-60 venc.",IF(U79&gt;=-90,"3. 61-90 venc.","4. +90 venc."))))))</f>
        <v/>
      </c>
      <c r="W79" s="20">
        <f>IF(B79="","",IF(X79="Sí","Duplicada",IF(S79&lt;=0,"OK",IF(U79&lt;0,"Vencida",IF(U79&lt;=7,"Vence &lt;=7 días",IF(U79&lt;=15,"Vence 8-15 días","En plazo"))))))</f>
        <v/>
      </c>
      <c r="X79" s="20">
        <f>IF(OR(B79="",D79=""),"",IF(COUNTIFS($B$7:$B$106,B79,$D$7:$D$106,D79)&gt;1,"Sí",""))</f>
        <v/>
      </c>
      <c r="Y79" s="21" t="n"/>
      <c r="Z79" s="28">
        <f>IF(F79="","",DATE(YEAR(F79),MONTH(F79),1))</f>
        <v/>
      </c>
      <c r="AA79" s="21" t="n"/>
      <c r="AB79" s="23">
        <f>IF(OR(T79="",F79="",S79&gt;0),"",T79-F79)</f>
        <v/>
      </c>
    </row>
    <row r="80">
      <c r="A80" s="20">
        <f>IF(B80="","","AP-"&amp;TEXT(F80,"YYMM")&amp;"-"&amp;TEXT(ROW()-6,"000"))</f>
        <v/>
      </c>
      <c r="B80" s="21" t="n"/>
      <c r="C80" s="20">
        <f>IF(B80="","",IFERROR(VLOOKUP(B80,Proveedores!$B$6:$I$105,2,FALSE),""))</f>
        <v/>
      </c>
      <c r="D80" s="21" t="n"/>
      <c r="E80" s="21" t="n"/>
      <c r="F80" s="45" t="n"/>
      <c r="G80" s="45" t="n"/>
      <c r="H80" s="23">
        <f>IF(B80="","",IFERROR(VLOOKUP(B80,Proveedores!$B$6:$I$105,7,FALSE),""))</f>
        <v/>
      </c>
      <c r="I80" s="46">
        <f>IF(OR(F80="",H80=""),"",F80+H80)</f>
        <v/>
      </c>
      <c r="J80" s="21" t="n"/>
      <c r="K80" s="20">
        <f>IF(B80="","",IFERROR(VLOOKUP(B80,Proveedores!$B$6:$I$105,8,FALSE),""))</f>
        <v/>
      </c>
      <c r="L80" s="47" t="n"/>
      <c r="M80" s="26" t="n"/>
      <c r="N80" s="48">
        <f>IF(L80="","",L80*M80)</f>
        <v/>
      </c>
      <c r="O80" s="26" t="n"/>
      <c r="P80" s="48">
        <f>IF(L80="","",L80*O80)</f>
        <v/>
      </c>
      <c r="Q80" s="48">
        <f>IF(L80="","",L80+N80-P80)</f>
        <v/>
      </c>
      <c r="R80" s="47" t="n"/>
      <c r="S80" s="48">
        <f>IF(Q80="","",MAX(Q80-R80,0))</f>
        <v/>
      </c>
      <c r="T80" s="45" t="n"/>
      <c r="U80" s="23">
        <f>IF(I80="","",IF(S80&lt;=0,"",I80-TODAY()))</f>
        <v/>
      </c>
      <c r="V80" s="20">
        <f>IF(B80="","",IF(S80&lt;=0,"Liquidada",IF(U80&gt;=0,"0. En plazo",IF(U80&gt;=-30,"1. 1-30 venc.",IF(U80&gt;=-60,"2. 31-60 venc.",IF(U80&gt;=-90,"3. 61-90 venc.","4. +90 venc."))))))</f>
        <v/>
      </c>
      <c r="W80" s="20">
        <f>IF(B80="","",IF(X80="Sí","Duplicada",IF(S80&lt;=0,"OK",IF(U80&lt;0,"Vencida",IF(U80&lt;=7,"Vence &lt;=7 días",IF(U80&lt;=15,"Vence 8-15 días","En plazo"))))))</f>
        <v/>
      </c>
      <c r="X80" s="20">
        <f>IF(OR(B80="",D80=""),"",IF(COUNTIFS($B$7:$B$106,B80,$D$7:$D$106,D80)&gt;1,"Sí",""))</f>
        <v/>
      </c>
      <c r="Y80" s="21" t="n"/>
      <c r="Z80" s="28">
        <f>IF(F80="","",DATE(YEAR(F80),MONTH(F80),1))</f>
        <v/>
      </c>
      <c r="AA80" s="21" t="n"/>
      <c r="AB80" s="23">
        <f>IF(OR(T80="",F80="",S80&gt;0),"",T80-F80)</f>
        <v/>
      </c>
    </row>
    <row r="81">
      <c r="A81" s="20">
        <f>IF(B81="","","AP-"&amp;TEXT(F81,"YYMM")&amp;"-"&amp;TEXT(ROW()-6,"000"))</f>
        <v/>
      </c>
      <c r="B81" s="21" t="n"/>
      <c r="C81" s="20">
        <f>IF(B81="","",IFERROR(VLOOKUP(B81,Proveedores!$B$6:$I$105,2,FALSE),""))</f>
        <v/>
      </c>
      <c r="D81" s="21" t="n"/>
      <c r="E81" s="21" t="n"/>
      <c r="F81" s="45" t="n"/>
      <c r="G81" s="45" t="n"/>
      <c r="H81" s="23">
        <f>IF(B81="","",IFERROR(VLOOKUP(B81,Proveedores!$B$6:$I$105,7,FALSE),""))</f>
        <v/>
      </c>
      <c r="I81" s="46">
        <f>IF(OR(F81="",H81=""),"",F81+H81)</f>
        <v/>
      </c>
      <c r="J81" s="21" t="n"/>
      <c r="K81" s="20">
        <f>IF(B81="","",IFERROR(VLOOKUP(B81,Proveedores!$B$6:$I$105,8,FALSE),""))</f>
        <v/>
      </c>
      <c r="L81" s="47" t="n"/>
      <c r="M81" s="26" t="n"/>
      <c r="N81" s="48">
        <f>IF(L81="","",L81*M81)</f>
        <v/>
      </c>
      <c r="O81" s="26" t="n"/>
      <c r="P81" s="48">
        <f>IF(L81="","",L81*O81)</f>
        <v/>
      </c>
      <c r="Q81" s="48">
        <f>IF(L81="","",L81+N81-P81)</f>
        <v/>
      </c>
      <c r="R81" s="47" t="n"/>
      <c r="S81" s="48">
        <f>IF(Q81="","",MAX(Q81-R81,0))</f>
        <v/>
      </c>
      <c r="T81" s="45" t="n"/>
      <c r="U81" s="23">
        <f>IF(I81="","",IF(S81&lt;=0,"",I81-TODAY()))</f>
        <v/>
      </c>
      <c r="V81" s="20">
        <f>IF(B81="","",IF(S81&lt;=0,"Liquidada",IF(U81&gt;=0,"0. En plazo",IF(U81&gt;=-30,"1. 1-30 venc.",IF(U81&gt;=-60,"2. 31-60 venc.",IF(U81&gt;=-90,"3. 61-90 venc.","4. +90 venc."))))))</f>
        <v/>
      </c>
      <c r="W81" s="20">
        <f>IF(B81="","",IF(X81="Sí","Duplicada",IF(S81&lt;=0,"OK",IF(U81&lt;0,"Vencida",IF(U81&lt;=7,"Vence &lt;=7 días",IF(U81&lt;=15,"Vence 8-15 días","En plazo"))))))</f>
        <v/>
      </c>
      <c r="X81" s="20">
        <f>IF(OR(B81="",D81=""),"",IF(COUNTIFS($B$7:$B$106,B81,$D$7:$D$106,D81)&gt;1,"Sí",""))</f>
        <v/>
      </c>
      <c r="Y81" s="21" t="n"/>
      <c r="Z81" s="28">
        <f>IF(F81="","",DATE(YEAR(F81),MONTH(F81),1))</f>
        <v/>
      </c>
      <c r="AA81" s="21" t="n"/>
      <c r="AB81" s="23">
        <f>IF(OR(T81="",F81="",S81&gt;0),"",T81-F81)</f>
        <v/>
      </c>
    </row>
    <row r="82">
      <c r="A82" s="20">
        <f>IF(B82="","","AP-"&amp;TEXT(F82,"YYMM")&amp;"-"&amp;TEXT(ROW()-6,"000"))</f>
        <v/>
      </c>
      <c r="B82" s="21" t="n"/>
      <c r="C82" s="20">
        <f>IF(B82="","",IFERROR(VLOOKUP(B82,Proveedores!$B$6:$I$105,2,FALSE),""))</f>
        <v/>
      </c>
      <c r="D82" s="21" t="n"/>
      <c r="E82" s="21" t="n"/>
      <c r="F82" s="45" t="n"/>
      <c r="G82" s="45" t="n"/>
      <c r="H82" s="23">
        <f>IF(B82="","",IFERROR(VLOOKUP(B82,Proveedores!$B$6:$I$105,7,FALSE),""))</f>
        <v/>
      </c>
      <c r="I82" s="46">
        <f>IF(OR(F82="",H82=""),"",F82+H82)</f>
        <v/>
      </c>
      <c r="J82" s="21" t="n"/>
      <c r="K82" s="20">
        <f>IF(B82="","",IFERROR(VLOOKUP(B82,Proveedores!$B$6:$I$105,8,FALSE),""))</f>
        <v/>
      </c>
      <c r="L82" s="47" t="n"/>
      <c r="M82" s="26" t="n"/>
      <c r="N82" s="48">
        <f>IF(L82="","",L82*M82)</f>
        <v/>
      </c>
      <c r="O82" s="26" t="n"/>
      <c r="P82" s="48">
        <f>IF(L82="","",L82*O82)</f>
        <v/>
      </c>
      <c r="Q82" s="48">
        <f>IF(L82="","",L82+N82-P82)</f>
        <v/>
      </c>
      <c r="R82" s="47" t="n"/>
      <c r="S82" s="48">
        <f>IF(Q82="","",MAX(Q82-R82,0))</f>
        <v/>
      </c>
      <c r="T82" s="45" t="n"/>
      <c r="U82" s="23">
        <f>IF(I82="","",IF(S82&lt;=0,"",I82-TODAY()))</f>
        <v/>
      </c>
      <c r="V82" s="20">
        <f>IF(B82="","",IF(S82&lt;=0,"Liquidada",IF(U82&gt;=0,"0. En plazo",IF(U82&gt;=-30,"1. 1-30 venc.",IF(U82&gt;=-60,"2. 31-60 venc.",IF(U82&gt;=-90,"3. 61-90 venc.","4. +90 venc."))))))</f>
        <v/>
      </c>
      <c r="W82" s="20">
        <f>IF(B82="","",IF(X82="Sí","Duplicada",IF(S82&lt;=0,"OK",IF(U82&lt;0,"Vencida",IF(U82&lt;=7,"Vence &lt;=7 días",IF(U82&lt;=15,"Vence 8-15 días","En plazo"))))))</f>
        <v/>
      </c>
      <c r="X82" s="20">
        <f>IF(OR(B82="",D82=""),"",IF(COUNTIFS($B$7:$B$106,B82,$D$7:$D$106,D82)&gt;1,"Sí",""))</f>
        <v/>
      </c>
      <c r="Y82" s="21" t="n"/>
      <c r="Z82" s="28">
        <f>IF(F82="","",DATE(YEAR(F82),MONTH(F82),1))</f>
        <v/>
      </c>
      <c r="AA82" s="21" t="n"/>
      <c r="AB82" s="23">
        <f>IF(OR(T82="",F82="",S82&gt;0),"",T82-F82)</f>
        <v/>
      </c>
    </row>
    <row r="83">
      <c r="A83" s="20">
        <f>IF(B83="","","AP-"&amp;TEXT(F83,"YYMM")&amp;"-"&amp;TEXT(ROW()-6,"000"))</f>
        <v/>
      </c>
      <c r="B83" s="21" t="n"/>
      <c r="C83" s="20">
        <f>IF(B83="","",IFERROR(VLOOKUP(B83,Proveedores!$B$6:$I$105,2,FALSE),""))</f>
        <v/>
      </c>
      <c r="D83" s="21" t="n"/>
      <c r="E83" s="21" t="n"/>
      <c r="F83" s="45" t="n"/>
      <c r="G83" s="45" t="n"/>
      <c r="H83" s="23">
        <f>IF(B83="","",IFERROR(VLOOKUP(B83,Proveedores!$B$6:$I$105,7,FALSE),""))</f>
        <v/>
      </c>
      <c r="I83" s="46">
        <f>IF(OR(F83="",H83=""),"",F83+H83)</f>
        <v/>
      </c>
      <c r="J83" s="21" t="n"/>
      <c r="K83" s="20">
        <f>IF(B83="","",IFERROR(VLOOKUP(B83,Proveedores!$B$6:$I$105,8,FALSE),""))</f>
        <v/>
      </c>
      <c r="L83" s="47" t="n"/>
      <c r="M83" s="26" t="n"/>
      <c r="N83" s="48">
        <f>IF(L83="","",L83*M83)</f>
        <v/>
      </c>
      <c r="O83" s="26" t="n"/>
      <c r="P83" s="48">
        <f>IF(L83="","",L83*O83)</f>
        <v/>
      </c>
      <c r="Q83" s="48">
        <f>IF(L83="","",L83+N83-P83)</f>
        <v/>
      </c>
      <c r="R83" s="47" t="n"/>
      <c r="S83" s="48">
        <f>IF(Q83="","",MAX(Q83-R83,0))</f>
        <v/>
      </c>
      <c r="T83" s="45" t="n"/>
      <c r="U83" s="23">
        <f>IF(I83="","",IF(S83&lt;=0,"",I83-TODAY()))</f>
        <v/>
      </c>
      <c r="V83" s="20">
        <f>IF(B83="","",IF(S83&lt;=0,"Liquidada",IF(U83&gt;=0,"0. En plazo",IF(U83&gt;=-30,"1. 1-30 venc.",IF(U83&gt;=-60,"2. 31-60 venc.",IF(U83&gt;=-90,"3. 61-90 venc.","4. +90 venc."))))))</f>
        <v/>
      </c>
      <c r="W83" s="20">
        <f>IF(B83="","",IF(X83="Sí","Duplicada",IF(S83&lt;=0,"OK",IF(U83&lt;0,"Vencida",IF(U83&lt;=7,"Vence &lt;=7 días",IF(U83&lt;=15,"Vence 8-15 días","En plazo"))))))</f>
        <v/>
      </c>
      <c r="X83" s="20">
        <f>IF(OR(B83="",D83=""),"",IF(COUNTIFS($B$7:$B$106,B83,$D$7:$D$106,D83)&gt;1,"Sí",""))</f>
        <v/>
      </c>
      <c r="Y83" s="21" t="n"/>
      <c r="Z83" s="28">
        <f>IF(F83="","",DATE(YEAR(F83),MONTH(F83),1))</f>
        <v/>
      </c>
      <c r="AA83" s="21" t="n"/>
      <c r="AB83" s="23">
        <f>IF(OR(T83="",F83="",S83&gt;0),"",T83-F83)</f>
        <v/>
      </c>
    </row>
    <row r="84">
      <c r="A84" s="20">
        <f>IF(B84="","","AP-"&amp;TEXT(F84,"YYMM")&amp;"-"&amp;TEXT(ROW()-6,"000"))</f>
        <v/>
      </c>
      <c r="B84" s="21" t="n"/>
      <c r="C84" s="20">
        <f>IF(B84="","",IFERROR(VLOOKUP(B84,Proveedores!$B$6:$I$105,2,FALSE),""))</f>
        <v/>
      </c>
      <c r="D84" s="21" t="n"/>
      <c r="E84" s="21" t="n"/>
      <c r="F84" s="45" t="n"/>
      <c r="G84" s="45" t="n"/>
      <c r="H84" s="23">
        <f>IF(B84="","",IFERROR(VLOOKUP(B84,Proveedores!$B$6:$I$105,7,FALSE),""))</f>
        <v/>
      </c>
      <c r="I84" s="46">
        <f>IF(OR(F84="",H84=""),"",F84+H84)</f>
        <v/>
      </c>
      <c r="J84" s="21" t="n"/>
      <c r="K84" s="20">
        <f>IF(B84="","",IFERROR(VLOOKUP(B84,Proveedores!$B$6:$I$105,8,FALSE),""))</f>
        <v/>
      </c>
      <c r="L84" s="47" t="n"/>
      <c r="M84" s="26" t="n"/>
      <c r="N84" s="48">
        <f>IF(L84="","",L84*M84)</f>
        <v/>
      </c>
      <c r="O84" s="26" t="n"/>
      <c r="P84" s="48">
        <f>IF(L84="","",L84*O84)</f>
        <v/>
      </c>
      <c r="Q84" s="48">
        <f>IF(L84="","",L84+N84-P84)</f>
        <v/>
      </c>
      <c r="R84" s="47" t="n"/>
      <c r="S84" s="48">
        <f>IF(Q84="","",MAX(Q84-R84,0))</f>
        <v/>
      </c>
      <c r="T84" s="45" t="n"/>
      <c r="U84" s="23">
        <f>IF(I84="","",IF(S84&lt;=0,"",I84-TODAY()))</f>
        <v/>
      </c>
      <c r="V84" s="20">
        <f>IF(B84="","",IF(S84&lt;=0,"Liquidada",IF(U84&gt;=0,"0. En plazo",IF(U84&gt;=-30,"1. 1-30 venc.",IF(U84&gt;=-60,"2. 31-60 venc.",IF(U84&gt;=-90,"3. 61-90 venc.","4. +90 venc."))))))</f>
        <v/>
      </c>
      <c r="W84" s="20">
        <f>IF(B84="","",IF(X84="Sí","Duplicada",IF(S84&lt;=0,"OK",IF(U84&lt;0,"Vencida",IF(U84&lt;=7,"Vence &lt;=7 días",IF(U84&lt;=15,"Vence 8-15 días","En plazo"))))))</f>
        <v/>
      </c>
      <c r="X84" s="20">
        <f>IF(OR(B84="",D84=""),"",IF(COUNTIFS($B$7:$B$106,B84,$D$7:$D$106,D84)&gt;1,"Sí",""))</f>
        <v/>
      </c>
      <c r="Y84" s="21" t="n"/>
      <c r="Z84" s="28">
        <f>IF(F84="","",DATE(YEAR(F84),MONTH(F84),1))</f>
        <v/>
      </c>
      <c r="AA84" s="21" t="n"/>
      <c r="AB84" s="23">
        <f>IF(OR(T84="",F84="",S84&gt;0),"",T84-F84)</f>
        <v/>
      </c>
    </row>
    <row r="85">
      <c r="A85" s="20">
        <f>IF(B85="","","AP-"&amp;TEXT(F85,"YYMM")&amp;"-"&amp;TEXT(ROW()-6,"000"))</f>
        <v/>
      </c>
      <c r="B85" s="21" t="n"/>
      <c r="C85" s="20">
        <f>IF(B85="","",IFERROR(VLOOKUP(B85,Proveedores!$B$6:$I$105,2,FALSE),""))</f>
        <v/>
      </c>
      <c r="D85" s="21" t="n"/>
      <c r="E85" s="21" t="n"/>
      <c r="F85" s="45" t="n"/>
      <c r="G85" s="45" t="n"/>
      <c r="H85" s="23">
        <f>IF(B85="","",IFERROR(VLOOKUP(B85,Proveedores!$B$6:$I$105,7,FALSE),""))</f>
        <v/>
      </c>
      <c r="I85" s="46">
        <f>IF(OR(F85="",H85=""),"",F85+H85)</f>
        <v/>
      </c>
      <c r="J85" s="21" t="n"/>
      <c r="K85" s="20">
        <f>IF(B85="","",IFERROR(VLOOKUP(B85,Proveedores!$B$6:$I$105,8,FALSE),""))</f>
        <v/>
      </c>
      <c r="L85" s="47" t="n"/>
      <c r="M85" s="26" t="n"/>
      <c r="N85" s="48">
        <f>IF(L85="","",L85*M85)</f>
        <v/>
      </c>
      <c r="O85" s="26" t="n"/>
      <c r="P85" s="48">
        <f>IF(L85="","",L85*O85)</f>
        <v/>
      </c>
      <c r="Q85" s="48">
        <f>IF(L85="","",L85+N85-P85)</f>
        <v/>
      </c>
      <c r="R85" s="47" t="n"/>
      <c r="S85" s="48">
        <f>IF(Q85="","",MAX(Q85-R85,0))</f>
        <v/>
      </c>
      <c r="T85" s="45" t="n"/>
      <c r="U85" s="23">
        <f>IF(I85="","",IF(S85&lt;=0,"",I85-TODAY()))</f>
        <v/>
      </c>
      <c r="V85" s="20">
        <f>IF(B85="","",IF(S85&lt;=0,"Liquidada",IF(U85&gt;=0,"0. En plazo",IF(U85&gt;=-30,"1. 1-30 venc.",IF(U85&gt;=-60,"2. 31-60 venc.",IF(U85&gt;=-90,"3. 61-90 venc.","4. +90 venc."))))))</f>
        <v/>
      </c>
      <c r="W85" s="20">
        <f>IF(B85="","",IF(X85="Sí","Duplicada",IF(S85&lt;=0,"OK",IF(U85&lt;0,"Vencida",IF(U85&lt;=7,"Vence &lt;=7 días",IF(U85&lt;=15,"Vence 8-15 días","En plazo"))))))</f>
        <v/>
      </c>
      <c r="X85" s="20">
        <f>IF(OR(B85="",D85=""),"",IF(COUNTIFS($B$7:$B$106,B85,$D$7:$D$106,D85)&gt;1,"Sí",""))</f>
        <v/>
      </c>
      <c r="Y85" s="21" t="n"/>
      <c r="Z85" s="28">
        <f>IF(F85="","",DATE(YEAR(F85),MONTH(F85),1))</f>
        <v/>
      </c>
      <c r="AA85" s="21" t="n"/>
      <c r="AB85" s="23">
        <f>IF(OR(T85="",F85="",S85&gt;0),"",T85-F85)</f>
        <v/>
      </c>
    </row>
    <row r="86">
      <c r="A86" s="20">
        <f>IF(B86="","","AP-"&amp;TEXT(F86,"YYMM")&amp;"-"&amp;TEXT(ROW()-6,"000"))</f>
        <v/>
      </c>
      <c r="B86" s="21" t="n"/>
      <c r="C86" s="20">
        <f>IF(B86="","",IFERROR(VLOOKUP(B86,Proveedores!$B$6:$I$105,2,FALSE),""))</f>
        <v/>
      </c>
      <c r="D86" s="21" t="n"/>
      <c r="E86" s="21" t="n"/>
      <c r="F86" s="45" t="n"/>
      <c r="G86" s="45" t="n"/>
      <c r="H86" s="23">
        <f>IF(B86="","",IFERROR(VLOOKUP(B86,Proveedores!$B$6:$I$105,7,FALSE),""))</f>
        <v/>
      </c>
      <c r="I86" s="46">
        <f>IF(OR(F86="",H86=""),"",F86+H86)</f>
        <v/>
      </c>
      <c r="J86" s="21" t="n"/>
      <c r="K86" s="20">
        <f>IF(B86="","",IFERROR(VLOOKUP(B86,Proveedores!$B$6:$I$105,8,FALSE),""))</f>
        <v/>
      </c>
      <c r="L86" s="47" t="n"/>
      <c r="M86" s="26" t="n"/>
      <c r="N86" s="48">
        <f>IF(L86="","",L86*M86)</f>
        <v/>
      </c>
      <c r="O86" s="26" t="n"/>
      <c r="P86" s="48">
        <f>IF(L86="","",L86*O86)</f>
        <v/>
      </c>
      <c r="Q86" s="48">
        <f>IF(L86="","",L86+N86-P86)</f>
        <v/>
      </c>
      <c r="R86" s="47" t="n"/>
      <c r="S86" s="48">
        <f>IF(Q86="","",MAX(Q86-R86,0))</f>
        <v/>
      </c>
      <c r="T86" s="45" t="n"/>
      <c r="U86" s="23">
        <f>IF(I86="","",IF(S86&lt;=0,"",I86-TODAY()))</f>
        <v/>
      </c>
      <c r="V86" s="20">
        <f>IF(B86="","",IF(S86&lt;=0,"Liquidada",IF(U86&gt;=0,"0. En plazo",IF(U86&gt;=-30,"1. 1-30 venc.",IF(U86&gt;=-60,"2. 31-60 venc.",IF(U86&gt;=-90,"3. 61-90 venc.","4. +90 venc."))))))</f>
        <v/>
      </c>
      <c r="W86" s="20">
        <f>IF(B86="","",IF(X86="Sí","Duplicada",IF(S86&lt;=0,"OK",IF(U86&lt;0,"Vencida",IF(U86&lt;=7,"Vence &lt;=7 días",IF(U86&lt;=15,"Vence 8-15 días","En plazo"))))))</f>
        <v/>
      </c>
      <c r="X86" s="20">
        <f>IF(OR(B86="",D86=""),"",IF(COUNTIFS($B$7:$B$106,B86,$D$7:$D$106,D86)&gt;1,"Sí",""))</f>
        <v/>
      </c>
      <c r="Y86" s="21" t="n"/>
      <c r="Z86" s="28">
        <f>IF(F86="","",DATE(YEAR(F86),MONTH(F86),1))</f>
        <v/>
      </c>
      <c r="AA86" s="21" t="n"/>
      <c r="AB86" s="23">
        <f>IF(OR(T86="",F86="",S86&gt;0),"",T86-F86)</f>
        <v/>
      </c>
    </row>
    <row r="87">
      <c r="A87" s="20">
        <f>IF(B87="","","AP-"&amp;TEXT(F87,"YYMM")&amp;"-"&amp;TEXT(ROW()-6,"000"))</f>
        <v/>
      </c>
      <c r="B87" s="21" t="n"/>
      <c r="C87" s="20">
        <f>IF(B87="","",IFERROR(VLOOKUP(B87,Proveedores!$B$6:$I$105,2,FALSE),""))</f>
        <v/>
      </c>
      <c r="D87" s="21" t="n"/>
      <c r="E87" s="21" t="n"/>
      <c r="F87" s="45" t="n"/>
      <c r="G87" s="45" t="n"/>
      <c r="H87" s="23">
        <f>IF(B87="","",IFERROR(VLOOKUP(B87,Proveedores!$B$6:$I$105,7,FALSE),""))</f>
        <v/>
      </c>
      <c r="I87" s="46">
        <f>IF(OR(F87="",H87=""),"",F87+H87)</f>
        <v/>
      </c>
      <c r="J87" s="21" t="n"/>
      <c r="K87" s="20">
        <f>IF(B87="","",IFERROR(VLOOKUP(B87,Proveedores!$B$6:$I$105,8,FALSE),""))</f>
        <v/>
      </c>
      <c r="L87" s="47" t="n"/>
      <c r="M87" s="26" t="n"/>
      <c r="N87" s="48">
        <f>IF(L87="","",L87*M87)</f>
        <v/>
      </c>
      <c r="O87" s="26" t="n"/>
      <c r="P87" s="48">
        <f>IF(L87="","",L87*O87)</f>
        <v/>
      </c>
      <c r="Q87" s="48">
        <f>IF(L87="","",L87+N87-P87)</f>
        <v/>
      </c>
      <c r="R87" s="47" t="n"/>
      <c r="S87" s="48">
        <f>IF(Q87="","",MAX(Q87-R87,0))</f>
        <v/>
      </c>
      <c r="T87" s="45" t="n"/>
      <c r="U87" s="23">
        <f>IF(I87="","",IF(S87&lt;=0,"",I87-TODAY()))</f>
        <v/>
      </c>
      <c r="V87" s="20">
        <f>IF(B87="","",IF(S87&lt;=0,"Liquidada",IF(U87&gt;=0,"0. En plazo",IF(U87&gt;=-30,"1. 1-30 venc.",IF(U87&gt;=-60,"2. 31-60 venc.",IF(U87&gt;=-90,"3. 61-90 venc.","4. +90 venc."))))))</f>
        <v/>
      </c>
      <c r="W87" s="20">
        <f>IF(B87="","",IF(X87="Sí","Duplicada",IF(S87&lt;=0,"OK",IF(U87&lt;0,"Vencida",IF(U87&lt;=7,"Vence &lt;=7 días",IF(U87&lt;=15,"Vence 8-15 días","En plazo"))))))</f>
        <v/>
      </c>
      <c r="X87" s="20">
        <f>IF(OR(B87="",D87=""),"",IF(COUNTIFS($B$7:$B$106,B87,$D$7:$D$106,D87)&gt;1,"Sí",""))</f>
        <v/>
      </c>
      <c r="Y87" s="21" t="n"/>
      <c r="Z87" s="28">
        <f>IF(F87="","",DATE(YEAR(F87),MONTH(F87),1))</f>
        <v/>
      </c>
      <c r="AA87" s="21" t="n"/>
      <c r="AB87" s="23">
        <f>IF(OR(T87="",F87="",S87&gt;0),"",T87-F87)</f>
        <v/>
      </c>
    </row>
    <row r="88">
      <c r="A88" s="20">
        <f>IF(B88="","","AP-"&amp;TEXT(F88,"YYMM")&amp;"-"&amp;TEXT(ROW()-6,"000"))</f>
        <v/>
      </c>
      <c r="B88" s="21" t="n"/>
      <c r="C88" s="20">
        <f>IF(B88="","",IFERROR(VLOOKUP(B88,Proveedores!$B$6:$I$105,2,FALSE),""))</f>
        <v/>
      </c>
      <c r="D88" s="21" t="n"/>
      <c r="E88" s="21" t="n"/>
      <c r="F88" s="45" t="n"/>
      <c r="G88" s="45" t="n"/>
      <c r="H88" s="23">
        <f>IF(B88="","",IFERROR(VLOOKUP(B88,Proveedores!$B$6:$I$105,7,FALSE),""))</f>
        <v/>
      </c>
      <c r="I88" s="46">
        <f>IF(OR(F88="",H88=""),"",F88+H88)</f>
        <v/>
      </c>
      <c r="J88" s="21" t="n"/>
      <c r="K88" s="20">
        <f>IF(B88="","",IFERROR(VLOOKUP(B88,Proveedores!$B$6:$I$105,8,FALSE),""))</f>
        <v/>
      </c>
      <c r="L88" s="47" t="n"/>
      <c r="M88" s="26" t="n"/>
      <c r="N88" s="48">
        <f>IF(L88="","",L88*M88)</f>
        <v/>
      </c>
      <c r="O88" s="26" t="n"/>
      <c r="P88" s="48">
        <f>IF(L88="","",L88*O88)</f>
        <v/>
      </c>
      <c r="Q88" s="48">
        <f>IF(L88="","",L88+N88-P88)</f>
        <v/>
      </c>
      <c r="R88" s="47" t="n"/>
      <c r="S88" s="48">
        <f>IF(Q88="","",MAX(Q88-R88,0))</f>
        <v/>
      </c>
      <c r="T88" s="45" t="n"/>
      <c r="U88" s="23">
        <f>IF(I88="","",IF(S88&lt;=0,"",I88-TODAY()))</f>
        <v/>
      </c>
      <c r="V88" s="20">
        <f>IF(B88="","",IF(S88&lt;=0,"Liquidada",IF(U88&gt;=0,"0. En plazo",IF(U88&gt;=-30,"1. 1-30 venc.",IF(U88&gt;=-60,"2. 31-60 venc.",IF(U88&gt;=-90,"3. 61-90 venc.","4. +90 venc."))))))</f>
        <v/>
      </c>
      <c r="W88" s="20">
        <f>IF(B88="","",IF(X88="Sí","Duplicada",IF(S88&lt;=0,"OK",IF(U88&lt;0,"Vencida",IF(U88&lt;=7,"Vence &lt;=7 días",IF(U88&lt;=15,"Vence 8-15 días","En plazo"))))))</f>
        <v/>
      </c>
      <c r="X88" s="20">
        <f>IF(OR(B88="",D88=""),"",IF(COUNTIFS($B$7:$B$106,B88,$D$7:$D$106,D88)&gt;1,"Sí",""))</f>
        <v/>
      </c>
      <c r="Y88" s="21" t="n"/>
      <c r="Z88" s="28">
        <f>IF(F88="","",DATE(YEAR(F88),MONTH(F88),1))</f>
        <v/>
      </c>
      <c r="AA88" s="21" t="n"/>
      <c r="AB88" s="23">
        <f>IF(OR(T88="",F88="",S88&gt;0),"",T88-F88)</f>
        <v/>
      </c>
    </row>
    <row r="89">
      <c r="A89" s="20">
        <f>IF(B89="","","AP-"&amp;TEXT(F89,"YYMM")&amp;"-"&amp;TEXT(ROW()-6,"000"))</f>
        <v/>
      </c>
      <c r="B89" s="21" t="n"/>
      <c r="C89" s="20">
        <f>IF(B89="","",IFERROR(VLOOKUP(B89,Proveedores!$B$6:$I$105,2,FALSE),""))</f>
        <v/>
      </c>
      <c r="D89" s="21" t="n"/>
      <c r="E89" s="21" t="n"/>
      <c r="F89" s="45" t="n"/>
      <c r="G89" s="45" t="n"/>
      <c r="H89" s="23">
        <f>IF(B89="","",IFERROR(VLOOKUP(B89,Proveedores!$B$6:$I$105,7,FALSE),""))</f>
        <v/>
      </c>
      <c r="I89" s="46">
        <f>IF(OR(F89="",H89=""),"",F89+H89)</f>
        <v/>
      </c>
      <c r="J89" s="21" t="n"/>
      <c r="K89" s="20">
        <f>IF(B89="","",IFERROR(VLOOKUP(B89,Proveedores!$B$6:$I$105,8,FALSE),""))</f>
        <v/>
      </c>
      <c r="L89" s="47" t="n"/>
      <c r="M89" s="26" t="n"/>
      <c r="N89" s="48">
        <f>IF(L89="","",L89*M89)</f>
        <v/>
      </c>
      <c r="O89" s="26" t="n"/>
      <c r="P89" s="48">
        <f>IF(L89="","",L89*O89)</f>
        <v/>
      </c>
      <c r="Q89" s="48">
        <f>IF(L89="","",L89+N89-P89)</f>
        <v/>
      </c>
      <c r="R89" s="47" t="n"/>
      <c r="S89" s="48">
        <f>IF(Q89="","",MAX(Q89-R89,0))</f>
        <v/>
      </c>
      <c r="T89" s="45" t="n"/>
      <c r="U89" s="23">
        <f>IF(I89="","",IF(S89&lt;=0,"",I89-TODAY()))</f>
        <v/>
      </c>
      <c r="V89" s="20">
        <f>IF(B89="","",IF(S89&lt;=0,"Liquidada",IF(U89&gt;=0,"0. En plazo",IF(U89&gt;=-30,"1. 1-30 venc.",IF(U89&gt;=-60,"2. 31-60 venc.",IF(U89&gt;=-90,"3. 61-90 venc.","4. +90 venc."))))))</f>
        <v/>
      </c>
      <c r="W89" s="20">
        <f>IF(B89="","",IF(X89="Sí","Duplicada",IF(S89&lt;=0,"OK",IF(U89&lt;0,"Vencida",IF(U89&lt;=7,"Vence &lt;=7 días",IF(U89&lt;=15,"Vence 8-15 días","En plazo"))))))</f>
        <v/>
      </c>
      <c r="X89" s="20">
        <f>IF(OR(B89="",D89=""),"",IF(COUNTIFS($B$7:$B$106,B89,$D$7:$D$106,D89)&gt;1,"Sí",""))</f>
        <v/>
      </c>
      <c r="Y89" s="21" t="n"/>
      <c r="Z89" s="28">
        <f>IF(F89="","",DATE(YEAR(F89),MONTH(F89),1))</f>
        <v/>
      </c>
      <c r="AA89" s="21" t="n"/>
      <c r="AB89" s="23">
        <f>IF(OR(T89="",F89="",S89&gt;0),"",T89-F89)</f>
        <v/>
      </c>
    </row>
    <row r="90">
      <c r="A90" s="20">
        <f>IF(B90="","","AP-"&amp;TEXT(F90,"YYMM")&amp;"-"&amp;TEXT(ROW()-6,"000"))</f>
        <v/>
      </c>
      <c r="B90" s="21" t="n"/>
      <c r="C90" s="20">
        <f>IF(B90="","",IFERROR(VLOOKUP(B90,Proveedores!$B$6:$I$105,2,FALSE),""))</f>
        <v/>
      </c>
      <c r="D90" s="21" t="n"/>
      <c r="E90" s="21" t="n"/>
      <c r="F90" s="45" t="n"/>
      <c r="G90" s="45" t="n"/>
      <c r="H90" s="23">
        <f>IF(B90="","",IFERROR(VLOOKUP(B90,Proveedores!$B$6:$I$105,7,FALSE),""))</f>
        <v/>
      </c>
      <c r="I90" s="46">
        <f>IF(OR(F90="",H90=""),"",F90+H90)</f>
        <v/>
      </c>
      <c r="J90" s="21" t="n"/>
      <c r="K90" s="20">
        <f>IF(B90="","",IFERROR(VLOOKUP(B90,Proveedores!$B$6:$I$105,8,FALSE),""))</f>
        <v/>
      </c>
      <c r="L90" s="47" t="n"/>
      <c r="M90" s="26" t="n"/>
      <c r="N90" s="48">
        <f>IF(L90="","",L90*M90)</f>
        <v/>
      </c>
      <c r="O90" s="26" t="n"/>
      <c r="P90" s="48">
        <f>IF(L90="","",L90*O90)</f>
        <v/>
      </c>
      <c r="Q90" s="48">
        <f>IF(L90="","",L90+N90-P90)</f>
        <v/>
      </c>
      <c r="R90" s="47" t="n"/>
      <c r="S90" s="48">
        <f>IF(Q90="","",MAX(Q90-R90,0))</f>
        <v/>
      </c>
      <c r="T90" s="45" t="n"/>
      <c r="U90" s="23">
        <f>IF(I90="","",IF(S90&lt;=0,"",I90-TODAY()))</f>
        <v/>
      </c>
      <c r="V90" s="20">
        <f>IF(B90="","",IF(S90&lt;=0,"Liquidada",IF(U90&gt;=0,"0. En plazo",IF(U90&gt;=-30,"1. 1-30 venc.",IF(U90&gt;=-60,"2. 31-60 venc.",IF(U90&gt;=-90,"3. 61-90 venc.","4. +90 venc."))))))</f>
        <v/>
      </c>
      <c r="W90" s="20">
        <f>IF(B90="","",IF(X90="Sí","Duplicada",IF(S90&lt;=0,"OK",IF(U90&lt;0,"Vencida",IF(U90&lt;=7,"Vence &lt;=7 días",IF(U90&lt;=15,"Vence 8-15 días","En plazo"))))))</f>
        <v/>
      </c>
      <c r="X90" s="20">
        <f>IF(OR(B90="",D90=""),"",IF(COUNTIFS($B$7:$B$106,B90,$D$7:$D$106,D90)&gt;1,"Sí",""))</f>
        <v/>
      </c>
      <c r="Y90" s="21" t="n"/>
      <c r="Z90" s="28">
        <f>IF(F90="","",DATE(YEAR(F90),MONTH(F90),1))</f>
        <v/>
      </c>
      <c r="AA90" s="21" t="n"/>
      <c r="AB90" s="23">
        <f>IF(OR(T90="",F90="",S90&gt;0),"",T90-F90)</f>
        <v/>
      </c>
    </row>
    <row r="91">
      <c r="A91" s="20">
        <f>IF(B91="","","AP-"&amp;TEXT(F91,"YYMM")&amp;"-"&amp;TEXT(ROW()-6,"000"))</f>
        <v/>
      </c>
      <c r="B91" s="21" t="n"/>
      <c r="C91" s="20">
        <f>IF(B91="","",IFERROR(VLOOKUP(B91,Proveedores!$B$6:$I$105,2,FALSE),""))</f>
        <v/>
      </c>
      <c r="D91" s="21" t="n"/>
      <c r="E91" s="21" t="n"/>
      <c r="F91" s="45" t="n"/>
      <c r="G91" s="45" t="n"/>
      <c r="H91" s="23">
        <f>IF(B91="","",IFERROR(VLOOKUP(B91,Proveedores!$B$6:$I$105,7,FALSE),""))</f>
        <v/>
      </c>
      <c r="I91" s="46">
        <f>IF(OR(F91="",H91=""),"",F91+H91)</f>
        <v/>
      </c>
      <c r="J91" s="21" t="n"/>
      <c r="K91" s="20">
        <f>IF(B91="","",IFERROR(VLOOKUP(B91,Proveedores!$B$6:$I$105,8,FALSE),""))</f>
        <v/>
      </c>
      <c r="L91" s="47" t="n"/>
      <c r="M91" s="26" t="n"/>
      <c r="N91" s="48">
        <f>IF(L91="","",L91*M91)</f>
        <v/>
      </c>
      <c r="O91" s="26" t="n"/>
      <c r="P91" s="48">
        <f>IF(L91="","",L91*O91)</f>
        <v/>
      </c>
      <c r="Q91" s="48">
        <f>IF(L91="","",L91+N91-P91)</f>
        <v/>
      </c>
      <c r="R91" s="47" t="n"/>
      <c r="S91" s="48">
        <f>IF(Q91="","",MAX(Q91-R91,0))</f>
        <v/>
      </c>
      <c r="T91" s="45" t="n"/>
      <c r="U91" s="23">
        <f>IF(I91="","",IF(S91&lt;=0,"",I91-TODAY()))</f>
        <v/>
      </c>
      <c r="V91" s="20">
        <f>IF(B91="","",IF(S91&lt;=0,"Liquidada",IF(U91&gt;=0,"0. En plazo",IF(U91&gt;=-30,"1. 1-30 venc.",IF(U91&gt;=-60,"2. 31-60 venc.",IF(U91&gt;=-90,"3. 61-90 venc.","4. +90 venc."))))))</f>
        <v/>
      </c>
      <c r="W91" s="20">
        <f>IF(B91="","",IF(X91="Sí","Duplicada",IF(S91&lt;=0,"OK",IF(U91&lt;0,"Vencida",IF(U91&lt;=7,"Vence &lt;=7 días",IF(U91&lt;=15,"Vence 8-15 días","En plazo"))))))</f>
        <v/>
      </c>
      <c r="X91" s="20">
        <f>IF(OR(B91="",D91=""),"",IF(COUNTIFS($B$7:$B$106,B91,$D$7:$D$106,D91)&gt;1,"Sí",""))</f>
        <v/>
      </c>
      <c r="Y91" s="21" t="n"/>
      <c r="Z91" s="28">
        <f>IF(F91="","",DATE(YEAR(F91),MONTH(F91),1))</f>
        <v/>
      </c>
      <c r="AA91" s="21" t="n"/>
      <c r="AB91" s="23">
        <f>IF(OR(T91="",F91="",S91&gt;0),"",T91-F91)</f>
        <v/>
      </c>
    </row>
    <row r="92">
      <c r="A92" s="20">
        <f>IF(B92="","","AP-"&amp;TEXT(F92,"YYMM")&amp;"-"&amp;TEXT(ROW()-6,"000"))</f>
        <v/>
      </c>
      <c r="B92" s="21" t="n"/>
      <c r="C92" s="20">
        <f>IF(B92="","",IFERROR(VLOOKUP(B92,Proveedores!$B$6:$I$105,2,FALSE),""))</f>
        <v/>
      </c>
      <c r="D92" s="21" t="n"/>
      <c r="E92" s="21" t="n"/>
      <c r="F92" s="45" t="n"/>
      <c r="G92" s="45" t="n"/>
      <c r="H92" s="23">
        <f>IF(B92="","",IFERROR(VLOOKUP(B92,Proveedores!$B$6:$I$105,7,FALSE),""))</f>
        <v/>
      </c>
      <c r="I92" s="46">
        <f>IF(OR(F92="",H92=""),"",F92+H92)</f>
        <v/>
      </c>
      <c r="J92" s="21" t="n"/>
      <c r="K92" s="20">
        <f>IF(B92="","",IFERROR(VLOOKUP(B92,Proveedores!$B$6:$I$105,8,FALSE),""))</f>
        <v/>
      </c>
      <c r="L92" s="47" t="n"/>
      <c r="M92" s="26" t="n"/>
      <c r="N92" s="48">
        <f>IF(L92="","",L92*M92)</f>
        <v/>
      </c>
      <c r="O92" s="26" t="n"/>
      <c r="P92" s="48">
        <f>IF(L92="","",L92*O92)</f>
        <v/>
      </c>
      <c r="Q92" s="48">
        <f>IF(L92="","",L92+N92-P92)</f>
        <v/>
      </c>
      <c r="R92" s="47" t="n"/>
      <c r="S92" s="48">
        <f>IF(Q92="","",MAX(Q92-R92,0))</f>
        <v/>
      </c>
      <c r="T92" s="45" t="n"/>
      <c r="U92" s="23">
        <f>IF(I92="","",IF(S92&lt;=0,"",I92-TODAY()))</f>
        <v/>
      </c>
      <c r="V92" s="20">
        <f>IF(B92="","",IF(S92&lt;=0,"Liquidada",IF(U92&gt;=0,"0. En plazo",IF(U92&gt;=-30,"1. 1-30 venc.",IF(U92&gt;=-60,"2. 31-60 venc.",IF(U92&gt;=-90,"3. 61-90 venc.","4. +90 venc."))))))</f>
        <v/>
      </c>
      <c r="W92" s="20">
        <f>IF(B92="","",IF(X92="Sí","Duplicada",IF(S92&lt;=0,"OK",IF(U92&lt;0,"Vencida",IF(U92&lt;=7,"Vence &lt;=7 días",IF(U92&lt;=15,"Vence 8-15 días","En plazo"))))))</f>
        <v/>
      </c>
      <c r="X92" s="20">
        <f>IF(OR(B92="",D92=""),"",IF(COUNTIFS($B$7:$B$106,B92,$D$7:$D$106,D92)&gt;1,"Sí",""))</f>
        <v/>
      </c>
      <c r="Y92" s="21" t="n"/>
      <c r="Z92" s="28">
        <f>IF(F92="","",DATE(YEAR(F92),MONTH(F92),1))</f>
        <v/>
      </c>
      <c r="AA92" s="21" t="n"/>
      <c r="AB92" s="23">
        <f>IF(OR(T92="",F92="",S92&gt;0),"",T92-F92)</f>
        <v/>
      </c>
    </row>
    <row r="93">
      <c r="A93" s="20">
        <f>IF(B93="","","AP-"&amp;TEXT(F93,"YYMM")&amp;"-"&amp;TEXT(ROW()-6,"000"))</f>
        <v/>
      </c>
      <c r="B93" s="21" t="n"/>
      <c r="C93" s="20">
        <f>IF(B93="","",IFERROR(VLOOKUP(B93,Proveedores!$B$6:$I$105,2,FALSE),""))</f>
        <v/>
      </c>
      <c r="D93" s="21" t="n"/>
      <c r="E93" s="21" t="n"/>
      <c r="F93" s="45" t="n"/>
      <c r="G93" s="45" t="n"/>
      <c r="H93" s="23">
        <f>IF(B93="","",IFERROR(VLOOKUP(B93,Proveedores!$B$6:$I$105,7,FALSE),""))</f>
        <v/>
      </c>
      <c r="I93" s="46">
        <f>IF(OR(F93="",H93=""),"",F93+H93)</f>
        <v/>
      </c>
      <c r="J93" s="21" t="n"/>
      <c r="K93" s="20">
        <f>IF(B93="","",IFERROR(VLOOKUP(B93,Proveedores!$B$6:$I$105,8,FALSE),""))</f>
        <v/>
      </c>
      <c r="L93" s="47" t="n"/>
      <c r="M93" s="26" t="n"/>
      <c r="N93" s="48">
        <f>IF(L93="","",L93*M93)</f>
        <v/>
      </c>
      <c r="O93" s="26" t="n"/>
      <c r="P93" s="48">
        <f>IF(L93="","",L93*O93)</f>
        <v/>
      </c>
      <c r="Q93" s="48">
        <f>IF(L93="","",L93+N93-P93)</f>
        <v/>
      </c>
      <c r="R93" s="47" t="n"/>
      <c r="S93" s="48">
        <f>IF(Q93="","",MAX(Q93-R93,0))</f>
        <v/>
      </c>
      <c r="T93" s="45" t="n"/>
      <c r="U93" s="23">
        <f>IF(I93="","",IF(S93&lt;=0,"",I93-TODAY()))</f>
        <v/>
      </c>
      <c r="V93" s="20">
        <f>IF(B93="","",IF(S93&lt;=0,"Liquidada",IF(U93&gt;=0,"0. En plazo",IF(U93&gt;=-30,"1. 1-30 venc.",IF(U93&gt;=-60,"2. 31-60 venc.",IF(U93&gt;=-90,"3. 61-90 venc.","4. +90 venc."))))))</f>
        <v/>
      </c>
      <c r="W93" s="20">
        <f>IF(B93="","",IF(X93="Sí","Duplicada",IF(S93&lt;=0,"OK",IF(U93&lt;0,"Vencida",IF(U93&lt;=7,"Vence &lt;=7 días",IF(U93&lt;=15,"Vence 8-15 días","En plazo"))))))</f>
        <v/>
      </c>
      <c r="X93" s="20">
        <f>IF(OR(B93="",D93=""),"",IF(COUNTIFS($B$7:$B$106,B93,$D$7:$D$106,D93)&gt;1,"Sí",""))</f>
        <v/>
      </c>
      <c r="Y93" s="21" t="n"/>
      <c r="Z93" s="28">
        <f>IF(F93="","",DATE(YEAR(F93),MONTH(F93),1))</f>
        <v/>
      </c>
      <c r="AA93" s="21" t="n"/>
      <c r="AB93" s="23">
        <f>IF(OR(T93="",F93="",S93&gt;0),"",T93-F93)</f>
        <v/>
      </c>
    </row>
    <row r="94">
      <c r="A94" s="20">
        <f>IF(B94="","","AP-"&amp;TEXT(F94,"YYMM")&amp;"-"&amp;TEXT(ROW()-6,"000"))</f>
        <v/>
      </c>
      <c r="B94" s="21" t="n"/>
      <c r="C94" s="20">
        <f>IF(B94="","",IFERROR(VLOOKUP(B94,Proveedores!$B$6:$I$105,2,FALSE),""))</f>
        <v/>
      </c>
      <c r="D94" s="21" t="n"/>
      <c r="E94" s="21" t="n"/>
      <c r="F94" s="45" t="n"/>
      <c r="G94" s="45" t="n"/>
      <c r="H94" s="23">
        <f>IF(B94="","",IFERROR(VLOOKUP(B94,Proveedores!$B$6:$I$105,7,FALSE),""))</f>
        <v/>
      </c>
      <c r="I94" s="46">
        <f>IF(OR(F94="",H94=""),"",F94+H94)</f>
        <v/>
      </c>
      <c r="J94" s="21" t="n"/>
      <c r="K94" s="20">
        <f>IF(B94="","",IFERROR(VLOOKUP(B94,Proveedores!$B$6:$I$105,8,FALSE),""))</f>
        <v/>
      </c>
      <c r="L94" s="47" t="n"/>
      <c r="M94" s="26" t="n"/>
      <c r="N94" s="48">
        <f>IF(L94="","",L94*M94)</f>
        <v/>
      </c>
      <c r="O94" s="26" t="n"/>
      <c r="P94" s="48">
        <f>IF(L94="","",L94*O94)</f>
        <v/>
      </c>
      <c r="Q94" s="48">
        <f>IF(L94="","",L94+N94-P94)</f>
        <v/>
      </c>
      <c r="R94" s="47" t="n"/>
      <c r="S94" s="48">
        <f>IF(Q94="","",MAX(Q94-R94,0))</f>
        <v/>
      </c>
      <c r="T94" s="45" t="n"/>
      <c r="U94" s="23">
        <f>IF(I94="","",IF(S94&lt;=0,"",I94-TODAY()))</f>
        <v/>
      </c>
      <c r="V94" s="20">
        <f>IF(B94="","",IF(S94&lt;=0,"Liquidada",IF(U94&gt;=0,"0. En plazo",IF(U94&gt;=-30,"1. 1-30 venc.",IF(U94&gt;=-60,"2. 31-60 venc.",IF(U94&gt;=-90,"3. 61-90 venc.","4. +90 venc."))))))</f>
        <v/>
      </c>
      <c r="W94" s="20">
        <f>IF(B94="","",IF(X94="Sí","Duplicada",IF(S94&lt;=0,"OK",IF(U94&lt;0,"Vencida",IF(U94&lt;=7,"Vence &lt;=7 días",IF(U94&lt;=15,"Vence 8-15 días","En plazo"))))))</f>
        <v/>
      </c>
      <c r="X94" s="20">
        <f>IF(OR(B94="",D94=""),"",IF(COUNTIFS($B$7:$B$106,B94,$D$7:$D$106,D94)&gt;1,"Sí",""))</f>
        <v/>
      </c>
      <c r="Y94" s="21" t="n"/>
      <c r="Z94" s="28">
        <f>IF(F94="","",DATE(YEAR(F94),MONTH(F94),1))</f>
        <v/>
      </c>
      <c r="AA94" s="21" t="n"/>
      <c r="AB94" s="23">
        <f>IF(OR(T94="",F94="",S94&gt;0),"",T94-F94)</f>
        <v/>
      </c>
    </row>
    <row r="95">
      <c r="A95" s="20">
        <f>IF(B95="","","AP-"&amp;TEXT(F95,"YYMM")&amp;"-"&amp;TEXT(ROW()-6,"000"))</f>
        <v/>
      </c>
      <c r="B95" s="21" t="n"/>
      <c r="C95" s="20">
        <f>IF(B95="","",IFERROR(VLOOKUP(B95,Proveedores!$B$6:$I$105,2,FALSE),""))</f>
        <v/>
      </c>
      <c r="D95" s="21" t="n"/>
      <c r="E95" s="21" t="n"/>
      <c r="F95" s="45" t="n"/>
      <c r="G95" s="45" t="n"/>
      <c r="H95" s="23">
        <f>IF(B95="","",IFERROR(VLOOKUP(B95,Proveedores!$B$6:$I$105,7,FALSE),""))</f>
        <v/>
      </c>
      <c r="I95" s="46">
        <f>IF(OR(F95="",H95=""),"",F95+H95)</f>
        <v/>
      </c>
      <c r="J95" s="21" t="n"/>
      <c r="K95" s="20">
        <f>IF(B95="","",IFERROR(VLOOKUP(B95,Proveedores!$B$6:$I$105,8,FALSE),""))</f>
        <v/>
      </c>
      <c r="L95" s="47" t="n"/>
      <c r="M95" s="26" t="n"/>
      <c r="N95" s="48">
        <f>IF(L95="","",L95*M95)</f>
        <v/>
      </c>
      <c r="O95" s="26" t="n"/>
      <c r="P95" s="48">
        <f>IF(L95="","",L95*O95)</f>
        <v/>
      </c>
      <c r="Q95" s="48">
        <f>IF(L95="","",L95+N95-P95)</f>
        <v/>
      </c>
      <c r="R95" s="47" t="n"/>
      <c r="S95" s="48">
        <f>IF(Q95="","",MAX(Q95-R95,0))</f>
        <v/>
      </c>
      <c r="T95" s="45" t="n"/>
      <c r="U95" s="23">
        <f>IF(I95="","",IF(S95&lt;=0,"",I95-TODAY()))</f>
        <v/>
      </c>
      <c r="V95" s="20">
        <f>IF(B95="","",IF(S95&lt;=0,"Liquidada",IF(U95&gt;=0,"0. En plazo",IF(U95&gt;=-30,"1. 1-30 venc.",IF(U95&gt;=-60,"2. 31-60 venc.",IF(U95&gt;=-90,"3. 61-90 venc.","4. +90 venc."))))))</f>
        <v/>
      </c>
      <c r="W95" s="20">
        <f>IF(B95="","",IF(X95="Sí","Duplicada",IF(S95&lt;=0,"OK",IF(U95&lt;0,"Vencida",IF(U95&lt;=7,"Vence &lt;=7 días",IF(U95&lt;=15,"Vence 8-15 días","En plazo"))))))</f>
        <v/>
      </c>
      <c r="X95" s="20">
        <f>IF(OR(B95="",D95=""),"",IF(COUNTIFS($B$7:$B$106,B95,$D$7:$D$106,D95)&gt;1,"Sí",""))</f>
        <v/>
      </c>
      <c r="Y95" s="21" t="n"/>
      <c r="Z95" s="28">
        <f>IF(F95="","",DATE(YEAR(F95),MONTH(F95),1))</f>
        <v/>
      </c>
      <c r="AA95" s="21" t="n"/>
      <c r="AB95" s="23">
        <f>IF(OR(T95="",F95="",S95&gt;0),"",T95-F95)</f>
        <v/>
      </c>
    </row>
    <row r="96">
      <c r="A96" s="20">
        <f>IF(B96="","","AP-"&amp;TEXT(F96,"YYMM")&amp;"-"&amp;TEXT(ROW()-6,"000"))</f>
        <v/>
      </c>
      <c r="B96" s="21" t="n"/>
      <c r="C96" s="20">
        <f>IF(B96="","",IFERROR(VLOOKUP(B96,Proveedores!$B$6:$I$105,2,FALSE),""))</f>
        <v/>
      </c>
      <c r="D96" s="21" t="n"/>
      <c r="E96" s="21" t="n"/>
      <c r="F96" s="45" t="n"/>
      <c r="G96" s="45" t="n"/>
      <c r="H96" s="23">
        <f>IF(B96="","",IFERROR(VLOOKUP(B96,Proveedores!$B$6:$I$105,7,FALSE),""))</f>
        <v/>
      </c>
      <c r="I96" s="46">
        <f>IF(OR(F96="",H96=""),"",F96+H96)</f>
        <v/>
      </c>
      <c r="J96" s="21" t="n"/>
      <c r="K96" s="20">
        <f>IF(B96="","",IFERROR(VLOOKUP(B96,Proveedores!$B$6:$I$105,8,FALSE),""))</f>
        <v/>
      </c>
      <c r="L96" s="47" t="n"/>
      <c r="M96" s="26" t="n"/>
      <c r="N96" s="48">
        <f>IF(L96="","",L96*M96)</f>
        <v/>
      </c>
      <c r="O96" s="26" t="n"/>
      <c r="P96" s="48">
        <f>IF(L96="","",L96*O96)</f>
        <v/>
      </c>
      <c r="Q96" s="48">
        <f>IF(L96="","",L96+N96-P96)</f>
        <v/>
      </c>
      <c r="R96" s="47" t="n"/>
      <c r="S96" s="48">
        <f>IF(Q96="","",MAX(Q96-R96,0))</f>
        <v/>
      </c>
      <c r="T96" s="45" t="n"/>
      <c r="U96" s="23">
        <f>IF(I96="","",IF(S96&lt;=0,"",I96-TODAY()))</f>
        <v/>
      </c>
      <c r="V96" s="20">
        <f>IF(B96="","",IF(S96&lt;=0,"Liquidada",IF(U96&gt;=0,"0. En plazo",IF(U96&gt;=-30,"1. 1-30 venc.",IF(U96&gt;=-60,"2. 31-60 venc.",IF(U96&gt;=-90,"3. 61-90 venc.","4. +90 venc."))))))</f>
        <v/>
      </c>
      <c r="W96" s="20">
        <f>IF(B96="","",IF(X96="Sí","Duplicada",IF(S96&lt;=0,"OK",IF(U96&lt;0,"Vencida",IF(U96&lt;=7,"Vence &lt;=7 días",IF(U96&lt;=15,"Vence 8-15 días","En plazo"))))))</f>
        <v/>
      </c>
      <c r="X96" s="20">
        <f>IF(OR(B96="",D96=""),"",IF(COUNTIFS($B$7:$B$106,B96,$D$7:$D$106,D96)&gt;1,"Sí",""))</f>
        <v/>
      </c>
      <c r="Y96" s="21" t="n"/>
      <c r="Z96" s="28">
        <f>IF(F96="","",DATE(YEAR(F96),MONTH(F96),1))</f>
        <v/>
      </c>
      <c r="AA96" s="21" t="n"/>
      <c r="AB96" s="23">
        <f>IF(OR(T96="",F96="",S96&gt;0),"",T96-F96)</f>
        <v/>
      </c>
    </row>
    <row r="97">
      <c r="A97" s="20">
        <f>IF(B97="","","AP-"&amp;TEXT(F97,"YYMM")&amp;"-"&amp;TEXT(ROW()-6,"000"))</f>
        <v/>
      </c>
      <c r="B97" s="21" t="n"/>
      <c r="C97" s="20">
        <f>IF(B97="","",IFERROR(VLOOKUP(B97,Proveedores!$B$6:$I$105,2,FALSE),""))</f>
        <v/>
      </c>
      <c r="D97" s="21" t="n"/>
      <c r="E97" s="21" t="n"/>
      <c r="F97" s="45" t="n"/>
      <c r="G97" s="45" t="n"/>
      <c r="H97" s="23">
        <f>IF(B97="","",IFERROR(VLOOKUP(B97,Proveedores!$B$6:$I$105,7,FALSE),""))</f>
        <v/>
      </c>
      <c r="I97" s="46">
        <f>IF(OR(F97="",H97=""),"",F97+H97)</f>
        <v/>
      </c>
      <c r="J97" s="21" t="n"/>
      <c r="K97" s="20">
        <f>IF(B97="","",IFERROR(VLOOKUP(B97,Proveedores!$B$6:$I$105,8,FALSE),""))</f>
        <v/>
      </c>
      <c r="L97" s="47" t="n"/>
      <c r="M97" s="26" t="n"/>
      <c r="N97" s="48">
        <f>IF(L97="","",L97*M97)</f>
        <v/>
      </c>
      <c r="O97" s="26" t="n"/>
      <c r="P97" s="48">
        <f>IF(L97="","",L97*O97)</f>
        <v/>
      </c>
      <c r="Q97" s="48">
        <f>IF(L97="","",L97+N97-P97)</f>
        <v/>
      </c>
      <c r="R97" s="47" t="n"/>
      <c r="S97" s="48">
        <f>IF(Q97="","",MAX(Q97-R97,0))</f>
        <v/>
      </c>
      <c r="T97" s="45" t="n"/>
      <c r="U97" s="23">
        <f>IF(I97="","",IF(S97&lt;=0,"",I97-TODAY()))</f>
        <v/>
      </c>
      <c r="V97" s="20">
        <f>IF(B97="","",IF(S97&lt;=0,"Liquidada",IF(U97&gt;=0,"0. En plazo",IF(U97&gt;=-30,"1. 1-30 venc.",IF(U97&gt;=-60,"2. 31-60 venc.",IF(U97&gt;=-90,"3. 61-90 venc.","4. +90 venc."))))))</f>
        <v/>
      </c>
      <c r="W97" s="20">
        <f>IF(B97="","",IF(X97="Sí","Duplicada",IF(S97&lt;=0,"OK",IF(U97&lt;0,"Vencida",IF(U97&lt;=7,"Vence &lt;=7 días",IF(U97&lt;=15,"Vence 8-15 días","En plazo"))))))</f>
        <v/>
      </c>
      <c r="X97" s="20">
        <f>IF(OR(B97="",D97=""),"",IF(COUNTIFS($B$7:$B$106,B97,$D$7:$D$106,D97)&gt;1,"Sí",""))</f>
        <v/>
      </c>
      <c r="Y97" s="21" t="n"/>
      <c r="Z97" s="28">
        <f>IF(F97="","",DATE(YEAR(F97),MONTH(F97),1))</f>
        <v/>
      </c>
      <c r="AA97" s="21" t="n"/>
      <c r="AB97" s="23">
        <f>IF(OR(T97="",F97="",S97&gt;0),"",T97-F97)</f>
        <v/>
      </c>
    </row>
    <row r="98">
      <c r="A98" s="20">
        <f>IF(B98="","","AP-"&amp;TEXT(F98,"YYMM")&amp;"-"&amp;TEXT(ROW()-6,"000"))</f>
        <v/>
      </c>
      <c r="B98" s="21" t="n"/>
      <c r="C98" s="20">
        <f>IF(B98="","",IFERROR(VLOOKUP(B98,Proveedores!$B$6:$I$105,2,FALSE),""))</f>
        <v/>
      </c>
      <c r="D98" s="21" t="n"/>
      <c r="E98" s="21" t="n"/>
      <c r="F98" s="45" t="n"/>
      <c r="G98" s="45" t="n"/>
      <c r="H98" s="23">
        <f>IF(B98="","",IFERROR(VLOOKUP(B98,Proveedores!$B$6:$I$105,7,FALSE),""))</f>
        <v/>
      </c>
      <c r="I98" s="46">
        <f>IF(OR(F98="",H98=""),"",F98+H98)</f>
        <v/>
      </c>
      <c r="J98" s="21" t="n"/>
      <c r="K98" s="20">
        <f>IF(B98="","",IFERROR(VLOOKUP(B98,Proveedores!$B$6:$I$105,8,FALSE),""))</f>
        <v/>
      </c>
      <c r="L98" s="47" t="n"/>
      <c r="M98" s="26" t="n"/>
      <c r="N98" s="48">
        <f>IF(L98="","",L98*M98)</f>
        <v/>
      </c>
      <c r="O98" s="26" t="n"/>
      <c r="P98" s="48">
        <f>IF(L98="","",L98*O98)</f>
        <v/>
      </c>
      <c r="Q98" s="48">
        <f>IF(L98="","",L98+N98-P98)</f>
        <v/>
      </c>
      <c r="R98" s="47" t="n"/>
      <c r="S98" s="48">
        <f>IF(Q98="","",MAX(Q98-R98,0))</f>
        <v/>
      </c>
      <c r="T98" s="45" t="n"/>
      <c r="U98" s="23">
        <f>IF(I98="","",IF(S98&lt;=0,"",I98-TODAY()))</f>
        <v/>
      </c>
      <c r="V98" s="20">
        <f>IF(B98="","",IF(S98&lt;=0,"Liquidada",IF(U98&gt;=0,"0. En plazo",IF(U98&gt;=-30,"1. 1-30 venc.",IF(U98&gt;=-60,"2. 31-60 venc.",IF(U98&gt;=-90,"3. 61-90 venc.","4. +90 venc."))))))</f>
        <v/>
      </c>
      <c r="W98" s="20">
        <f>IF(B98="","",IF(X98="Sí","Duplicada",IF(S98&lt;=0,"OK",IF(U98&lt;0,"Vencida",IF(U98&lt;=7,"Vence &lt;=7 días",IF(U98&lt;=15,"Vence 8-15 días","En plazo"))))))</f>
        <v/>
      </c>
      <c r="X98" s="20">
        <f>IF(OR(B98="",D98=""),"",IF(COUNTIFS($B$7:$B$106,B98,$D$7:$D$106,D98)&gt;1,"Sí",""))</f>
        <v/>
      </c>
      <c r="Y98" s="21" t="n"/>
      <c r="Z98" s="28">
        <f>IF(F98="","",DATE(YEAR(F98),MONTH(F98),1))</f>
        <v/>
      </c>
      <c r="AA98" s="21" t="n"/>
      <c r="AB98" s="23">
        <f>IF(OR(T98="",F98="",S98&gt;0),"",T98-F98)</f>
        <v/>
      </c>
    </row>
    <row r="99">
      <c r="A99" s="20">
        <f>IF(B99="","","AP-"&amp;TEXT(F99,"YYMM")&amp;"-"&amp;TEXT(ROW()-6,"000"))</f>
        <v/>
      </c>
      <c r="B99" s="21" t="n"/>
      <c r="C99" s="20">
        <f>IF(B99="","",IFERROR(VLOOKUP(B99,Proveedores!$B$6:$I$105,2,FALSE),""))</f>
        <v/>
      </c>
      <c r="D99" s="21" t="n"/>
      <c r="E99" s="21" t="n"/>
      <c r="F99" s="45" t="n"/>
      <c r="G99" s="45" t="n"/>
      <c r="H99" s="23">
        <f>IF(B99="","",IFERROR(VLOOKUP(B99,Proveedores!$B$6:$I$105,7,FALSE),""))</f>
        <v/>
      </c>
      <c r="I99" s="46">
        <f>IF(OR(F99="",H99=""),"",F99+H99)</f>
        <v/>
      </c>
      <c r="J99" s="21" t="n"/>
      <c r="K99" s="20">
        <f>IF(B99="","",IFERROR(VLOOKUP(B99,Proveedores!$B$6:$I$105,8,FALSE),""))</f>
        <v/>
      </c>
      <c r="L99" s="47" t="n"/>
      <c r="M99" s="26" t="n"/>
      <c r="N99" s="48">
        <f>IF(L99="","",L99*M99)</f>
        <v/>
      </c>
      <c r="O99" s="26" t="n"/>
      <c r="P99" s="48">
        <f>IF(L99="","",L99*O99)</f>
        <v/>
      </c>
      <c r="Q99" s="48">
        <f>IF(L99="","",L99+N99-P99)</f>
        <v/>
      </c>
      <c r="R99" s="47" t="n"/>
      <c r="S99" s="48">
        <f>IF(Q99="","",MAX(Q99-R99,0))</f>
        <v/>
      </c>
      <c r="T99" s="45" t="n"/>
      <c r="U99" s="23">
        <f>IF(I99="","",IF(S99&lt;=0,"",I99-TODAY()))</f>
        <v/>
      </c>
      <c r="V99" s="20">
        <f>IF(B99="","",IF(S99&lt;=0,"Liquidada",IF(U99&gt;=0,"0. En plazo",IF(U99&gt;=-30,"1. 1-30 venc.",IF(U99&gt;=-60,"2. 31-60 venc.",IF(U99&gt;=-90,"3. 61-90 venc.","4. +90 venc."))))))</f>
        <v/>
      </c>
      <c r="W99" s="20">
        <f>IF(B99="","",IF(X99="Sí","Duplicada",IF(S99&lt;=0,"OK",IF(U99&lt;0,"Vencida",IF(U99&lt;=7,"Vence &lt;=7 días",IF(U99&lt;=15,"Vence 8-15 días","En plazo"))))))</f>
        <v/>
      </c>
      <c r="X99" s="20">
        <f>IF(OR(B99="",D99=""),"",IF(COUNTIFS($B$7:$B$106,B99,$D$7:$D$106,D99)&gt;1,"Sí",""))</f>
        <v/>
      </c>
      <c r="Y99" s="21" t="n"/>
      <c r="Z99" s="28">
        <f>IF(F99="","",DATE(YEAR(F99),MONTH(F99),1))</f>
        <v/>
      </c>
      <c r="AA99" s="21" t="n"/>
      <c r="AB99" s="23">
        <f>IF(OR(T99="",F99="",S99&gt;0),"",T99-F99)</f>
        <v/>
      </c>
    </row>
    <row r="100">
      <c r="A100" s="20">
        <f>IF(B100="","","AP-"&amp;TEXT(F100,"YYMM")&amp;"-"&amp;TEXT(ROW()-6,"000"))</f>
        <v/>
      </c>
      <c r="B100" s="21" t="n"/>
      <c r="C100" s="20">
        <f>IF(B100="","",IFERROR(VLOOKUP(B100,Proveedores!$B$6:$I$105,2,FALSE),""))</f>
        <v/>
      </c>
      <c r="D100" s="21" t="n"/>
      <c r="E100" s="21" t="n"/>
      <c r="F100" s="45" t="n"/>
      <c r="G100" s="45" t="n"/>
      <c r="H100" s="23">
        <f>IF(B100="","",IFERROR(VLOOKUP(B100,Proveedores!$B$6:$I$105,7,FALSE),""))</f>
        <v/>
      </c>
      <c r="I100" s="46">
        <f>IF(OR(F100="",H100=""),"",F100+H100)</f>
        <v/>
      </c>
      <c r="J100" s="21" t="n"/>
      <c r="K100" s="20">
        <f>IF(B100="","",IFERROR(VLOOKUP(B100,Proveedores!$B$6:$I$105,8,FALSE),""))</f>
        <v/>
      </c>
      <c r="L100" s="47" t="n"/>
      <c r="M100" s="26" t="n"/>
      <c r="N100" s="48">
        <f>IF(L100="","",L100*M100)</f>
        <v/>
      </c>
      <c r="O100" s="26" t="n"/>
      <c r="P100" s="48">
        <f>IF(L100="","",L100*O100)</f>
        <v/>
      </c>
      <c r="Q100" s="48">
        <f>IF(L100="","",L100+N100-P100)</f>
        <v/>
      </c>
      <c r="R100" s="47" t="n"/>
      <c r="S100" s="48">
        <f>IF(Q100="","",MAX(Q100-R100,0))</f>
        <v/>
      </c>
      <c r="T100" s="45" t="n"/>
      <c r="U100" s="23">
        <f>IF(I100="","",IF(S100&lt;=0,"",I100-TODAY()))</f>
        <v/>
      </c>
      <c r="V100" s="20">
        <f>IF(B100="","",IF(S100&lt;=0,"Liquidada",IF(U100&gt;=0,"0. En plazo",IF(U100&gt;=-30,"1. 1-30 venc.",IF(U100&gt;=-60,"2. 31-60 venc.",IF(U100&gt;=-90,"3. 61-90 venc.","4. +90 venc."))))))</f>
        <v/>
      </c>
      <c r="W100" s="20">
        <f>IF(B100="","",IF(X100="Sí","Duplicada",IF(S100&lt;=0,"OK",IF(U100&lt;0,"Vencida",IF(U100&lt;=7,"Vence &lt;=7 días",IF(U100&lt;=15,"Vence 8-15 días","En plazo"))))))</f>
        <v/>
      </c>
      <c r="X100" s="20">
        <f>IF(OR(B100="",D100=""),"",IF(COUNTIFS($B$7:$B$106,B100,$D$7:$D$106,D100)&gt;1,"Sí",""))</f>
        <v/>
      </c>
      <c r="Y100" s="21" t="n"/>
      <c r="Z100" s="28">
        <f>IF(F100="","",DATE(YEAR(F100),MONTH(F100),1))</f>
        <v/>
      </c>
      <c r="AA100" s="21" t="n"/>
      <c r="AB100" s="23">
        <f>IF(OR(T100="",F100="",S100&gt;0),"",T100-F100)</f>
        <v/>
      </c>
    </row>
    <row r="101">
      <c r="A101" s="20">
        <f>IF(B101="","","AP-"&amp;TEXT(F101,"YYMM")&amp;"-"&amp;TEXT(ROW()-6,"000"))</f>
        <v/>
      </c>
      <c r="B101" s="21" t="n"/>
      <c r="C101" s="20">
        <f>IF(B101="","",IFERROR(VLOOKUP(B101,Proveedores!$B$6:$I$105,2,FALSE),""))</f>
        <v/>
      </c>
      <c r="D101" s="21" t="n"/>
      <c r="E101" s="21" t="n"/>
      <c r="F101" s="45" t="n"/>
      <c r="G101" s="45" t="n"/>
      <c r="H101" s="23">
        <f>IF(B101="","",IFERROR(VLOOKUP(B101,Proveedores!$B$6:$I$105,7,FALSE),""))</f>
        <v/>
      </c>
      <c r="I101" s="46">
        <f>IF(OR(F101="",H101=""),"",F101+H101)</f>
        <v/>
      </c>
      <c r="J101" s="21" t="n"/>
      <c r="K101" s="20">
        <f>IF(B101="","",IFERROR(VLOOKUP(B101,Proveedores!$B$6:$I$105,8,FALSE),""))</f>
        <v/>
      </c>
      <c r="L101" s="47" t="n"/>
      <c r="M101" s="26" t="n"/>
      <c r="N101" s="48">
        <f>IF(L101="","",L101*M101)</f>
        <v/>
      </c>
      <c r="O101" s="26" t="n"/>
      <c r="P101" s="48">
        <f>IF(L101="","",L101*O101)</f>
        <v/>
      </c>
      <c r="Q101" s="48">
        <f>IF(L101="","",L101+N101-P101)</f>
        <v/>
      </c>
      <c r="R101" s="47" t="n"/>
      <c r="S101" s="48">
        <f>IF(Q101="","",MAX(Q101-R101,0))</f>
        <v/>
      </c>
      <c r="T101" s="45" t="n"/>
      <c r="U101" s="23">
        <f>IF(I101="","",IF(S101&lt;=0,"",I101-TODAY()))</f>
        <v/>
      </c>
      <c r="V101" s="20">
        <f>IF(B101="","",IF(S101&lt;=0,"Liquidada",IF(U101&gt;=0,"0. En plazo",IF(U101&gt;=-30,"1. 1-30 venc.",IF(U101&gt;=-60,"2. 31-60 venc.",IF(U101&gt;=-90,"3. 61-90 venc.","4. +90 venc."))))))</f>
        <v/>
      </c>
      <c r="W101" s="20">
        <f>IF(B101="","",IF(X101="Sí","Duplicada",IF(S101&lt;=0,"OK",IF(U101&lt;0,"Vencida",IF(U101&lt;=7,"Vence &lt;=7 días",IF(U101&lt;=15,"Vence 8-15 días","En plazo"))))))</f>
        <v/>
      </c>
      <c r="X101" s="20">
        <f>IF(OR(B101="",D101=""),"",IF(COUNTIFS($B$7:$B$106,B101,$D$7:$D$106,D101)&gt;1,"Sí",""))</f>
        <v/>
      </c>
      <c r="Y101" s="21" t="n"/>
      <c r="Z101" s="28">
        <f>IF(F101="","",DATE(YEAR(F101),MONTH(F101),1))</f>
        <v/>
      </c>
      <c r="AA101" s="21" t="n"/>
      <c r="AB101" s="23">
        <f>IF(OR(T101="",F101="",S101&gt;0),"",T101-F101)</f>
        <v/>
      </c>
    </row>
    <row r="102">
      <c r="A102" s="20">
        <f>IF(B102="","","AP-"&amp;TEXT(F102,"YYMM")&amp;"-"&amp;TEXT(ROW()-6,"000"))</f>
        <v/>
      </c>
      <c r="B102" s="21" t="n"/>
      <c r="C102" s="20">
        <f>IF(B102="","",IFERROR(VLOOKUP(B102,Proveedores!$B$6:$I$105,2,FALSE),""))</f>
        <v/>
      </c>
      <c r="D102" s="21" t="n"/>
      <c r="E102" s="21" t="n"/>
      <c r="F102" s="45" t="n"/>
      <c r="G102" s="45" t="n"/>
      <c r="H102" s="23">
        <f>IF(B102="","",IFERROR(VLOOKUP(B102,Proveedores!$B$6:$I$105,7,FALSE),""))</f>
        <v/>
      </c>
      <c r="I102" s="46">
        <f>IF(OR(F102="",H102=""),"",F102+H102)</f>
        <v/>
      </c>
      <c r="J102" s="21" t="n"/>
      <c r="K102" s="20">
        <f>IF(B102="","",IFERROR(VLOOKUP(B102,Proveedores!$B$6:$I$105,8,FALSE),""))</f>
        <v/>
      </c>
      <c r="L102" s="47" t="n"/>
      <c r="M102" s="26" t="n"/>
      <c r="N102" s="48">
        <f>IF(L102="","",L102*M102)</f>
        <v/>
      </c>
      <c r="O102" s="26" t="n"/>
      <c r="P102" s="48">
        <f>IF(L102="","",L102*O102)</f>
        <v/>
      </c>
      <c r="Q102" s="48">
        <f>IF(L102="","",L102+N102-P102)</f>
        <v/>
      </c>
      <c r="R102" s="47" t="n"/>
      <c r="S102" s="48">
        <f>IF(Q102="","",MAX(Q102-R102,0))</f>
        <v/>
      </c>
      <c r="T102" s="45" t="n"/>
      <c r="U102" s="23">
        <f>IF(I102="","",IF(S102&lt;=0,"",I102-TODAY()))</f>
        <v/>
      </c>
      <c r="V102" s="20">
        <f>IF(B102="","",IF(S102&lt;=0,"Liquidada",IF(U102&gt;=0,"0. En plazo",IF(U102&gt;=-30,"1. 1-30 venc.",IF(U102&gt;=-60,"2. 31-60 venc.",IF(U102&gt;=-90,"3. 61-90 venc.","4. +90 venc."))))))</f>
        <v/>
      </c>
      <c r="W102" s="20">
        <f>IF(B102="","",IF(X102="Sí","Duplicada",IF(S102&lt;=0,"OK",IF(U102&lt;0,"Vencida",IF(U102&lt;=7,"Vence &lt;=7 días",IF(U102&lt;=15,"Vence 8-15 días","En plazo"))))))</f>
        <v/>
      </c>
      <c r="X102" s="20">
        <f>IF(OR(B102="",D102=""),"",IF(COUNTIFS($B$7:$B$106,B102,$D$7:$D$106,D102)&gt;1,"Sí",""))</f>
        <v/>
      </c>
      <c r="Y102" s="21" t="n"/>
      <c r="Z102" s="28">
        <f>IF(F102="","",DATE(YEAR(F102),MONTH(F102),1))</f>
        <v/>
      </c>
      <c r="AA102" s="21" t="n"/>
      <c r="AB102" s="23">
        <f>IF(OR(T102="",F102="",S102&gt;0),"",T102-F102)</f>
        <v/>
      </c>
    </row>
    <row r="103">
      <c r="A103" s="20">
        <f>IF(B103="","","AP-"&amp;TEXT(F103,"YYMM")&amp;"-"&amp;TEXT(ROW()-6,"000"))</f>
        <v/>
      </c>
      <c r="B103" s="21" t="n"/>
      <c r="C103" s="20">
        <f>IF(B103="","",IFERROR(VLOOKUP(B103,Proveedores!$B$6:$I$105,2,FALSE),""))</f>
        <v/>
      </c>
      <c r="D103" s="21" t="n"/>
      <c r="E103" s="21" t="n"/>
      <c r="F103" s="45" t="n"/>
      <c r="G103" s="45" t="n"/>
      <c r="H103" s="23">
        <f>IF(B103="","",IFERROR(VLOOKUP(B103,Proveedores!$B$6:$I$105,7,FALSE),""))</f>
        <v/>
      </c>
      <c r="I103" s="46">
        <f>IF(OR(F103="",H103=""),"",F103+H103)</f>
        <v/>
      </c>
      <c r="J103" s="21" t="n"/>
      <c r="K103" s="20">
        <f>IF(B103="","",IFERROR(VLOOKUP(B103,Proveedores!$B$6:$I$105,8,FALSE),""))</f>
        <v/>
      </c>
      <c r="L103" s="47" t="n"/>
      <c r="M103" s="26" t="n"/>
      <c r="N103" s="48">
        <f>IF(L103="","",L103*M103)</f>
        <v/>
      </c>
      <c r="O103" s="26" t="n"/>
      <c r="P103" s="48">
        <f>IF(L103="","",L103*O103)</f>
        <v/>
      </c>
      <c r="Q103" s="48">
        <f>IF(L103="","",L103+N103-P103)</f>
        <v/>
      </c>
      <c r="R103" s="47" t="n"/>
      <c r="S103" s="48">
        <f>IF(Q103="","",MAX(Q103-R103,0))</f>
        <v/>
      </c>
      <c r="T103" s="45" t="n"/>
      <c r="U103" s="23">
        <f>IF(I103="","",IF(S103&lt;=0,"",I103-TODAY()))</f>
        <v/>
      </c>
      <c r="V103" s="20">
        <f>IF(B103="","",IF(S103&lt;=0,"Liquidada",IF(U103&gt;=0,"0. En plazo",IF(U103&gt;=-30,"1. 1-30 venc.",IF(U103&gt;=-60,"2. 31-60 venc.",IF(U103&gt;=-90,"3. 61-90 venc.","4. +90 venc."))))))</f>
        <v/>
      </c>
      <c r="W103" s="20">
        <f>IF(B103="","",IF(X103="Sí","Duplicada",IF(S103&lt;=0,"OK",IF(U103&lt;0,"Vencida",IF(U103&lt;=7,"Vence &lt;=7 días",IF(U103&lt;=15,"Vence 8-15 días","En plazo"))))))</f>
        <v/>
      </c>
      <c r="X103" s="20">
        <f>IF(OR(B103="",D103=""),"",IF(COUNTIFS($B$7:$B$106,B103,$D$7:$D$106,D103)&gt;1,"Sí",""))</f>
        <v/>
      </c>
      <c r="Y103" s="21" t="n"/>
      <c r="Z103" s="28">
        <f>IF(F103="","",DATE(YEAR(F103),MONTH(F103),1))</f>
        <v/>
      </c>
      <c r="AA103" s="21" t="n"/>
      <c r="AB103" s="23">
        <f>IF(OR(T103="",F103="",S103&gt;0),"",T103-F103)</f>
        <v/>
      </c>
    </row>
    <row r="104">
      <c r="A104" s="20">
        <f>IF(B104="","","AP-"&amp;TEXT(F104,"YYMM")&amp;"-"&amp;TEXT(ROW()-6,"000"))</f>
        <v/>
      </c>
      <c r="B104" s="21" t="n"/>
      <c r="C104" s="20">
        <f>IF(B104="","",IFERROR(VLOOKUP(B104,Proveedores!$B$6:$I$105,2,FALSE),""))</f>
        <v/>
      </c>
      <c r="D104" s="21" t="n"/>
      <c r="E104" s="21" t="n"/>
      <c r="F104" s="45" t="n"/>
      <c r="G104" s="45" t="n"/>
      <c r="H104" s="23">
        <f>IF(B104="","",IFERROR(VLOOKUP(B104,Proveedores!$B$6:$I$105,7,FALSE),""))</f>
        <v/>
      </c>
      <c r="I104" s="46">
        <f>IF(OR(F104="",H104=""),"",F104+H104)</f>
        <v/>
      </c>
      <c r="J104" s="21" t="n"/>
      <c r="K104" s="20">
        <f>IF(B104="","",IFERROR(VLOOKUP(B104,Proveedores!$B$6:$I$105,8,FALSE),""))</f>
        <v/>
      </c>
      <c r="L104" s="47" t="n"/>
      <c r="M104" s="26" t="n"/>
      <c r="N104" s="48">
        <f>IF(L104="","",L104*M104)</f>
        <v/>
      </c>
      <c r="O104" s="26" t="n"/>
      <c r="P104" s="48">
        <f>IF(L104="","",L104*O104)</f>
        <v/>
      </c>
      <c r="Q104" s="48">
        <f>IF(L104="","",L104+N104-P104)</f>
        <v/>
      </c>
      <c r="R104" s="47" t="n"/>
      <c r="S104" s="48">
        <f>IF(Q104="","",MAX(Q104-R104,0))</f>
        <v/>
      </c>
      <c r="T104" s="45" t="n"/>
      <c r="U104" s="23">
        <f>IF(I104="","",IF(S104&lt;=0,"",I104-TODAY()))</f>
        <v/>
      </c>
      <c r="V104" s="20">
        <f>IF(B104="","",IF(S104&lt;=0,"Liquidada",IF(U104&gt;=0,"0. En plazo",IF(U104&gt;=-30,"1. 1-30 venc.",IF(U104&gt;=-60,"2. 31-60 venc.",IF(U104&gt;=-90,"3. 61-90 venc.","4. +90 venc."))))))</f>
        <v/>
      </c>
      <c r="W104" s="20">
        <f>IF(B104="","",IF(X104="Sí","Duplicada",IF(S104&lt;=0,"OK",IF(U104&lt;0,"Vencida",IF(U104&lt;=7,"Vence &lt;=7 días",IF(U104&lt;=15,"Vence 8-15 días","En plazo"))))))</f>
        <v/>
      </c>
      <c r="X104" s="20">
        <f>IF(OR(B104="",D104=""),"",IF(COUNTIFS($B$7:$B$106,B104,$D$7:$D$106,D104)&gt;1,"Sí",""))</f>
        <v/>
      </c>
      <c r="Y104" s="21" t="n"/>
      <c r="Z104" s="28">
        <f>IF(F104="","",DATE(YEAR(F104),MONTH(F104),1))</f>
        <v/>
      </c>
      <c r="AA104" s="21" t="n"/>
      <c r="AB104" s="23">
        <f>IF(OR(T104="",F104="",S104&gt;0),"",T104-F104)</f>
        <v/>
      </c>
    </row>
    <row r="105">
      <c r="A105" s="20">
        <f>IF(B105="","","AP-"&amp;TEXT(F105,"YYMM")&amp;"-"&amp;TEXT(ROW()-6,"000"))</f>
        <v/>
      </c>
      <c r="B105" s="21" t="n"/>
      <c r="C105" s="20">
        <f>IF(B105="","",IFERROR(VLOOKUP(B105,Proveedores!$B$6:$I$105,2,FALSE),""))</f>
        <v/>
      </c>
      <c r="D105" s="21" t="n"/>
      <c r="E105" s="21" t="n"/>
      <c r="F105" s="45" t="n"/>
      <c r="G105" s="45" t="n"/>
      <c r="H105" s="23">
        <f>IF(B105="","",IFERROR(VLOOKUP(B105,Proveedores!$B$6:$I$105,7,FALSE),""))</f>
        <v/>
      </c>
      <c r="I105" s="46">
        <f>IF(OR(F105="",H105=""),"",F105+H105)</f>
        <v/>
      </c>
      <c r="J105" s="21" t="n"/>
      <c r="K105" s="20">
        <f>IF(B105="","",IFERROR(VLOOKUP(B105,Proveedores!$B$6:$I$105,8,FALSE),""))</f>
        <v/>
      </c>
      <c r="L105" s="47" t="n"/>
      <c r="M105" s="26" t="n"/>
      <c r="N105" s="48">
        <f>IF(L105="","",L105*M105)</f>
        <v/>
      </c>
      <c r="O105" s="26" t="n"/>
      <c r="P105" s="48">
        <f>IF(L105="","",L105*O105)</f>
        <v/>
      </c>
      <c r="Q105" s="48">
        <f>IF(L105="","",L105+N105-P105)</f>
        <v/>
      </c>
      <c r="R105" s="47" t="n"/>
      <c r="S105" s="48">
        <f>IF(Q105="","",MAX(Q105-R105,0))</f>
        <v/>
      </c>
      <c r="T105" s="45" t="n"/>
      <c r="U105" s="23">
        <f>IF(I105="","",IF(S105&lt;=0,"",I105-TODAY()))</f>
        <v/>
      </c>
      <c r="V105" s="20">
        <f>IF(B105="","",IF(S105&lt;=0,"Liquidada",IF(U105&gt;=0,"0. En plazo",IF(U105&gt;=-30,"1. 1-30 venc.",IF(U105&gt;=-60,"2. 31-60 venc.",IF(U105&gt;=-90,"3. 61-90 venc.","4. +90 venc."))))))</f>
        <v/>
      </c>
      <c r="W105" s="20">
        <f>IF(B105="","",IF(X105="Sí","Duplicada",IF(S105&lt;=0,"OK",IF(U105&lt;0,"Vencida",IF(U105&lt;=7,"Vence &lt;=7 días",IF(U105&lt;=15,"Vence 8-15 días","En plazo"))))))</f>
        <v/>
      </c>
      <c r="X105" s="20">
        <f>IF(OR(B105="",D105=""),"",IF(COUNTIFS($B$7:$B$106,B105,$D$7:$D$106,D105)&gt;1,"Sí",""))</f>
        <v/>
      </c>
      <c r="Y105" s="21" t="n"/>
      <c r="Z105" s="28">
        <f>IF(F105="","",DATE(YEAR(F105),MONTH(F105),1))</f>
        <v/>
      </c>
      <c r="AA105" s="21" t="n"/>
      <c r="AB105" s="23">
        <f>IF(OR(T105="",F105="",S105&gt;0),"",T105-F105)</f>
        <v/>
      </c>
    </row>
    <row r="106">
      <c r="A106" s="20">
        <f>IF(B106="","","AP-"&amp;TEXT(F106,"YYMM")&amp;"-"&amp;TEXT(ROW()-6,"000"))</f>
        <v/>
      </c>
      <c r="B106" s="21" t="n"/>
      <c r="C106" s="20">
        <f>IF(B106="","",IFERROR(VLOOKUP(B106,Proveedores!$B$6:$I$105,2,FALSE),""))</f>
        <v/>
      </c>
      <c r="D106" s="21" t="n"/>
      <c r="E106" s="21" t="n"/>
      <c r="F106" s="45" t="n"/>
      <c r="G106" s="45" t="n"/>
      <c r="H106" s="23">
        <f>IF(B106="","",IFERROR(VLOOKUP(B106,Proveedores!$B$6:$I$105,7,FALSE),""))</f>
        <v/>
      </c>
      <c r="I106" s="46">
        <f>IF(OR(F106="",H106=""),"",F106+H106)</f>
        <v/>
      </c>
      <c r="J106" s="21" t="n"/>
      <c r="K106" s="20">
        <f>IF(B106="","",IFERROR(VLOOKUP(B106,Proveedores!$B$6:$I$105,8,FALSE),""))</f>
        <v/>
      </c>
      <c r="L106" s="47" t="n"/>
      <c r="M106" s="26" t="n"/>
      <c r="N106" s="48">
        <f>IF(L106="","",L106*M106)</f>
        <v/>
      </c>
      <c r="O106" s="26" t="n"/>
      <c r="P106" s="48">
        <f>IF(L106="","",L106*O106)</f>
        <v/>
      </c>
      <c r="Q106" s="48">
        <f>IF(L106="","",L106+N106-P106)</f>
        <v/>
      </c>
      <c r="R106" s="47" t="n"/>
      <c r="S106" s="48">
        <f>IF(Q106="","",MAX(Q106-R106,0))</f>
        <v/>
      </c>
      <c r="T106" s="45" t="n"/>
      <c r="U106" s="23">
        <f>IF(I106="","",IF(S106&lt;=0,"",I106-TODAY()))</f>
        <v/>
      </c>
      <c r="V106" s="20">
        <f>IF(B106="","",IF(S106&lt;=0,"Liquidada",IF(U106&gt;=0,"0. En plazo",IF(U106&gt;=-30,"1. 1-30 venc.",IF(U106&gt;=-60,"2. 31-60 venc.",IF(U106&gt;=-90,"3. 61-90 venc.","4. +90 venc."))))))</f>
        <v/>
      </c>
      <c r="W106" s="20">
        <f>IF(B106="","",IF(X106="Sí","Duplicada",IF(S106&lt;=0,"OK",IF(U106&lt;0,"Vencida",IF(U106&lt;=7,"Vence &lt;=7 días",IF(U106&lt;=15,"Vence 8-15 días","En plazo"))))))</f>
        <v/>
      </c>
      <c r="X106" s="20">
        <f>IF(OR(B106="",D106=""),"",IF(COUNTIFS($B$7:$B$106,B106,$D$7:$D$106,D106)&gt;1,"Sí",""))</f>
        <v/>
      </c>
      <c r="Y106" s="21" t="n"/>
      <c r="Z106" s="28">
        <f>IF(F106="","",DATE(YEAR(F106),MONTH(F106),1))</f>
        <v/>
      </c>
      <c r="AA106" s="21" t="n"/>
      <c r="AB106" s="23">
        <f>IF(OR(T106="",F106="",S106&gt;0),"",T106-F106)</f>
        <v/>
      </c>
    </row>
  </sheetData>
  <mergeCells count="2">
    <mergeCell ref="A2:AB2"/>
    <mergeCell ref="A1:AB1"/>
  </mergeCells>
  <conditionalFormatting sqref="A7:AB106">
    <cfRule type="expression" priority="6" dxfId="0">
      <formula>AND($B7&lt;&gt;"",$W7="Vencida")</formula>
    </cfRule>
    <cfRule type="expression" priority="7" dxfId="1">
      <formula>AND($B7&lt;&gt;"",OR($W7="Vence &lt;=7 días",$W7="Vence 8-15 días"))</formula>
    </cfRule>
    <cfRule type="expression" priority="8" dxfId="2">
      <formula>AND($B7&lt;&gt;"",$S7=0)</formula>
    </cfRule>
    <cfRule type="expression" priority="9" dxfId="3">
      <formula>AND($B7&lt;&gt;"",OR($J7="Bloqueada",$J7="Revisar"))</formula>
    </cfRule>
    <cfRule type="expression" priority="10" dxfId="4">
      <formula>AND($B7&lt;&gt;"",$X7="Sí")</formula>
    </cfRule>
  </conditionalFormatting>
  <dataValidations count="6">
    <dataValidation sqref="B7:B106" showDropDown="0" showInputMessage="0" showErrorMessage="0" allowBlank="1" type="list">
      <formula1>=Lista_Proveedores</formula1>
    </dataValidation>
    <dataValidation sqref="J7:J106" showDropDown="0" showInputMessage="0" showErrorMessage="0" allowBlank="1" type="list">
      <formula1>=EstadosFactura</formula1>
    </dataValidation>
    <dataValidation sqref="K7:K106" showDropDown="0" showInputMessage="0" showErrorMessage="0" allowBlank="1" type="list">
      <formula1>=FormasPago</formula1>
    </dataValidation>
    <dataValidation sqref="M7:M106" showDropDown="0" showInputMessage="0" showErrorMessage="0" allowBlank="1" type="list">
      <formula1>=TiposIVA</formula1>
    </dataValidation>
    <dataValidation sqref="O7:O106" showDropDown="0" showInputMessage="0" showErrorMessage="0" allowBlank="1" type="list">
      <formula1>=TiposRetencion</formula1>
    </dataValidation>
    <dataValidation sqref="Y7:Y106" showDropDown="0" showInputMessage="0" showErrorMessage="0" allowBlank="1" type="list">
      <formula1>=Responsables</formula1>
    </dataValidation>
  </dataValidations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tabColor rgb="000F766E"/>
    <outlinePr summaryBelow="1" summaryRight="1"/>
    <pageSetUpPr/>
  </sheetPr>
  <dimension ref="A1:S105"/>
  <sheetViews>
    <sheetView showGridLines="0" workbookViewId="0">
      <selection activeCell="A1" sqref="A1"/>
    </sheetView>
  </sheetViews>
  <sheetFormatPr baseColWidth="8" defaultRowHeight="15"/>
  <cols>
    <col width="11" customWidth="1" min="1" max="1"/>
    <col width="34" customWidth="1" min="2" max="2"/>
    <col width="24" customWidth="1" min="3" max="3"/>
    <col width="14" customWidth="1" min="4" max="4"/>
    <col width="18" customWidth="1" min="5" max="5"/>
    <col width="26" customWidth="1" min="6" max="6"/>
    <col width="15" customWidth="1" min="7" max="7"/>
    <col width="16" customWidth="1" min="8" max="8"/>
    <col width="20" customWidth="1" min="9" max="9"/>
    <col width="16" customWidth="1" min="10" max="10"/>
    <col hidden="1" width="13" customWidth="1" min="13" max="13"/>
    <col hidden="1" width="13" customWidth="1" min="14" max="14"/>
    <col hidden="1" width="13" customWidth="1" min="15" max="15"/>
    <col hidden="1" width="13" customWidth="1" min="16" max="16"/>
    <col hidden="1" width="13" customWidth="1" min="17" max="17"/>
    <col hidden="1" width="13" customWidth="1" min="18" max="18"/>
    <col hidden="1" width="13" customWidth="1" min="19" max="19"/>
  </cols>
  <sheetData>
    <row r="1">
      <c r="A1" s="29" t="inlineStr">
        <is>
          <t>Maestro de proveedores</t>
        </is>
      </c>
    </row>
    <row r="2">
      <c r="A2" s="30" t="inlineStr">
        <is>
          <t>Actualiza aquí la ficha de cada proveedor. Las listas de la hoja Facturas se alimentan de este registro.</t>
        </is>
      </c>
      <c r="M2" t="inlineStr">
        <is>
          <t>Pendiente</t>
        </is>
      </c>
      <c r="N2" t="inlineStr">
        <is>
          <t>Administración</t>
        </is>
      </c>
      <c r="O2" s="31" t="n">
        <v>0</v>
      </c>
      <c r="P2" s="31" t="n">
        <v>0</v>
      </c>
      <c r="Q2" t="inlineStr">
        <is>
          <t>Transferencia</t>
        </is>
      </c>
      <c r="R2" t="inlineStr">
        <is>
          <t>Mantenimiento</t>
        </is>
      </c>
      <c r="S2" t="inlineStr">
        <is>
          <t>Activo</t>
        </is>
      </c>
    </row>
    <row r="3">
      <c r="M3" t="inlineStr">
        <is>
          <t>Programada</t>
        </is>
      </c>
      <c r="N3" t="inlineStr">
        <is>
          <t>Compras</t>
        </is>
      </c>
      <c r="O3" s="31" t="n">
        <v>0.04</v>
      </c>
      <c r="P3" s="31" t="n">
        <v>0.07000000000000001</v>
      </c>
      <c r="Q3" t="inlineStr">
        <is>
          <t>Domiciliación</t>
        </is>
      </c>
      <c r="R3" t="inlineStr">
        <is>
          <t>Material oficina</t>
        </is>
      </c>
      <c r="S3" t="inlineStr">
        <is>
          <t>En revisión</t>
        </is>
      </c>
    </row>
    <row r="4">
      <c r="M4" t="inlineStr">
        <is>
          <t>Parcial</t>
        </is>
      </c>
      <c r="N4" t="inlineStr">
        <is>
          <t>Operaciones</t>
        </is>
      </c>
      <c r="O4" s="31" t="n">
        <v>0.1</v>
      </c>
      <c r="P4" s="31" t="n">
        <v>0.15</v>
      </c>
      <c r="Q4" t="inlineStr">
        <is>
          <t>Tarjeta</t>
        </is>
      </c>
      <c r="R4" t="inlineStr">
        <is>
          <t>Marketing</t>
        </is>
      </c>
      <c r="S4" t="inlineStr">
        <is>
          <t>Inactivo</t>
        </is>
      </c>
    </row>
    <row r="5">
      <c r="A5" s="19" t="inlineStr">
        <is>
          <t>Código</t>
        </is>
      </c>
      <c r="B5" s="19" t="inlineStr">
        <is>
          <t>Proveedor</t>
        </is>
      </c>
      <c r="C5" s="19" t="inlineStr">
        <is>
          <t>Categoría por defecto</t>
        </is>
      </c>
      <c r="D5" s="19" t="inlineStr">
        <is>
          <t>CIF/NIF</t>
        </is>
      </c>
      <c r="E5" s="19" t="inlineStr">
        <is>
          <t>Contacto</t>
        </is>
      </c>
      <c r="F5" s="19" t="inlineStr">
        <is>
          <t>Email</t>
        </is>
      </c>
      <c r="G5" s="19" t="inlineStr">
        <is>
          <t>Teléfono</t>
        </is>
      </c>
      <c r="H5" s="19" t="inlineStr">
        <is>
          <t>Plazo pago (días)</t>
        </is>
      </c>
      <c r="I5" s="19" t="inlineStr">
        <is>
          <t>Forma pago habitual</t>
        </is>
      </c>
      <c r="J5" s="19" t="inlineStr">
        <is>
          <t>Estado proveedor</t>
        </is>
      </c>
      <c r="M5" t="inlineStr">
        <is>
          <t>Pagada</t>
        </is>
      </c>
      <c r="N5" t="inlineStr">
        <is>
          <t>Proyectos</t>
        </is>
      </c>
      <c r="O5" s="31" t="n">
        <v>0.21</v>
      </c>
      <c r="Q5" t="inlineStr">
        <is>
          <t>Confirming</t>
        </is>
      </c>
      <c r="R5" t="inlineStr">
        <is>
          <t>Tecnología</t>
        </is>
      </c>
    </row>
    <row r="6">
      <c r="A6" s="32" t="inlineStr">
        <is>
          <t>PRV-001</t>
        </is>
      </c>
      <c r="B6" s="33" t="inlineStr">
        <is>
          <t>Nexo Soluciones Industriales SL</t>
        </is>
      </c>
      <c r="C6" s="33" t="inlineStr">
        <is>
          <t>Mantenimiento</t>
        </is>
      </c>
      <c r="D6" s="33" t="inlineStr">
        <is>
          <t>B10458231</t>
        </is>
      </c>
      <c r="E6" s="33" t="inlineStr">
        <is>
          <t>Soporte técnico</t>
        </is>
      </c>
      <c r="F6" s="33" t="inlineStr">
        <is>
          <t>pagos@nexo.test</t>
        </is>
      </c>
      <c r="G6" s="33" t="inlineStr">
        <is>
          <t>91 410 23 11</t>
        </is>
      </c>
      <c r="H6" s="33" t="n">
        <v>30</v>
      </c>
      <c r="I6" s="33" t="inlineStr">
        <is>
          <t>Transferencia</t>
        </is>
      </c>
      <c r="J6" s="33" t="inlineStr">
        <is>
          <t>Activo</t>
        </is>
      </c>
      <c r="M6" t="inlineStr">
        <is>
          <t>Bloqueada</t>
        </is>
      </c>
      <c r="N6" t="inlineStr">
        <is>
          <t>Dirección</t>
        </is>
      </c>
      <c r="Q6" t="inlineStr">
        <is>
          <t>Bizum empresa</t>
        </is>
      </c>
      <c r="R6" t="inlineStr">
        <is>
          <t>Limpieza</t>
        </is>
      </c>
    </row>
    <row r="7">
      <c r="A7" s="32" t="inlineStr">
        <is>
          <t>PRV-002</t>
        </is>
      </c>
      <c r="B7" s="33" t="inlineStr">
        <is>
          <t>Lumen Oficina Integral SL</t>
        </is>
      </c>
      <c r="C7" s="33" t="inlineStr">
        <is>
          <t>Material oficina</t>
        </is>
      </c>
      <c r="D7" s="33" t="inlineStr">
        <is>
          <t>B20891344</t>
        </is>
      </c>
      <c r="E7" s="33" t="inlineStr">
        <is>
          <t>Compras</t>
        </is>
      </c>
      <c r="F7" s="33" t="inlineStr">
        <is>
          <t>facturas@lumen.test</t>
        </is>
      </c>
      <c r="G7" s="33" t="inlineStr">
        <is>
          <t>91 535 14 28</t>
        </is>
      </c>
      <c r="H7" s="33" t="n">
        <v>15</v>
      </c>
      <c r="I7" s="33" t="inlineStr">
        <is>
          <t>Tarjeta</t>
        </is>
      </c>
      <c r="J7" s="33" t="inlineStr">
        <is>
          <t>Activo</t>
        </is>
      </c>
      <c r="M7" t="inlineStr">
        <is>
          <t>Revisar</t>
        </is>
      </c>
      <c r="R7" t="inlineStr">
        <is>
          <t>Logística</t>
        </is>
      </c>
    </row>
    <row r="8">
      <c r="A8" s="32" t="inlineStr">
        <is>
          <t>PRV-003</t>
        </is>
      </c>
      <c r="B8" s="33" t="inlineStr">
        <is>
          <t>Brisa Creativa Estudio SL</t>
        </is>
      </c>
      <c r="C8" s="33" t="inlineStr">
        <is>
          <t>Marketing</t>
        </is>
      </c>
      <c r="D8" s="33" t="inlineStr">
        <is>
          <t>B30977420</t>
        </is>
      </c>
      <c r="E8" s="33" t="inlineStr">
        <is>
          <t>Producción</t>
        </is>
      </c>
      <c r="F8" s="33" t="inlineStr">
        <is>
          <t>admin@brisa.test</t>
        </is>
      </c>
      <c r="G8" s="33" t="inlineStr">
        <is>
          <t>93 220 45 17</t>
        </is>
      </c>
      <c r="H8" s="33" t="n">
        <v>30</v>
      </c>
      <c r="I8" s="33" t="inlineStr">
        <is>
          <t>Transferencia</t>
        </is>
      </c>
      <c r="J8" s="33" t="inlineStr">
        <is>
          <t>Activo</t>
        </is>
      </c>
      <c r="R8" t="inlineStr">
        <is>
          <t>Servicios profesionales</t>
        </is>
      </c>
    </row>
    <row r="9">
      <c r="A9" s="32" t="inlineStr">
        <is>
          <t>PRV-004</t>
        </is>
      </c>
      <c r="B9" s="33" t="inlineStr">
        <is>
          <t>Atlas IT Continuidad SL</t>
        </is>
      </c>
      <c r="C9" s="33" t="inlineStr">
        <is>
          <t>Tecnología</t>
        </is>
      </c>
      <c r="D9" s="33" t="inlineStr">
        <is>
          <t>B41266531</t>
        </is>
      </c>
      <c r="E9" s="33" t="inlineStr">
        <is>
          <t>Helpdesk</t>
        </is>
      </c>
      <c r="F9" s="33" t="inlineStr">
        <is>
          <t>billing@atlasit.test</t>
        </is>
      </c>
      <c r="G9" s="33" t="inlineStr">
        <is>
          <t>91 631 98 44</t>
        </is>
      </c>
      <c r="H9" s="33" t="n">
        <v>45</v>
      </c>
      <c r="I9" s="33" t="inlineStr">
        <is>
          <t>Transferencia</t>
        </is>
      </c>
      <c r="J9" s="33" t="inlineStr">
        <is>
          <t>Activo</t>
        </is>
      </c>
      <c r="R9" t="inlineStr">
        <is>
          <t>Suministros</t>
        </is>
      </c>
    </row>
    <row r="10">
      <c r="A10" s="32" t="inlineStr">
        <is>
          <t>PRV-005</t>
        </is>
      </c>
      <c r="B10" s="33" t="inlineStr">
        <is>
          <t>Verde Urbano Servicios SL</t>
        </is>
      </c>
      <c r="C10" s="33" t="inlineStr">
        <is>
          <t>Limpieza</t>
        </is>
      </c>
      <c r="D10" s="33" t="inlineStr">
        <is>
          <t>B51902813</t>
        </is>
      </c>
      <c r="E10" s="33" t="inlineStr">
        <is>
          <t>Operaciones</t>
        </is>
      </c>
      <c r="F10" s="33" t="inlineStr">
        <is>
          <t>pagos@verdeurbano.test</t>
        </is>
      </c>
      <c r="G10" s="33" t="inlineStr">
        <is>
          <t>96 143 20 16</t>
        </is>
      </c>
      <c r="H10" s="33" t="n">
        <v>30</v>
      </c>
      <c r="I10" s="33" t="inlineStr">
        <is>
          <t>Domiciliación</t>
        </is>
      </c>
      <c r="J10" s="33" t="inlineStr">
        <is>
          <t>Activo</t>
        </is>
      </c>
      <c r="R10" t="inlineStr">
        <is>
          <t>Formación</t>
        </is>
      </c>
    </row>
    <row r="11">
      <c r="A11" s="32" t="inlineStr">
        <is>
          <t>PRV-006</t>
        </is>
      </c>
      <c r="B11" s="33" t="inlineStr">
        <is>
          <t>Delta Logística Regional SL</t>
        </is>
      </c>
      <c r="C11" s="33" t="inlineStr">
        <is>
          <t>Logística</t>
        </is>
      </c>
      <c r="D11" s="33" t="inlineStr">
        <is>
          <t>B62014785</t>
        </is>
      </c>
      <c r="E11" s="33" t="inlineStr">
        <is>
          <t>Administración</t>
        </is>
      </c>
      <c r="F11" s="33" t="inlineStr">
        <is>
          <t>ap@deltalog.test</t>
        </is>
      </c>
      <c r="G11" s="33" t="inlineStr">
        <is>
          <t>94 501 62 19</t>
        </is>
      </c>
      <c r="H11" s="33" t="n">
        <v>30</v>
      </c>
      <c r="I11" s="33" t="inlineStr">
        <is>
          <t>Transferencia</t>
        </is>
      </c>
      <c r="J11" s="33" t="inlineStr">
        <is>
          <t>Activo</t>
        </is>
      </c>
      <c r="R11" t="inlineStr">
        <is>
          <t>Equipamiento</t>
        </is>
      </c>
    </row>
    <row r="12">
      <c r="A12" s="32" t="inlineStr">
        <is>
          <t>PRV-007</t>
        </is>
      </c>
      <c r="B12" s="33" t="inlineStr">
        <is>
          <t>Pórtico Consultoría Legal SL</t>
        </is>
      </c>
      <c r="C12" s="33" t="inlineStr">
        <is>
          <t>Servicios profesionales</t>
        </is>
      </c>
      <c r="D12" s="33" t="inlineStr">
        <is>
          <t>B73190547</t>
        </is>
      </c>
      <c r="E12" s="33" t="inlineStr">
        <is>
          <t>Secretaría</t>
        </is>
      </c>
      <c r="F12" s="33" t="inlineStr">
        <is>
          <t>facturacion@porticolegal.test</t>
        </is>
      </c>
      <c r="G12" s="33" t="inlineStr">
        <is>
          <t>91 278 41 36</t>
        </is>
      </c>
      <c r="H12" s="33" t="n">
        <v>30</v>
      </c>
      <c r="I12" s="33" t="inlineStr">
        <is>
          <t>Transferencia</t>
        </is>
      </c>
      <c r="J12" s="33" t="inlineStr">
        <is>
          <t>Activo</t>
        </is>
      </c>
      <c r="R12" t="inlineStr">
        <is>
          <t>Producción eventos</t>
        </is>
      </c>
    </row>
    <row r="13">
      <c r="A13" s="32" t="inlineStr">
        <is>
          <t>PRV-008</t>
        </is>
      </c>
      <c r="B13" s="33" t="inlineStr">
        <is>
          <t>Senda Energía Comercializadora SA</t>
        </is>
      </c>
      <c r="C13" s="33" t="inlineStr">
        <is>
          <t>Suministros</t>
        </is>
      </c>
      <c r="D13" s="33" t="inlineStr">
        <is>
          <t>A84267014</t>
        </is>
      </c>
      <c r="E13" s="33" t="inlineStr">
        <is>
          <t>Atención empresa</t>
        </is>
      </c>
      <c r="F13" s="33" t="inlineStr">
        <is>
          <t>empresas@sendaenergia.test</t>
        </is>
      </c>
      <c r="G13" s="33" t="inlineStr">
        <is>
          <t>96 205 39 02</t>
        </is>
      </c>
      <c r="H13" s="33" t="n">
        <v>15</v>
      </c>
      <c r="I13" s="33" t="inlineStr">
        <is>
          <t>Domiciliación</t>
        </is>
      </c>
      <c r="J13" s="33" t="inlineStr">
        <is>
          <t>Activo</t>
        </is>
      </c>
    </row>
    <row r="14">
      <c r="A14" s="32" t="inlineStr">
        <is>
          <t>PRV-009</t>
        </is>
      </c>
      <c r="B14" s="33" t="inlineStr">
        <is>
          <t>Nova Formación Aplicada SL</t>
        </is>
      </c>
      <c r="C14" s="33" t="inlineStr">
        <is>
          <t>Formación</t>
        </is>
      </c>
      <c r="D14" s="33" t="inlineStr">
        <is>
          <t>B95311866</t>
        </is>
      </c>
      <c r="E14" s="33" t="inlineStr">
        <is>
          <t>Coordinación</t>
        </is>
      </c>
      <c r="F14" s="33" t="inlineStr">
        <is>
          <t>cobros@novaformacion.test</t>
        </is>
      </c>
      <c r="G14" s="33" t="inlineStr">
        <is>
          <t>93 315 71 42</t>
        </is>
      </c>
      <c r="H14" s="33" t="n">
        <v>30</v>
      </c>
      <c r="I14" s="33" t="inlineStr">
        <is>
          <t>Transferencia</t>
        </is>
      </c>
      <c r="J14" s="33" t="inlineStr">
        <is>
          <t>Activo</t>
        </is>
      </c>
    </row>
    <row r="15">
      <c r="A15" s="32" t="inlineStr">
        <is>
          <t>PRV-010</t>
        </is>
      </c>
      <c r="B15" s="33" t="inlineStr">
        <is>
          <t>Taller Prisma Mobiliario SL</t>
        </is>
      </c>
      <c r="C15" s="33" t="inlineStr">
        <is>
          <t>Equipamiento</t>
        </is>
      </c>
      <c r="D15" s="33" t="inlineStr">
        <is>
          <t>B06451297</t>
        </is>
      </c>
      <c r="E15" s="33" t="inlineStr">
        <is>
          <t>Backoffice</t>
        </is>
      </c>
      <c r="F15" s="33" t="inlineStr">
        <is>
          <t>proveedores@prisma.test</t>
        </is>
      </c>
      <c r="G15" s="33" t="inlineStr">
        <is>
          <t>95 401 28 55</t>
        </is>
      </c>
      <c r="H15" s="33" t="n">
        <v>60</v>
      </c>
      <c r="I15" s="33" t="inlineStr">
        <is>
          <t>Confirming</t>
        </is>
      </c>
      <c r="J15" s="33" t="inlineStr">
        <is>
          <t>Activo</t>
        </is>
      </c>
    </row>
    <row r="16">
      <c r="A16" s="32" t="inlineStr">
        <is>
          <t>PRV-011</t>
        </is>
      </c>
      <c r="B16" s="33" t="inlineStr">
        <is>
          <t>Acuarela Eventos Técnicos SL</t>
        </is>
      </c>
      <c r="C16" s="33" t="inlineStr">
        <is>
          <t>Producción eventos</t>
        </is>
      </c>
      <c r="D16" s="33" t="inlineStr">
        <is>
          <t>B17569083</t>
        </is>
      </c>
      <c r="E16" s="33" t="inlineStr">
        <is>
          <t>Project office</t>
        </is>
      </c>
      <c r="F16" s="33" t="inlineStr">
        <is>
          <t>facturas@acuarela.test</t>
        </is>
      </c>
      <c r="G16" s="33" t="inlineStr">
        <is>
          <t>93 419 87 63</t>
        </is>
      </c>
      <c r="H16" s="33" t="n">
        <v>30</v>
      </c>
      <c r="I16" s="33" t="inlineStr">
        <is>
          <t>Transferencia</t>
        </is>
      </c>
      <c r="J16" s="33" t="inlineStr">
        <is>
          <t>Activo</t>
        </is>
      </c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</row>
    <row r="61">
      <c r="A61" s="13" t="n"/>
      <c r="B61" s="13" t="n"/>
      <c r="C61" s="13" t="n"/>
      <c r="D61" s="13" t="n"/>
      <c r="E61" s="13" t="n"/>
      <c r="F61" s="13" t="n"/>
      <c r="G61" s="13" t="n"/>
      <c r="H61" s="13" t="n"/>
      <c r="I61" s="13" t="n"/>
      <c r="J61" s="13" t="n"/>
    </row>
    <row r="62">
      <c r="A62" s="13" t="n"/>
      <c r="B62" s="13" t="n"/>
      <c r="C62" s="13" t="n"/>
      <c r="D62" s="13" t="n"/>
      <c r="E62" s="13" t="n"/>
      <c r="F62" s="13" t="n"/>
      <c r="G62" s="13" t="n"/>
      <c r="H62" s="13" t="n"/>
      <c r="I62" s="13" t="n"/>
      <c r="J62" s="13" t="n"/>
    </row>
    <row r="63">
      <c r="A63" s="13" t="n"/>
      <c r="B63" s="13" t="n"/>
      <c r="C63" s="13" t="n"/>
      <c r="D63" s="13" t="n"/>
      <c r="E63" s="13" t="n"/>
      <c r="F63" s="13" t="n"/>
      <c r="G63" s="13" t="n"/>
      <c r="H63" s="13" t="n"/>
      <c r="I63" s="13" t="n"/>
      <c r="J63" s="13" t="n"/>
    </row>
    <row r="64">
      <c r="A64" s="13" t="n"/>
      <c r="B64" s="13" t="n"/>
      <c r="C64" s="13" t="n"/>
      <c r="D64" s="13" t="n"/>
      <c r="E64" s="13" t="n"/>
      <c r="F64" s="13" t="n"/>
      <c r="G64" s="13" t="n"/>
      <c r="H64" s="13" t="n"/>
      <c r="I64" s="13" t="n"/>
      <c r="J64" s="13" t="n"/>
    </row>
    <row r="65">
      <c r="A65" s="13" t="n"/>
      <c r="B65" s="13" t="n"/>
      <c r="C65" s="13" t="n"/>
      <c r="D65" s="13" t="n"/>
      <c r="E65" s="13" t="n"/>
      <c r="F65" s="13" t="n"/>
      <c r="G65" s="13" t="n"/>
      <c r="H65" s="13" t="n"/>
      <c r="I65" s="13" t="n"/>
      <c r="J65" s="13" t="n"/>
    </row>
    <row r="66">
      <c r="A66" s="13" t="n"/>
      <c r="B66" s="13" t="n"/>
      <c r="C66" s="13" t="n"/>
      <c r="D66" s="13" t="n"/>
      <c r="E66" s="13" t="n"/>
      <c r="F66" s="13" t="n"/>
      <c r="G66" s="13" t="n"/>
      <c r="H66" s="13" t="n"/>
      <c r="I66" s="13" t="n"/>
      <c r="J66" s="13" t="n"/>
    </row>
    <row r="67">
      <c r="A67" s="13" t="n"/>
      <c r="B67" s="13" t="n"/>
      <c r="C67" s="13" t="n"/>
      <c r="D67" s="13" t="n"/>
      <c r="E67" s="13" t="n"/>
      <c r="F67" s="13" t="n"/>
      <c r="G67" s="13" t="n"/>
      <c r="H67" s="13" t="n"/>
      <c r="I67" s="13" t="n"/>
      <c r="J67" s="13" t="n"/>
    </row>
    <row r="68">
      <c r="A68" s="13" t="n"/>
      <c r="B68" s="13" t="n"/>
      <c r="C68" s="13" t="n"/>
      <c r="D68" s="13" t="n"/>
      <c r="E68" s="13" t="n"/>
      <c r="F68" s="13" t="n"/>
      <c r="G68" s="13" t="n"/>
      <c r="H68" s="13" t="n"/>
      <c r="I68" s="13" t="n"/>
      <c r="J68" s="13" t="n"/>
    </row>
    <row r="69">
      <c r="A69" s="13" t="n"/>
      <c r="B69" s="13" t="n"/>
      <c r="C69" s="13" t="n"/>
      <c r="D69" s="13" t="n"/>
      <c r="E69" s="13" t="n"/>
      <c r="F69" s="13" t="n"/>
      <c r="G69" s="13" t="n"/>
      <c r="H69" s="13" t="n"/>
      <c r="I69" s="13" t="n"/>
      <c r="J69" s="13" t="n"/>
    </row>
    <row r="70">
      <c r="A70" s="13" t="n"/>
      <c r="B70" s="13" t="n"/>
      <c r="C70" s="13" t="n"/>
      <c r="D70" s="13" t="n"/>
      <c r="E70" s="13" t="n"/>
      <c r="F70" s="13" t="n"/>
      <c r="G70" s="13" t="n"/>
      <c r="H70" s="13" t="n"/>
      <c r="I70" s="13" t="n"/>
      <c r="J70" s="13" t="n"/>
    </row>
    <row r="71">
      <c r="A71" s="13" t="n"/>
      <c r="B71" s="13" t="n"/>
      <c r="C71" s="13" t="n"/>
      <c r="D71" s="13" t="n"/>
      <c r="E71" s="13" t="n"/>
      <c r="F71" s="13" t="n"/>
      <c r="G71" s="13" t="n"/>
      <c r="H71" s="13" t="n"/>
      <c r="I71" s="13" t="n"/>
      <c r="J71" s="13" t="n"/>
    </row>
    <row r="72">
      <c r="A72" s="13" t="n"/>
      <c r="B72" s="13" t="n"/>
      <c r="C72" s="13" t="n"/>
      <c r="D72" s="13" t="n"/>
      <c r="E72" s="13" t="n"/>
      <c r="F72" s="13" t="n"/>
      <c r="G72" s="13" t="n"/>
      <c r="H72" s="13" t="n"/>
      <c r="I72" s="13" t="n"/>
      <c r="J72" s="13" t="n"/>
    </row>
    <row r="73">
      <c r="A73" s="13" t="n"/>
      <c r="B73" s="13" t="n"/>
      <c r="C73" s="13" t="n"/>
      <c r="D73" s="13" t="n"/>
      <c r="E73" s="13" t="n"/>
      <c r="F73" s="13" t="n"/>
      <c r="G73" s="13" t="n"/>
      <c r="H73" s="13" t="n"/>
      <c r="I73" s="13" t="n"/>
      <c r="J73" s="13" t="n"/>
    </row>
    <row r="74">
      <c r="A74" s="13" t="n"/>
      <c r="B74" s="13" t="n"/>
      <c r="C74" s="13" t="n"/>
      <c r="D74" s="13" t="n"/>
      <c r="E74" s="13" t="n"/>
      <c r="F74" s="13" t="n"/>
      <c r="G74" s="13" t="n"/>
      <c r="H74" s="13" t="n"/>
      <c r="I74" s="13" t="n"/>
      <c r="J74" s="13" t="n"/>
    </row>
    <row r="75">
      <c r="A75" s="13" t="n"/>
      <c r="B75" s="13" t="n"/>
      <c r="C75" s="13" t="n"/>
      <c r="D75" s="13" t="n"/>
      <c r="E75" s="13" t="n"/>
      <c r="F75" s="13" t="n"/>
      <c r="G75" s="13" t="n"/>
      <c r="H75" s="13" t="n"/>
      <c r="I75" s="13" t="n"/>
      <c r="J75" s="13" t="n"/>
    </row>
    <row r="76">
      <c r="A76" s="13" t="n"/>
      <c r="B76" s="13" t="n"/>
      <c r="C76" s="13" t="n"/>
      <c r="D76" s="13" t="n"/>
      <c r="E76" s="13" t="n"/>
      <c r="F76" s="13" t="n"/>
      <c r="G76" s="13" t="n"/>
      <c r="H76" s="13" t="n"/>
      <c r="I76" s="13" t="n"/>
      <c r="J76" s="13" t="n"/>
    </row>
    <row r="77">
      <c r="A77" s="13" t="n"/>
      <c r="B77" s="13" t="n"/>
      <c r="C77" s="13" t="n"/>
      <c r="D77" s="13" t="n"/>
      <c r="E77" s="13" t="n"/>
      <c r="F77" s="13" t="n"/>
      <c r="G77" s="13" t="n"/>
      <c r="H77" s="13" t="n"/>
      <c r="I77" s="13" t="n"/>
      <c r="J77" s="13" t="n"/>
    </row>
    <row r="78">
      <c r="A78" s="13" t="n"/>
      <c r="B78" s="13" t="n"/>
      <c r="C78" s="13" t="n"/>
      <c r="D78" s="13" t="n"/>
      <c r="E78" s="13" t="n"/>
      <c r="F78" s="13" t="n"/>
      <c r="G78" s="13" t="n"/>
      <c r="H78" s="13" t="n"/>
      <c r="I78" s="13" t="n"/>
      <c r="J78" s="13" t="n"/>
    </row>
    <row r="79">
      <c r="A79" s="13" t="n"/>
      <c r="B79" s="13" t="n"/>
      <c r="C79" s="13" t="n"/>
      <c r="D79" s="13" t="n"/>
      <c r="E79" s="13" t="n"/>
      <c r="F79" s="13" t="n"/>
      <c r="G79" s="13" t="n"/>
      <c r="H79" s="13" t="n"/>
      <c r="I79" s="13" t="n"/>
      <c r="J79" s="13" t="n"/>
    </row>
    <row r="80">
      <c r="A80" s="13" t="n"/>
      <c r="B80" s="13" t="n"/>
      <c r="C80" s="13" t="n"/>
      <c r="D80" s="13" t="n"/>
      <c r="E80" s="13" t="n"/>
      <c r="F80" s="13" t="n"/>
      <c r="G80" s="13" t="n"/>
      <c r="H80" s="13" t="n"/>
      <c r="I80" s="13" t="n"/>
      <c r="J80" s="13" t="n"/>
    </row>
    <row r="81">
      <c r="A81" s="13" t="n"/>
      <c r="B81" s="13" t="n"/>
      <c r="C81" s="13" t="n"/>
      <c r="D81" s="13" t="n"/>
      <c r="E81" s="13" t="n"/>
      <c r="F81" s="13" t="n"/>
      <c r="G81" s="13" t="n"/>
      <c r="H81" s="13" t="n"/>
      <c r="I81" s="13" t="n"/>
      <c r="J81" s="13" t="n"/>
    </row>
    <row r="82">
      <c r="A82" s="13" t="n"/>
      <c r="B82" s="13" t="n"/>
      <c r="C82" s="13" t="n"/>
      <c r="D82" s="13" t="n"/>
      <c r="E82" s="13" t="n"/>
      <c r="F82" s="13" t="n"/>
      <c r="G82" s="13" t="n"/>
      <c r="H82" s="13" t="n"/>
      <c r="I82" s="13" t="n"/>
      <c r="J82" s="13" t="n"/>
    </row>
    <row r="83">
      <c r="A83" s="13" t="n"/>
      <c r="B83" s="13" t="n"/>
      <c r="C83" s="13" t="n"/>
      <c r="D83" s="13" t="n"/>
      <c r="E83" s="13" t="n"/>
      <c r="F83" s="13" t="n"/>
      <c r="G83" s="13" t="n"/>
      <c r="H83" s="13" t="n"/>
      <c r="I83" s="13" t="n"/>
      <c r="J83" s="13" t="n"/>
    </row>
    <row r="84">
      <c r="A84" s="13" t="n"/>
      <c r="B84" s="13" t="n"/>
      <c r="C84" s="13" t="n"/>
      <c r="D84" s="13" t="n"/>
      <c r="E84" s="13" t="n"/>
      <c r="F84" s="13" t="n"/>
      <c r="G84" s="13" t="n"/>
      <c r="H84" s="13" t="n"/>
      <c r="I84" s="13" t="n"/>
      <c r="J84" s="13" t="n"/>
    </row>
    <row r="85">
      <c r="A85" s="13" t="n"/>
      <c r="B85" s="13" t="n"/>
      <c r="C85" s="13" t="n"/>
      <c r="D85" s="13" t="n"/>
      <c r="E85" s="13" t="n"/>
      <c r="F85" s="13" t="n"/>
      <c r="G85" s="13" t="n"/>
      <c r="H85" s="13" t="n"/>
      <c r="I85" s="13" t="n"/>
      <c r="J85" s="13" t="n"/>
    </row>
    <row r="86">
      <c r="A86" s="13" t="n"/>
      <c r="B86" s="13" t="n"/>
      <c r="C86" s="13" t="n"/>
      <c r="D86" s="13" t="n"/>
      <c r="E86" s="13" t="n"/>
      <c r="F86" s="13" t="n"/>
      <c r="G86" s="13" t="n"/>
      <c r="H86" s="13" t="n"/>
      <c r="I86" s="13" t="n"/>
      <c r="J86" s="13" t="n"/>
    </row>
    <row r="87">
      <c r="A87" s="13" t="n"/>
      <c r="B87" s="13" t="n"/>
      <c r="C87" s="13" t="n"/>
      <c r="D87" s="13" t="n"/>
      <c r="E87" s="13" t="n"/>
      <c r="F87" s="13" t="n"/>
      <c r="G87" s="13" t="n"/>
      <c r="H87" s="13" t="n"/>
      <c r="I87" s="13" t="n"/>
      <c r="J87" s="13" t="n"/>
    </row>
    <row r="88">
      <c r="A88" s="13" t="n"/>
      <c r="B88" s="13" t="n"/>
      <c r="C88" s="13" t="n"/>
      <c r="D88" s="13" t="n"/>
      <c r="E88" s="13" t="n"/>
      <c r="F88" s="13" t="n"/>
      <c r="G88" s="13" t="n"/>
      <c r="H88" s="13" t="n"/>
      <c r="I88" s="13" t="n"/>
      <c r="J88" s="13" t="n"/>
    </row>
    <row r="89">
      <c r="A89" s="13" t="n"/>
      <c r="B89" s="13" t="n"/>
      <c r="C89" s="13" t="n"/>
      <c r="D89" s="13" t="n"/>
      <c r="E89" s="13" t="n"/>
      <c r="F89" s="13" t="n"/>
      <c r="G89" s="13" t="n"/>
      <c r="H89" s="13" t="n"/>
      <c r="I89" s="13" t="n"/>
      <c r="J89" s="13" t="n"/>
    </row>
    <row r="90">
      <c r="A90" s="13" t="n"/>
      <c r="B90" s="13" t="n"/>
      <c r="C90" s="13" t="n"/>
      <c r="D90" s="13" t="n"/>
      <c r="E90" s="13" t="n"/>
      <c r="F90" s="13" t="n"/>
      <c r="G90" s="13" t="n"/>
      <c r="H90" s="13" t="n"/>
      <c r="I90" s="13" t="n"/>
      <c r="J90" s="13" t="n"/>
    </row>
    <row r="91">
      <c r="A91" s="13" t="n"/>
      <c r="B91" s="13" t="n"/>
      <c r="C91" s="13" t="n"/>
      <c r="D91" s="13" t="n"/>
      <c r="E91" s="13" t="n"/>
      <c r="F91" s="13" t="n"/>
      <c r="G91" s="13" t="n"/>
      <c r="H91" s="13" t="n"/>
      <c r="I91" s="13" t="n"/>
      <c r="J91" s="13" t="n"/>
    </row>
    <row r="92">
      <c r="A92" s="13" t="n"/>
      <c r="B92" s="13" t="n"/>
      <c r="C92" s="13" t="n"/>
      <c r="D92" s="13" t="n"/>
      <c r="E92" s="13" t="n"/>
      <c r="F92" s="13" t="n"/>
      <c r="G92" s="13" t="n"/>
      <c r="H92" s="13" t="n"/>
      <c r="I92" s="13" t="n"/>
      <c r="J92" s="13" t="n"/>
    </row>
    <row r="93">
      <c r="A93" s="13" t="n"/>
      <c r="B93" s="13" t="n"/>
      <c r="C93" s="13" t="n"/>
      <c r="D93" s="13" t="n"/>
      <c r="E93" s="13" t="n"/>
      <c r="F93" s="13" t="n"/>
      <c r="G93" s="13" t="n"/>
      <c r="H93" s="13" t="n"/>
      <c r="I93" s="13" t="n"/>
      <c r="J93" s="13" t="n"/>
    </row>
    <row r="94">
      <c r="A94" s="13" t="n"/>
      <c r="B94" s="13" t="n"/>
      <c r="C94" s="13" t="n"/>
      <c r="D94" s="13" t="n"/>
      <c r="E94" s="13" t="n"/>
      <c r="F94" s="13" t="n"/>
      <c r="G94" s="13" t="n"/>
      <c r="H94" s="13" t="n"/>
      <c r="I94" s="13" t="n"/>
      <c r="J94" s="13" t="n"/>
    </row>
    <row r="95">
      <c r="A95" s="13" t="n"/>
      <c r="B95" s="13" t="n"/>
      <c r="C95" s="13" t="n"/>
      <c r="D95" s="13" t="n"/>
      <c r="E95" s="13" t="n"/>
      <c r="F95" s="13" t="n"/>
      <c r="G95" s="13" t="n"/>
      <c r="H95" s="13" t="n"/>
      <c r="I95" s="13" t="n"/>
      <c r="J95" s="13" t="n"/>
    </row>
    <row r="96">
      <c r="A96" s="13" t="n"/>
      <c r="B96" s="13" t="n"/>
      <c r="C96" s="13" t="n"/>
      <c r="D96" s="13" t="n"/>
      <c r="E96" s="13" t="n"/>
      <c r="F96" s="13" t="n"/>
      <c r="G96" s="13" t="n"/>
      <c r="H96" s="13" t="n"/>
      <c r="I96" s="13" t="n"/>
      <c r="J96" s="13" t="n"/>
    </row>
    <row r="97">
      <c r="A97" s="13" t="n"/>
      <c r="B97" s="13" t="n"/>
      <c r="C97" s="13" t="n"/>
      <c r="D97" s="13" t="n"/>
      <c r="E97" s="13" t="n"/>
      <c r="F97" s="13" t="n"/>
      <c r="G97" s="13" t="n"/>
      <c r="H97" s="13" t="n"/>
      <c r="I97" s="13" t="n"/>
      <c r="J97" s="13" t="n"/>
    </row>
    <row r="98">
      <c r="A98" s="13" t="n"/>
      <c r="B98" s="13" t="n"/>
      <c r="C98" s="13" t="n"/>
      <c r="D98" s="13" t="n"/>
      <c r="E98" s="13" t="n"/>
      <c r="F98" s="13" t="n"/>
      <c r="G98" s="13" t="n"/>
      <c r="H98" s="13" t="n"/>
      <c r="I98" s="13" t="n"/>
      <c r="J98" s="13" t="n"/>
    </row>
    <row r="99">
      <c r="A99" s="13" t="n"/>
      <c r="B99" s="13" t="n"/>
      <c r="C99" s="13" t="n"/>
      <c r="D99" s="13" t="n"/>
      <c r="E99" s="13" t="n"/>
      <c r="F99" s="13" t="n"/>
      <c r="G99" s="13" t="n"/>
      <c r="H99" s="13" t="n"/>
      <c r="I99" s="13" t="n"/>
      <c r="J99" s="13" t="n"/>
    </row>
    <row r="100">
      <c r="A100" s="13" t="n"/>
      <c r="B100" s="13" t="n"/>
      <c r="C100" s="13" t="n"/>
      <c r="D100" s="13" t="n"/>
      <c r="E100" s="13" t="n"/>
      <c r="F100" s="13" t="n"/>
      <c r="G100" s="13" t="n"/>
      <c r="H100" s="13" t="n"/>
      <c r="I100" s="13" t="n"/>
      <c r="J100" s="13" t="n"/>
    </row>
    <row r="101">
      <c r="A101" s="13" t="n"/>
      <c r="B101" s="13" t="n"/>
      <c r="C101" s="13" t="n"/>
      <c r="D101" s="13" t="n"/>
      <c r="E101" s="13" t="n"/>
      <c r="F101" s="13" t="n"/>
      <c r="G101" s="13" t="n"/>
      <c r="H101" s="13" t="n"/>
      <c r="I101" s="13" t="n"/>
      <c r="J101" s="13" t="n"/>
    </row>
    <row r="102">
      <c r="A102" s="13" t="n"/>
      <c r="B102" s="13" t="n"/>
      <c r="C102" s="13" t="n"/>
      <c r="D102" s="13" t="n"/>
      <c r="E102" s="13" t="n"/>
      <c r="F102" s="13" t="n"/>
      <c r="G102" s="13" t="n"/>
      <c r="H102" s="13" t="n"/>
      <c r="I102" s="13" t="n"/>
      <c r="J102" s="13" t="n"/>
    </row>
    <row r="103">
      <c r="A103" s="13" t="n"/>
      <c r="B103" s="13" t="n"/>
      <c r="C103" s="13" t="n"/>
      <c r="D103" s="13" t="n"/>
      <c r="E103" s="13" t="n"/>
      <c r="F103" s="13" t="n"/>
      <c r="G103" s="13" t="n"/>
      <c r="H103" s="13" t="n"/>
      <c r="I103" s="13" t="n"/>
      <c r="J103" s="13" t="n"/>
    </row>
    <row r="104">
      <c r="A104" s="13" t="n"/>
      <c r="B104" s="13" t="n"/>
      <c r="C104" s="13" t="n"/>
      <c r="D104" s="13" t="n"/>
      <c r="E104" s="13" t="n"/>
      <c r="F104" s="13" t="n"/>
      <c r="G104" s="13" t="n"/>
      <c r="H104" s="13" t="n"/>
      <c r="I104" s="13" t="n"/>
      <c r="J104" s="13" t="n"/>
    </row>
    <row r="105">
      <c r="A105" s="13" t="n"/>
      <c r="B105" s="13" t="n"/>
      <c r="C105" s="13" t="n"/>
      <c r="D105" s="13" t="n"/>
      <c r="E105" s="13" t="n"/>
      <c r="F105" s="13" t="n"/>
      <c r="G105" s="13" t="n"/>
      <c r="H105" s="13" t="n"/>
      <c r="I105" s="13" t="n"/>
      <c r="J105" s="13" t="n"/>
    </row>
  </sheetData>
  <mergeCells count="2">
    <mergeCell ref="A1:J1"/>
    <mergeCell ref="A2:J2"/>
  </mergeCells>
  <dataValidations count="3">
    <dataValidation sqref="C6:C105" showDropDown="0" showInputMessage="0" showErrorMessage="0" allowBlank="1" type="list">
      <formula1>=Categorias</formula1>
    </dataValidation>
    <dataValidation sqref="I6:I105" showDropDown="0" showInputMessage="0" showErrorMessage="0" allowBlank="1" type="list">
      <formula1>=FormasPago</formula1>
    </dataValidation>
    <dataValidation sqref="J6:J105" showDropDown="0" showInputMessage="0" showErrorMessage="0" allowBlank="1" type="list">
      <formula1>=EstadosProveedor</formula1>
    </dataValidation>
  </dataValidations>
  <pageMargins left="0.7" right="0.7" top="0.75" bottom="0.75" header="0.3" footer="0.3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2026-04-20T11:02:50Z</dcterms:created>
  <dcterms:modified xmlns:dcterms="http://purl.org/dc/terms/" xmlns:xsi="http://www.w3.org/2001/XMLSchema-instance" xsi:type="dcterms:W3CDTF">2026-04-20T11:02:50Z</dcterms:modified>
</cp:coreProperties>
</file>