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BBDD proveedores\"/>
    </mc:Choice>
  </mc:AlternateContent>
  <xr:revisionPtr revIDLastSave="0" documentId="8_{9B83E204-5C97-475C-9263-DCA2031E13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icio" sheetId="1" r:id="rId1"/>
    <sheet name="Listas" sheetId="2" r:id="rId2"/>
    <sheet name="Base_Proveedores" sheetId="3" r:id="rId3"/>
    <sheet name="Comparador" sheetId="4" r:id="rId4"/>
  </sheets>
  <definedNames>
    <definedName name="CategoriasLista">Listas!$A$2:$A$11</definedName>
    <definedName name="CriticidadLista">Listas!$C$2:$C$4</definedName>
    <definedName name="DocsLista">Listas!$G$2:$G$4</definedName>
    <definedName name="EstadosLista">Listas!$B$2:$B$5</definedName>
    <definedName name="MonedasLista">Listas!$E$2:$E$3</definedName>
    <definedName name="PagosLista">Listas!$F$2:$F$6</definedName>
    <definedName name="PaisesLista">Listas!$D$2:$D$5</definedName>
    <definedName name="ProveedoresLista">Base_Proveedores!$B$5:$B$200</definedName>
    <definedName name="RatingsLista">Listas!$H$2:$H$6</definedName>
    <definedName name="ResponsablesLista">Listas!$I$2:$I$7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7" i="4" l="1"/>
  <c r="I17" i="4"/>
  <c r="G17" i="4"/>
  <c r="E17" i="4"/>
  <c r="K16" i="4"/>
  <c r="I16" i="4"/>
  <c r="G16" i="4"/>
  <c r="E16" i="4"/>
  <c r="K15" i="4"/>
  <c r="I15" i="4"/>
  <c r="G15" i="4"/>
  <c r="E15" i="4"/>
  <c r="K14" i="4"/>
  <c r="I14" i="4"/>
  <c r="G14" i="4"/>
  <c r="E14" i="4"/>
  <c r="K13" i="4"/>
  <c r="I13" i="4"/>
  <c r="G13" i="4"/>
  <c r="F19" i="4" s="1"/>
  <c r="F22" i="4" s="1"/>
  <c r="E13" i="4"/>
  <c r="K12" i="4"/>
  <c r="J19" i="4" s="1"/>
  <c r="J22" i="4" s="1"/>
  <c r="I12" i="4"/>
  <c r="H19" i="4" s="1"/>
  <c r="H22" i="4" s="1"/>
  <c r="G12" i="4"/>
  <c r="E12" i="4"/>
  <c r="D19" i="4" s="1"/>
  <c r="D22" i="4" s="1"/>
  <c r="J8" i="4"/>
  <c r="H8" i="4"/>
  <c r="F8" i="4"/>
  <c r="D8" i="4"/>
  <c r="J7" i="4"/>
  <c r="J9" i="4" s="1"/>
  <c r="H7" i="4"/>
  <c r="H9" i="4" s="1"/>
  <c r="F7" i="4"/>
  <c r="F9" i="4" s="1"/>
  <c r="D7" i="4"/>
  <c r="D9" i="4" s="1"/>
  <c r="G4" i="4"/>
  <c r="AC22" i="3"/>
  <c r="AA22" i="3"/>
  <c r="AB22" i="3" s="1"/>
  <c r="Z22" i="3"/>
  <c r="X22" i="3"/>
  <c r="A22" i="3"/>
  <c r="AC21" i="3"/>
  <c r="AA21" i="3"/>
  <c r="AB21" i="3" s="1"/>
  <c r="Z21" i="3"/>
  <c r="X21" i="3"/>
  <c r="A21" i="3"/>
  <c r="AC20" i="3"/>
  <c r="AA20" i="3"/>
  <c r="AB20" i="3" s="1"/>
  <c r="Z20" i="3"/>
  <c r="X20" i="3"/>
  <c r="A20" i="3"/>
  <c r="AC19" i="3"/>
  <c r="AA19" i="3"/>
  <c r="AB19" i="3" s="1"/>
  <c r="Z19" i="3"/>
  <c r="X19" i="3"/>
  <c r="A19" i="3"/>
  <c r="AC18" i="3"/>
  <c r="AA18" i="3"/>
  <c r="AB18" i="3" s="1"/>
  <c r="Z18" i="3"/>
  <c r="X18" i="3"/>
  <c r="A18" i="3"/>
  <c r="AC17" i="3"/>
  <c r="AA17" i="3"/>
  <c r="AB17" i="3" s="1"/>
  <c r="Z17" i="3"/>
  <c r="X17" i="3"/>
  <c r="A17" i="3"/>
  <c r="AC16" i="3"/>
  <c r="AA16" i="3"/>
  <c r="AB16" i="3" s="1"/>
  <c r="Z16" i="3"/>
  <c r="X16" i="3"/>
  <c r="A16" i="3"/>
  <c r="AC15" i="3"/>
  <c r="AB15" i="3"/>
  <c r="AA15" i="3"/>
  <c r="Z15" i="3"/>
  <c r="X15" i="3"/>
  <c r="A15" i="3"/>
  <c r="AC14" i="3"/>
  <c r="AA14" i="3"/>
  <c r="AB14" i="3" s="1"/>
  <c r="Z14" i="3"/>
  <c r="X14" i="3"/>
  <c r="A14" i="3"/>
  <c r="AC13" i="3"/>
  <c r="AA13" i="3"/>
  <c r="AB13" i="3" s="1"/>
  <c r="Z13" i="3"/>
  <c r="X13" i="3"/>
  <c r="A13" i="3"/>
  <c r="AC12" i="3"/>
  <c r="AA12" i="3"/>
  <c r="AB12" i="3" s="1"/>
  <c r="Z12" i="3"/>
  <c r="X12" i="3"/>
  <c r="A12" i="3"/>
  <c r="AC11" i="3"/>
  <c r="AB11" i="3"/>
  <c r="AA11" i="3"/>
  <c r="Z11" i="3"/>
  <c r="X11" i="3"/>
  <c r="A11" i="3"/>
  <c r="AC10" i="3"/>
  <c r="AA10" i="3"/>
  <c r="AB10" i="3" s="1"/>
  <c r="Z10" i="3"/>
  <c r="H15" i="1" s="1"/>
  <c r="X10" i="3"/>
  <c r="A10" i="3"/>
  <c r="AC9" i="3"/>
  <c r="AA9" i="3"/>
  <c r="AB9" i="3" s="1"/>
  <c r="Z9" i="3"/>
  <c r="X9" i="3"/>
  <c r="A9" i="3"/>
  <c r="AC8" i="3"/>
  <c r="AA8" i="3"/>
  <c r="AB8" i="3" s="1"/>
  <c r="Z8" i="3"/>
  <c r="X8" i="3"/>
  <c r="A8" i="3"/>
  <c r="AC7" i="3"/>
  <c r="AA7" i="3"/>
  <c r="AB7" i="3" s="1"/>
  <c r="Z7" i="3"/>
  <c r="X7" i="3"/>
  <c r="A7" i="3"/>
  <c r="AC6" i="3"/>
  <c r="AA6" i="3"/>
  <c r="H5" i="1" s="1"/>
  <c r="Z6" i="3"/>
  <c r="X6" i="3"/>
  <c r="A6" i="3"/>
  <c r="AC5" i="3"/>
  <c r="AB5" i="3"/>
  <c r="AA5" i="3"/>
  <c r="Z5" i="3"/>
  <c r="X5" i="3"/>
  <c r="A5" i="3"/>
  <c r="B19" i="1"/>
  <c r="B18" i="1"/>
  <c r="B17" i="1"/>
  <c r="B16" i="1"/>
  <c r="E15" i="1"/>
  <c r="B15" i="1"/>
  <c r="E14" i="1"/>
  <c r="B14" i="1"/>
  <c r="E13" i="1"/>
  <c r="B13" i="1"/>
  <c r="E12" i="1"/>
  <c r="B12" i="1"/>
  <c r="F8" i="1"/>
  <c r="B8" i="1"/>
  <c r="A8" i="1"/>
  <c r="F5" i="1"/>
  <c r="D5" i="1"/>
  <c r="B5" i="1"/>
  <c r="A5" i="1"/>
  <c r="H13" i="1" l="1"/>
  <c r="H12" i="1"/>
  <c r="H14" i="1"/>
  <c r="D23" i="4"/>
  <c r="D24" i="4" s="1"/>
  <c r="H23" i="4"/>
  <c r="H24" i="4" s="1"/>
  <c r="F23" i="4"/>
  <c r="F24" i="4" s="1"/>
  <c r="F29" i="4" s="1"/>
  <c r="F30" i="4" s="1"/>
  <c r="J23" i="4"/>
  <c r="J24" i="4"/>
  <c r="AB6" i="3"/>
  <c r="D8" i="1"/>
  <c r="H16" i="1"/>
  <c r="H8" i="1"/>
  <c r="H29" i="4" l="1"/>
  <c r="H30" i="4" s="1"/>
  <c r="D29" i="4"/>
  <c r="D30" i="4" s="1"/>
  <c r="J29" i="4"/>
  <c r="J30" i="4" s="1"/>
  <c r="C31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N5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5" authorId="0" shapeId="0" xr:uid="{00000000-0006-0000-0200-000002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6" authorId="0" shapeId="0" xr:uid="{00000000-0006-0000-0200-000003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6" authorId="0" shapeId="0" xr:uid="{00000000-0006-0000-0200-000004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7" authorId="0" shapeId="0" xr:uid="{00000000-0006-0000-0200-000005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7" authorId="0" shapeId="0" xr:uid="{00000000-0006-0000-0200-000006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8" authorId="0" shapeId="0" xr:uid="{00000000-0006-0000-0200-000007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8" authorId="0" shapeId="0" xr:uid="{00000000-0006-0000-0200-000008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9" authorId="0" shapeId="0" xr:uid="{00000000-0006-0000-0200-000009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9" authorId="0" shapeId="0" xr:uid="{00000000-0006-0000-0200-00000A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10" authorId="0" shapeId="0" xr:uid="{00000000-0006-0000-0200-00000B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10" authorId="0" shapeId="0" xr:uid="{00000000-0006-0000-0200-00000C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11" authorId="0" shapeId="0" xr:uid="{00000000-0006-0000-0200-00000D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11" authorId="0" shapeId="0" xr:uid="{00000000-0006-0000-0200-00000E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12" authorId="0" shapeId="0" xr:uid="{00000000-0006-0000-0200-00000F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12" authorId="0" shapeId="0" xr:uid="{00000000-0006-0000-0200-000010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13" authorId="0" shapeId="0" xr:uid="{00000000-0006-0000-0200-000011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13" authorId="0" shapeId="0" xr:uid="{00000000-0006-0000-0200-000012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14" authorId="0" shapeId="0" xr:uid="{00000000-0006-0000-0200-000013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14" authorId="0" shapeId="0" xr:uid="{00000000-0006-0000-0200-000014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15" authorId="0" shapeId="0" xr:uid="{00000000-0006-0000-0200-000015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15" authorId="0" shapeId="0" xr:uid="{00000000-0006-0000-0200-000016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16" authorId="0" shapeId="0" xr:uid="{00000000-0006-0000-0200-000017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16" authorId="0" shapeId="0" xr:uid="{00000000-0006-0000-0200-000018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17" authorId="0" shapeId="0" xr:uid="{00000000-0006-0000-0200-000019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17" authorId="0" shapeId="0" xr:uid="{00000000-0006-0000-0200-00001A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18" authorId="0" shapeId="0" xr:uid="{00000000-0006-0000-0200-00001B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18" authorId="0" shapeId="0" xr:uid="{00000000-0006-0000-0200-00001C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19" authorId="0" shapeId="0" xr:uid="{00000000-0006-0000-0200-00001D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19" authorId="0" shapeId="0" xr:uid="{00000000-0006-0000-0200-00001E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20" authorId="0" shapeId="0" xr:uid="{00000000-0006-0000-0200-00001F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20" authorId="0" shapeId="0" xr:uid="{00000000-0006-0000-0200-000020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21" authorId="0" shapeId="0" xr:uid="{00000000-0006-0000-0200-000021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21" authorId="0" shapeId="0" xr:uid="{00000000-0006-0000-0200-000022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  <comment ref="N22" authorId="0" shapeId="0" xr:uid="{00000000-0006-0000-0200-000023000000}">
      <text>
        <r>
          <rPr>
            <sz val="11"/>
            <color theme="1"/>
            <rFont val="Calibri"/>
            <family val="2"/>
            <scheme val="minor"/>
          </rPr>
          <t>Gasto anual estimado en la moneda del proveedor.</t>
        </r>
      </text>
    </comment>
    <comment ref="AA22" authorId="0" shapeId="0" xr:uid="{00000000-0006-0000-0200-000024000000}">
      <text>
        <r>
          <rPr>
            <sz val="11"/>
            <color theme="1"/>
            <rFont val="Calibri"/>
            <family val="2"/>
            <scheme val="minor"/>
          </rPr>
          <t>Score ponderado: calidad 35%, servicio 25%, precio 25%, riesgo inverso 15%.</t>
        </r>
      </text>
    </comment>
  </commentList>
</comments>
</file>

<file path=xl/sharedStrings.xml><?xml version="1.0" encoding="utf-8"?>
<sst xmlns="http://schemas.openxmlformats.org/spreadsheetml/2006/main" count="434" uniqueCount="246">
  <si>
    <t>Resumen ejecutivo, alertas y concentración de gasto.</t>
  </si>
  <si>
    <t>Total proveedores</t>
  </si>
  <si>
    <t>Activos</t>
  </si>
  <si>
    <t>Homologación</t>
  </si>
  <si>
    <t>Bloqueados</t>
  </si>
  <si>
    <t>Score medio</t>
  </si>
  <si>
    <t>Gasto anual</t>
  </si>
  <si>
    <t>Docs vencidas</t>
  </si>
  <si>
    <t>Renuevan ≤30d</t>
  </si>
  <si>
    <t>Riesgo alto</t>
  </si>
  <si>
    <t>Contratos vencidos</t>
  </si>
  <si>
    <t>Gasto por categoría</t>
  </si>
  <si>
    <t>Estado</t>
  </si>
  <si>
    <t>Renovaciones</t>
  </si>
  <si>
    <t>Marketing</t>
  </si>
  <si>
    <t>Activo</t>
  </si>
  <si>
    <t>0-30 días</t>
  </si>
  <si>
    <t>IT</t>
  </si>
  <si>
    <t>Alternativo</t>
  </si>
  <si>
    <t>31-60 días</t>
  </si>
  <si>
    <t>Facility</t>
  </si>
  <si>
    <t>61-90 días</t>
  </si>
  <si>
    <t>Oficina</t>
  </si>
  <si>
    <t>Bloqueado</t>
  </si>
  <si>
    <t>&gt;90 días</t>
  </si>
  <si>
    <t>Hospitality</t>
  </si>
  <si>
    <t>Vencidos</t>
  </si>
  <si>
    <t>Eventos</t>
  </si>
  <si>
    <t>Logística</t>
  </si>
  <si>
    <t>Finanzas</t>
  </si>
  <si>
    <t>Categorías</t>
  </si>
  <si>
    <t>Estados</t>
  </si>
  <si>
    <t>Criticidad</t>
  </si>
  <si>
    <t>Países</t>
  </si>
  <si>
    <t>Monedas</t>
  </si>
  <si>
    <t>Pagos</t>
  </si>
  <si>
    <t>Documentación</t>
  </si>
  <si>
    <t>Ratings</t>
  </si>
  <si>
    <t>Responsables</t>
  </si>
  <si>
    <t>Parámetro</t>
  </si>
  <si>
    <t>Valor</t>
  </si>
  <si>
    <t>Alta</t>
  </si>
  <si>
    <t>España</t>
  </si>
  <si>
    <t>EUR</t>
  </si>
  <si>
    <t>Contado</t>
  </si>
  <si>
    <t>Completa</t>
  </si>
  <si>
    <t>Operaciones</t>
  </si>
  <si>
    <t>Peso precio</t>
  </si>
  <si>
    <t>Media</t>
  </si>
  <si>
    <t>Portugal</t>
  </si>
  <si>
    <t>USD</t>
  </si>
  <si>
    <t>15 días</t>
  </si>
  <si>
    <t>Parcial</t>
  </si>
  <si>
    <t>Compras</t>
  </si>
  <si>
    <t>Peso calidad</t>
  </si>
  <si>
    <t>Baja</t>
  </si>
  <si>
    <t>Francia</t>
  </si>
  <si>
    <t>30 días</t>
  </si>
  <si>
    <t>Vencida</t>
  </si>
  <si>
    <t>Peso servicio</t>
  </si>
  <si>
    <t>Remoto UE</t>
  </si>
  <si>
    <t>45 días</t>
  </si>
  <si>
    <t>Peso plazo</t>
  </si>
  <si>
    <t>60 días</t>
  </si>
  <si>
    <t>Horizonte revisión (días)</t>
  </si>
  <si>
    <t>IVA comparador</t>
  </si>
  <si>
    <t>Ambiente</t>
  </si>
  <si>
    <t>Mobiliario</t>
  </si>
  <si>
    <t>BASE DE DATOS DE PROVEEDORES</t>
  </si>
  <si>
    <t>Plantilla operativa con ejemplo ficticio. Escala 1-5: calidad/servicio/precio (5 = mejor), riesgo (5 = mayor riesgo).</t>
  </si>
  <si>
    <t>ID</t>
  </si>
  <si>
    <t>Proveedor</t>
  </si>
  <si>
    <t>Categoría</t>
  </si>
  <si>
    <t>Tipo suministro</t>
  </si>
  <si>
    <t>Responsable</t>
  </si>
  <si>
    <t>Contacto</t>
  </si>
  <si>
    <t>Email</t>
  </si>
  <si>
    <t>Teléfono</t>
  </si>
  <si>
    <t>Ciudad</t>
  </si>
  <si>
    <t>País</t>
  </si>
  <si>
    <t>Moneda</t>
  </si>
  <si>
    <t>Pedido mínimo</t>
  </si>
  <si>
    <t>Cond. pago</t>
  </si>
  <si>
    <t>Lead time (días)</t>
  </si>
  <si>
    <t>Calidad</t>
  </si>
  <si>
    <t>Servicio</t>
  </si>
  <si>
    <t>Precio</t>
  </si>
  <si>
    <t>Riesgo</t>
  </si>
  <si>
    <t>Última revisión</t>
  </si>
  <si>
    <t>Próxima revisión</t>
  </si>
  <si>
    <t>Contrato hasta</t>
  </si>
  <si>
    <t>Días renovación</t>
  </si>
  <si>
    <t>Score total</t>
  </si>
  <si>
    <t>Nivel</t>
  </si>
  <si>
    <t>Acción sugerida</t>
  </si>
  <si>
    <t>Observaciones</t>
  </si>
  <si>
    <t>NubeAula Systems</t>
  </si>
  <si>
    <t>LMS y campus virtual</t>
  </si>
  <si>
    <t>Marta Soler</t>
  </si>
  <si>
    <t>nubeaula@proveedores.example.com</t>
  </si>
  <si>
    <t>+34 910 100 101</t>
  </si>
  <si>
    <t>Madrid</t>
  </si>
  <si>
    <t>API estable y soporte 24/7</t>
  </si>
  <si>
    <t>Brisa Limpia Integral</t>
  </si>
  <si>
    <t>Limpieza técnica</t>
  </si>
  <si>
    <t>Hugo Martín</t>
  </si>
  <si>
    <t>brisa.limpia@proveedores.example.com</t>
  </si>
  <si>
    <t>+34 910 100 102</t>
  </si>
  <si>
    <t>Getafe</t>
  </si>
  <si>
    <t>Servicio diario en dos sedes</t>
  </si>
  <si>
    <t>Café Faro Tostadores</t>
  </si>
  <si>
    <t>Café y consumibles</t>
  </si>
  <si>
    <t>Nora Campos</t>
  </si>
  <si>
    <t>cafe.faro@proveedores.example.com</t>
  </si>
  <si>
    <t>+34 910 100 103</t>
  </si>
  <si>
    <t>Móstoles</t>
  </si>
  <si>
    <t>Entrega semanal con lote sostenible</t>
  </si>
  <si>
    <t>Pixel Sign Studio</t>
  </si>
  <si>
    <t>Señalética interior</t>
  </si>
  <si>
    <t>Irene Vidal</t>
  </si>
  <si>
    <t>pixel.sign@proveedores.example.com</t>
  </si>
  <si>
    <t>+34 910 100 104</t>
  </si>
  <si>
    <t>Buena creatividad; plazos variables</t>
  </si>
  <si>
    <t>Órbita Mobiliario</t>
  </si>
  <si>
    <t>Mobiliario ergonómico</t>
  </si>
  <si>
    <t>Samuel Ríos</t>
  </si>
  <si>
    <t>orbita.mob@proveedores.example.com</t>
  </si>
  <si>
    <t>+34 910 100 105</t>
  </si>
  <si>
    <t>Toledo</t>
  </si>
  <si>
    <t>Incluye montaje en sede</t>
  </si>
  <si>
    <t>LinkVoz Fibra</t>
  </si>
  <si>
    <t>Internet y telefonía</t>
  </si>
  <si>
    <t>Paula León</t>
  </si>
  <si>
    <t>linkvoz@proveedores.example.com</t>
  </si>
  <si>
    <t>+34 910 100 106</t>
  </si>
  <si>
    <t>SLA 99,9%</t>
  </si>
  <si>
    <t>Frío Norte Mantenimiento</t>
  </si>
  <si>
    <t>Climatización</t>
  </si>
  <si>
    <t>Sergio Monreal</t>
  </si>
  <si>
    <t>frionorte@proveedores.example.com</t>
  </si>
  <si>
    <t>+34 910 100 107</t>
  </si>
  <si>
    <t>Alcalá de Henares</t>
  </si>
  <si>
    <t>Pendiente certificado PRL actualizado</t>
  </si>
  <si>
    <t>Ruta Cero Mensajería</t>
  </si>
  <si>
    <t>Mensajería urbana</t>
  </si>
  <si>
    <t>Elena Pardo</t>
  </si>
  <si>
    <t>rutacero@proveedores.example.com</t>
  </si>
  <si>
    <t>+34 910 100 108</t>
  </si>
  <si>
    <t>Cobertura misma mañana</t>
  </si>
  <si>
    <t>Pórtico Seguros Corporativos</t>
  </si>
  <si>
    <t>Seguro multirriesgo</t>
  </si>
  <si>
    <t>Álvaro Serra</t>
  </si>
  <si>
    <t>portico.seguros@proveedores.example.com</t>
  </si>
  <si>
    <t>+34 910 100 109</t>
  </si>
  <si>
    <t>Renovación anual; revisar franquicias</t>
  </si>
  <si>
    <t>EcoPack Papelería</t>
  </si>
  <si>
    <t>Papelería y packaging</t>
  </si>
  <si>
    <t>Lucía Navas</t>
  </si>
  <si>
    <t>ecopack@proveedores.example.com</t>
  </si>
  <si>
    <t>+34 910 100 110</t>
  </si>
  <si>
    <t>Leganés</t>
  </si>
  <si>
    <t>Material reciclado certificado</t>
  </si>
  <si>
    <t>Auralive Producción</t>
  </si>
  <si>
    <t>Audiovisual híbrido</t>
  </si>
  <si>
    <t>Pablo Freire</t>
  </si>
  <si>
    <t>auralive@proveedores.example.com</t>
  </si>
  <si>
    <t>+34 910 100 111</t>
  </si>
  <si>
    <t>Barcelona</t>
  </si>
  <si>
    <t>Muy fuerte en streaming</t>
  </si>
  <si>
    <t>Voltio Seguro Ingeniería</t>
  </si>
  <si>
    <t>Mantenimiento eléctrico</t>
  </si>
  <si>
    <t>Clara Mena</t>
  </si>
  <si>
    <t>voltio.seguro@proveedores.example.com</t>
  </si>
  <si>
    <t>+34 910 100 112</t>
  </si>
  <si>
    <t>Incidencia abierta por tiempos de respuesta</t>
  </si>
  <si>
    <t>Cuadro Verde Plant Care</t>
  </si>
  <si>
    <t>Plantas y mantenimiento</t>
  </si>
  <si>
    <t>Diego Saura</t>
  </si>
  <si>
    <t>cuadroverde@proveedores.example.com</t>
  </si>
  <si>
    <t>+34 910 100 113</t>
  </si>
  <si>
    <t>Visita quincenal</t>
  </si>
  <si>
    <t>DataShelter Backup Cloud</t>
  </si>
  <si>
    <t>Backup y continuidad</t>
  </si>
  <si>
    <t>Rebeca Gil</t>
  </si>
  <si>
    <t>datashelter@proveedores.example.com</t>
  </si>
  <si>
    <t>+34 910 100 114</t>
  </si>
  <si>
    <t>Remoto</t>
  </si>
  <si>
    <t>Replica en dos regiones</t>
  </si>
  <si>
    <t>Nexo Print Lab</t>
  </si>
  <si>
    <t>Merchandising corporativo</t>
  </si>
  <si>
    <t>Óscar Vidal</t>
  </si>
  <si>
    <t>nexoprint@proveedores.example.com</t>
  </si>
  <si>
    <t>+34 910 100 115</t>
  </si>
  <si>
    <t>Valencia</t>
  </si>
  <si>
    <t>Muy fiable para tiradas medianas</t>
  </si>
  <si>
    <t>Modo Norte Regalos</t>
  </si>
  <si>
    <t>Welcome kits</t>
  </si>
  <si>
    <t>Carla Pujol</t>
  </si>
  <si>
    <t>modonorte@proveedores.example.com</t>
  </si>
  <si>
    <t>+34 910 100 116</t>
  </si>
  <si>
    <t>Bilbao</t>
  </si>
  <si>
    <t>Pendiente validación muestras</t>
  </si>
  <si>
    <t>Manos Expertas Facility</t>
  </si>
  <si>
    <t>Reparaciones menores</t>
  </si>
  <si>
    <t>Tomás Barea</t>
  </si>
  <si>
    <t>manosexpertas@proveedores.example.com</t>
  </si>
  <si>
    <t>+34 910 100 117</t>
  </si>
  <si>
    <t>Se mantiene como histórico</t>
  </si>
  <si>
    <t>Tritón Agua y Filtrado</t>
  </si>
  <si>
    <t>Agua filtrada y mantenimiento</t>
  </si>
  <si>
    <t>Aina Puig</t>
  </si>
  <si>
    <t>tritonagua@proveedores.example.com</t>
  </si>
  <si>
    <t>+34 910 100 118</t>
  </si>
  <si>
    <t>Zaragoza</t>
  </si>
  <si>
    <t>Contrato anual con mantenimiento</t>
  </si>
  <si>
    <t>COMPARADOR RÁPIDO DE PROPUESTAS</t>
  </si>
  <si>
    <t>Elige proveedores de la base, introduce precios unitarios y obtén una recomendación ponderada.</t>
  </si>
  <si>
    <t>Proyecto / compra</t>
  </si>
  <si>
    <t>Kit bienvenida nueva sede</t>
  </si>
  <si>
    <t>IVA</t>
  </si>
  <si>
    <t>Proveedor 1</t>
  </si>
  <si>
    <t>Proveedor 2</t>
  </si>
  <si>
    <t>Proveedor 3</t>
  </si>
  <si>
    <t>Proveedor 4</t>
  </si>
  <si>
    <t>Lead time base</t>
  </si>
  <si>
    <t>Score plazo</t>
  </si>
  <si>
    <t>Ítem</t>
  </si>
  <si>
    <t>Cantidad</t>
  </si>
  <si>
    <t>Precio unit.</t>
  </si>
  <si>
    <t>Total</t>
  </si>
  <si>
    <t>Libreta A5 reciclada</t>
  </si>
  <si>
    <t>Taza térmica</t>
  </si>
  <si>
    <t>Tarjeta NFC</t>
  </si>
  <si>
    <t>Bolsa tipo tote</t>
  </si>
  <si>
    <t>Pegatinas troqueladas</t>
  </si>
  <si>
    <t>Caja kraft</t>
  </si>
  <si>
    <t>Subtotal</t>
  </si>
  <si>
    <t>Portes</t>
  </si>
  <si>
    <t>Descuento</t>
  </si>
  <si>
    <t>Base imponible</t>
  </si>
  <si>
    <t>Total final</t>
  </si>
  <si>
    <t>Calidad muestra</t>
  </si>
  <si>
    <t>Servicio / respuesta</t>
  </si>
  <si>
    <t>Score precio</t>
  </si>
  <si>
    <t>Recomendación</t>
  </si>
  <si>
    <t>Pesos: precio 40%, calidad 25%, servicio 20%, plazo 15%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</si>
</sst>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C0A]"/>
  </numFmts>
  <fonts count="15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b/>
      <sz val="16"/>
      <color rgb="FFFFFFFF"/>
      <name val="Calibri"/>
    </font>
    <font>
      <i/>
      <sz val="11"/>
      <color rgb="FF404040"/>
      <name val="Calibri"/>
    </font>
    <font>
      <b/>
      <sz val="12"/>
      <color rgb="FFFFFFFF"/>
      <name val="Calibri"/>
    </font>
    <font>
      <sz val="11"/>
      <color rgb="FF000000"/>
      <name val="Calibri"/>
    </font>
    <font>
      <sz val="11"/>
      <color rgb="FF0000FF"/>
      <name val="Calibri"/>
    </font>
    <font>
      <b/>
      <sz val="11"/>
      <color rgb="FF404040"/>
      <name val="Calibri"/>
    </font>
    <font>
      <b/>
      <sz val="18"/>
      <color rgb="FF1F4E78"/>
      <name val="Calibri"/>
    </font>
    <font>
      <b/>
      <sz val="11"/>
      <color rgb="FFFFFFFF"/>
      <name val="Calibri"/>
    </font>
    <font>
      <b/>
      <sz val="11"/>
      <color rgb="FF1F4E78"/>
      <name val="Calibri"/>
    </font>
    <font>
      <i/>
      <sz val="11"/>
      <color rgb="FF666666"/>
      <name val="Calibri"/>
    </font>
    <font>
      <sz val="11"/>
      <color theme="1"/>
      <name val="Calibri"/>
      <family val="2"/>
      <scheme val="minor"/>
    </font>
    <font>
      <b/>
      <sz val="15"/>
      <color rgb="FF1F4E78"/>
      <name val="Calibri"/>
      <family val="2"/>
    </font>
    <font>
      <b/>
      <sz val="16"/>
      <color rgb="FFFFFFFF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EAF3FB"/>
      </patternFill>
    </fill>
    <fill>
      <patternFill patternType="solid">
        <fgColor rgb="FFF8FBFF"/>
      </patternFill>
    </fill>
    <fill>
      <patternFill patternType="solid">
        <fgColor rgb="FFE2F0D9"/>
      </patternFill>
    </fill>
    <fill>
      <patternFill patternType="solid">
        <fgColor rgb="FFFFF2CC"/>
      </patternFill>
    </fill>
    <fill>
      <patternFill patternType="solid">
        <fgColor rgb="FFFCE4D6"/>
      </patternFill>
    </fill>
    <fill>
      <patternFill patternType="solid">
        <fgColor rgb="FFEDE7F6"/>
      </patternFill>
    </fill>
    <fill>
      <patternFill patternType="solid">
        <fgColor rgb="FFD9EAF7"/>
      </patternFill>
    </fill>
    <fill>
      <patternFill patternType="solid">
        <fgColor rgb="FFF4CCCC"/>
      </patternFill>
    </fill>
  </fills>
  <borders count="5">
    <border>
      <left/>
      <right/>
      <top/>
      <bottom/>
      <diagonal/>
    </border>
    <border>
      <left/>
      <right/>
      <top style="thin">
        <color rgb="FFA6A6A6"/>
      </top>
      <bottom style="thin">
        <color rgb="FFA6A6A6"/>
      </bottom>
      <diagonal/>
    </border>
    <border>
      <left/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</borders>
  <cellStyleXfs count="2">
    <xf numFmtId="0" fontId="0" fillId="0" borderId="0"/>
    <xf numFmtId="0" fontId="12" fillId="0" borderId="0"/>
  </cellStyleXfs>
  <cellXfs count="57">
    <xf numFmtId="0" fontId="0" fillId="0" borderId="0" xfId="0"/>
    <xf numFmtId="0" fontId="7" fillId="4" borderId="0" xfId="1" applyFont="1" applyFill="1" applyAlignment="1">
      <alignment horizontal="center"/>
    </xf>
    <xf numFmtId="0" fontId="7" fillId="5" borderId="0" xfId="1" applyFont="1" applyFill="1" applyAlignment="1">
      <alignment horizontal="center"/>
    </xf>
    <xf numFmtId="0" fontId="7" fillId="6" borderId="0" xfId="1" applyFont="1" applyFill="1" applyAlignment="1">
      <alignment horizontal="center"/>
    </xf>
    <xf numFmtId="0" fontId="7" fillId="7" borderId="0" xfId="1" applyFont="1" applyFill="1" applyAlignment="1">
      <alignment horizontal="center"/>
    </xf>
    <xf numFmtId="0" fontId="7" fillId="8" borderId="0" xfId="1" applyFont="1" applyFill="1" applyAlignment="1">
      <alignment horizontal="center"/>
    </xf>
    <xf numFmtId="0" fontId="8" fillId="4" borderId="0" xfId="1" applyFont="1" applyFill="1" applyAlignment="1">
      <alignment horizontal="center"/>
    </xf>
    <xf numFmtId="0" fontId="8" fillId="5" borderId="0" xfId="1" applyFont="1" applyFill="1" applyAlignment="1">
      <alignment horizontal="center"/>
    </xf>
    <xf numFmtId="0" fontId="8" fillId="6" borderId="0" xfId="1" applyFont="1" applyFill="1" applyAlignment="1">
      <alignment horizontal="center"/>
    </xf>
    <xf numFmtId="0" fontId="8" fillId="7" borderId="0" xfId="1" applyFont="1" applyFill="1" applyAlignment="1">
      <alignment horizontal="center"/>
    </xf>
    <xf numFmtId="0" fontId="8" fillId="8" borderId="0" xfId="1" applyFont="1" applyFill="1" applyAlignment="1">
      <alignment horizontal="center"/>
    </xf>
    <xf numFmtId="0" fontId="7" fillId="9" borderId="0" xfId="1" applyFont="1" applyFill="1" applyAlignment="1">
      <alignment horizontal="center"/>
    </xf>
    <xf numFmtId="0" fontId="7" fillId="10" borderId="0" xfId="1" applyFont="1" applyFill="1" applyAlignment="1">
      <alignment horizontal="center"/>
    </xf>
    <xf numFmtId="0" fontId="8" fillId="10" borderId="0" xfId="1" applyFont="1" applyFill="1" applyAlignment="1">
      <alignment horizontal="center"/>
    </xf>
    <xf numFmtId="0" fontId="0" fillId="0" borderId="2" xfId="1" applyFont="1" applyBorder="1" applyAlignment="1">
      <alignment horizontal="left"/>
    </xf>
    <xf numFmtId="164" fontId="0" fillId="0" borderId="2" xfId="1" applyNumberFormat="1" applyFont="1" applyBorder="1" applyAlignment="1">
      <alignment horizontal="right"/>
    </xf>
    <xf numFmtId="0" fontId="0" fillId="0" borderId="2" xfId="1" applyFont="1" applyBorder="1" applyAlignment="1">
      <alignment horizontal="right"/>
    </xf>
    <xf numFmtId="0" fontId="1" fillId="0" borderId="0" xfId="1" applyFont="1"/>
    <xf numFmtId="9" fontId="0" fillId="0" borderId="0" xfId="1" applyNumberFormat="1" applyFont="1"/>
    <xf numFmtId="0" fontId="4" fillId="2" borderId="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/>
    </xf>
    <xf numFmtId="0" fontId="6" fillId="0" borderId="0" xfId="1" applyFont="1" applyAlignment="1">
      <alignment vertical="top" wrapText="1"/>
    </xf>
    <xf numFmtId="164" fontId="6" fillId="0" borderId="0" xfId="1" applyNumberFormat="1" applyFont="1" applyAlignment="1">
      <alignment vertical="top" wrapText="1"/>
    </xf>
    <xf numFmtId="3" fontId="6" fillId="0" borderId="0" xfId="1" applyNumberFormat="1" applyFont="1" applyAlignment="1">
      <alignment vertical="top" wrapText="1"/>
    </xf>
    <xf numFmtId="14" fontId="6" fillId="0" borderId="0" xfId="1" applyNumberFormat="1" applyFont="1" applyAlignment="1">
      <alignment vertical="top" wrapText="1"/>
    </xf>
    <xf numFmtId="14" fontId="5" fillId="0" borderId="0" xfId="1" applyNumberFormat="1" applyFont="1" applyAlignment="1">
      <alignment vertical="top" wrapText="1"/>
    </xf>
    <xf numFmtId="3" fontId="5" fillId="0" borderId="0" xfId="1" applyNumberFormat="1" applyFont="1" applyAlignment="1">
      <alignment horizontal="center"/>
    </xf>
    <xf numFmtId="0" fontId="5" fillId="0" borderId="0" xfId="1" applyFont="1" applyAlignment="1">
      <alignment vertical="top" wrapText="1"/>
    </xf>
    <xf numFmtId="0" fontId="1" fillId="0" borderId="0" xfId="1" applyFont="1" applyAlignment="1">
      <alignment vertical="center" wrapText="1"/>
    </xf>
    <xf numFmtId="0" fontId="6" fillId="6" borderId="0" xfId="1" applyFont="1" applyFill="1" applyAlignment="1">
      <alignment vertical="center" wrapText="1"/>
    </xf>
    <xf numFmtId="0" fontId="0" fillId="0" borderId="0" xfId="1" applyFont="1" applyAlignment="1">
      <alignment vertical="center" wrapText="1"/>
    </xf>
    <xf numFmtId="9" fontId="6" fillId="6" borderId="0" xfId="1" applyNumberFormat="1" applyFont="1" applyFill="1" applyAlignment="1">
      <alignment vertical="center" wrapText="1"/>
    </xf>
    <xf numFmtId="0" fontId="4" fillId="2" borderId="2" xfId="1" applyFont="1" applyFill="1" applyBorder="1" applyAlignment="1">
      <alignment vertical="center" wrapText="1"/>
    </xf>
    <xf numFmtId="0" fontId="0" fillId="0" borderId="2" xfId="1" applyFont="1" applyBorder="1" applyAlignment="1">
      <alignment vertical="center" wrapText="1"/>
    </xf>
    <xf numFmtId="0" fontId="6" fillId="6" borderId="2" xfId="1" applyFont="1" applyFill="1" applyBorder="1" applyAlignment="1">
      <alignment vertical="center" wrapText="1"/>
    </xf>
    <xf numFmtId="164" fontId="6" fillId="6" borderId="2" xfId="1" applyNumberFormat="1" applyFont="1" applyFill="1" applyBorder="1" applyAlignment="1">
      <alignment vertical="center" wrapText="1"/>
    </xf>
    <xf numFmtId="164" fontId="0" fillId="0" borderId="2" xfId="1" applyNumberFormat="1" applyFont="1" applyBorder="1" applyAlignment="1">
      <alignment vertical="center" wrapText="1"/>
    </xf>
    <xf numFmtId="0" fontId="1" fillId="0" borderId="2" xfId="1" applyFont="1" applyBorder="1" applyAlignment="1">
      <alignment vertical="center" wrapText="1"/>
    </xf>
    <xf numFmtId="0" fontId="9" fillId="2" borderId="0" xfId="1" applyFont="1" applyFill="1" applyAlignment="1">
      <alignment horizontal="center"/>
    </xf>
    <xf numFmtId="0" fontId="0" fillId="0" borderId="0" xfId="0"/>
    <xf numFmtId="0" fontId="3" fillId="3" borderId="0" xfId="1" applyFont="1" applyFill="1"/>
    <xf numFmtId="0" fontId="2" fillId="2" borderId="0" xfId="1" applyFont="1" applyFill="1" applyAlignment="1">
      <alignment horizontal="center"/>
    </xf>
    <xf numFmtId="0" fontId="3" fillId="3" borderId="0" xfId="1" applyFont="1" applyFill="1" applyAlignment="1">
      <alignment horizontal="left"/>
    </xf>
    <xf numFmtId="164" fontId="6" fillId="6" borderId="4" xfId="1" applyNumberFormat="1" applyFont="1" applyFill="1" applyBorder="1" applyAlignment="1">
      <alignment vertical="center" wrapText="1"/>
    </xf>
    <xf numFmtId="0" fontId="0" fillId="0" borderId="3" xfId="1" applyFont="1" applyBorder="1"/>
    <xf numFmtId="0" fontId="0" fillId="4" borderId="0" xfId="1" applyFont="1" applyFill="1" applyAlignment="1">
      <alignment vertical="center" wrapText="1"/>
    </xf>
    <xf numFmtId="0" fontId="9" fillId="2" borderId="0" xfId="1" applyFont="1" applyFill="1" applyAlignment="1">
      <alignment vertical="center" wrapText="1"/>
    </xf>
    <xf numFmtId="164" fontId="1" fillId="0" borderId="4" xfId="1" applyNumberFormat="1" applyFont="1" applyBorder="1" applyAlignment="1">
      <alignment vertical="center" wrapText="1"/>
    </xf>
    <xf numFmtId="0" fontId="10" fillId="5" borderId="0" xfId="1" applyFont="1" applyFill="1" applyAlignment="1">
      <alignment vertical="center" wrapText="1"/>
    </xf>
    <xf numFmtId="0" fontId="6" fillId="6" borderId="0" xfId="1" applyFont="1" applyFill="1" applyAlignment="1">
      <alignment vertical="center" wrapText="1"/>
    </xf>
    <xf numFmtId="0" fontId="1" fillId="4" borderId="0" xfId="1" applyFont="1" applyFill="1" applyAlignment="1">
      <alignment vertical="center" wrapText="1"/>
    </xf>
    <xf numFmtId="164" fontId="0" fillId="0" borderId="4" xfId="1" applyNumberFormat="1" applyFont="1" applyBorder="1" applyAlignment="1">
      <alignment vertical="center" wrapText="1"/>
    </xf>
    <xf numFmtId="0" fontId="11" fillId="0" borderId="0" xfId="1" applyFont="1" applyAlignment="1">
      <alignment vertical="center" wrapText="1"/>
    </xf>
    <xf numFmtId="164" fontId="13" fillId="9" borderId="0" xfId="1" applyNumberFormat="1" applyFont="1" applyFill="1" applyAlignment="1">
      <alignment horizontal="center"/>
    </xf>
    <xf numFmtId="0" fontId="2" fillId="2" borderId="0" xfId="1" applyFont="1" applyFill="1" applyAlignment="1">
      <alignment horizontal="left"/>
    </xf>
    <xf numFmtId="0" fontId="0" fillId="0" borderId="0" xfId="0" applyAlignment="1">
      <alignment horizontal="left"/>
    </xf>
    <xf numFmtId="0" fontId="14" fillId="2" borderId="0" xfId="1" applyFont="1" applyFill="1" applyAlignment="1">
      <alignment horizontal="center"/>
    </xf>
  </cellXfs>
  <cellStyles count="2">
    <cellStyle name="Normal" xfId="1" xr:uid="{00000000-0005-0000-0000-000000000000}"/>
    <cellStyle name="Standard" xfId="0" builtinId="0"/>
  </cellStyles>
  <dxfs count="8">
    <dxf>
      <fill>
        <patternFill>
          <bgColor rgb="FFFFF2CC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Gasto anual por categoría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cat>
            <c:strRef>
              <c:f>Inicio!$A$12:$A$19</c:f>
              <c:strCache>
                <c:ptCount val="8"/>
                <c:pt idx="0">
                  <c:v>Marketing</c:v>
                </c:pt>
                <c:pt idx="1">
                  <c:v>IT</c:v>
                </c:pt>
                <c:pt idx="2">
                  <c:v>Facility</c:v>
                </c:pt>
                <c:pt idx="3">
                  <c:v>Oficina</c:v>
                </c:pt>
                <c:pt idx="4">
                  <c:v>Hospitality</c:v>
                </c:pt>
                <c:pt idx="5">
                  <c:v>Eventos</c:v>
                </c:pt>
                <c:pt idx="6">
                  <c:v>Logística</c:v>
                </c:pt>
                <c:pt idx="7">
                  <c:v>Finanzas</c:v>
                </c:pt>
              </c:strCache>
            </c:strRef>
          </c:cat>
          <c:val>
            <c:numRef>
              <c:f>Inicio!$B$12:$B$19</c:f>
              <c:numCache>
                <c:formatCode>#,##0.00\ [$€-C0A]</c:formatCode>
                <c:ptCount val="8"/>
                <c:pt idx="0">
                  <c:v>22150</c:v>
                </c:pt>
                <c:pt idx="1">
                  <c:v>40080</c:v>
                </c:pt>
                <c:pt idx="2">
                  <c:v>45840</c:v>
                </c:pt>
                <c:pt idx="3">
                  <c:v>7850</c:v>
                </c:pt>
                <c:pt idx="4">
                  <c:v>12420</c:v>
                </c:pt>
                <c:pt idx="5">
                  <c:v>13200</c:v>
                </c:pt>
                <c:pt idx="6">
                  <c:v>4360</c:v>
                </c:pt>
                <c:pt idx="7">
                  <c:v>6120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3E-44AA-9DA0-E1B4E40DB2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de-DE"/>
                  <a:t>€</a:t>
                </a:r>
              </a:p>
            </c:rich>
          </c:tx>
          <c:overlay val="1"/>
        </c:title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 sz="1200"/>
              <a:t>Distribución por estado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spPr>
            <a:ln>
              <a:prstDash val="solid"/>
            </a:ln>
          </c:spPr>
          <c:cat>
            <c:strRef>
              <c:f>Inicio!$D$12:$D$15</c:f>
              <c:strCache>
                <c:ptCount val="4"/>
                <c:pt idx="0">
                  <c:v>Activo</c:v>
                </c:pt>
                <c:pt idx="1">
                  <c:v>Alternativo</c:v>
                </c:pt>
                <c:pt idx="2">
                  <c:v>Homologación</c:v>
                </c:pt>
                <c:pt idx="3">
                  <c:v>Bloqueado</c:v>
                </c:pt>
              </c:strCache>
            </c:strRef>
          </c:cat>
          <c:val>
            <c:numRef>
              <c:f>Inicio!$E$12:$E$15</c:f>
              <c:numCache>
                <c:formatCode>General</c:formatCode>
                <c:ptCount val="4"/>
                <c:pt idx="0">
                  <c:v>12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3B-414B-B56F-EBFC57608F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10"/>
      </c:doughnutChart>
    </c:plotArea>
    <c:legend>
      <c:legendPos val="r"/>
      <c:layout>
        <c:manualLayout>
          <c:xMode val="edge"/>
          <c:yMode val="edge"/>
          <c:x val="0.69050629921259843"/>
          <c:y val="0.14969429411480414"/>
          <c:w val="0.30949370078740157"/>
          <c:h val="0.39250090986829839"/>
        </c:manualLayout>
      </c:layout>
      <c:overlay val="1"/>
      <c:txPr>
        <a:bodyPr/>
        <a:lstStyle/>
        <a:p>
          <a:pPr>
            <a:defRPr sz="800"/>
          </a:pPr>
          <a:endParaRPr lang="de-DE"/>
        </a:p>
      </c:txPr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536787</xdr:colOff>
      <xdr:row>15</xdr:row>
      <xdr:rowOff>54185</xdr:rowOff>
    </xdr:from>
    <xdr:to>
      <xdr:col>9</xdr:col>
      <xdr:colOff>811107</xdr:colOff>
      <xdr:row>30</xdr:row>
      <xdr:rowOff>25398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38099</xdr:colOff>
      <xdr:row>19</xdr:row>
      <xdr:rowOff>38100</xdr:rowOff>
    </xdr:from>
    <xdr:to>
      <xdr:col>3</xdr:col>
      <xdr:colOff>440266</xdr:colOff>
      <xdr:row>30</xdr:row>
      <xdr:rowOff>16933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419100</xdr:colOff>
      <xdr:row>27</xdr:row>
      <xdr:rowOff>76200</xdr:rowOff>
    </xdr:to>
    <xdr:sp macro="" textlink="">
      <xdr:nvSpPr>
        <xdr:cNvPr id="2085" name="Text Box 37" hidden="1">
          <a:extLst>
            <a:ext uri="{FF2B5EF4-FFF2-40B4-BE49-F238E27FC236}">
              <a16:creationId xmlns:a16="http://schemas.microsoft.com/office/drawing/2014/main" id="{A3F8EC12-3DC6-FB3E-4B94-AF7CACD29A0D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Proveedores" displayName="tblProveedores" ref="A4:AD22">
  <autoFilter ref="A4:AD22" xr:uid="{00000000-0009-0000-0100-000001000000}"/>
  <tableColumns count="30">
    <tableColumn id="1" xr3:uid="{00000000-0010-0000-0000-000001000000}" name="ID"/>
    <tableColumn id="2" xr3:uid="{00000000-0010-0000-0000-000002000000}" name="Proveedor"/>
    <tableColumn id="3" xr3:uid="{00000000-0010-0000-0000-000003000000}" name="Categoría"/>
    <tableColumn id="4" xr3:uid="{00000000-0010-0000-0000-000004000000}" name="Tipo suministro"/>
    <tableColumn id="5" xr3:uid="{00000000-0010-0000-0000-000005000000}" name="Estado"/>
    <tableColumn id="6" xr3:uid="{00000000-0010-0000-0000-000006000000}" name="Criticidad"/>
    <tableColumn id="7" xr3:uid="{00000000-0010-0000-0000-000007000000}" name="Responsable"/>
    <tableColumn id="8" xr3:uid="{00000000-0010-0000-0000-000008000000}" name="Contacto"/>
    <tableColumn id="9" xr3:uid="{00000000-0010-0000-0000-000009000000}" name="Email"/>
    <tableColumn id="10" xr3:uid="{00000000-0010-0000-0000-00000A000000}" name="Teléfono"/>
    <tableColumn id="11" xr3:uid="{00000000-0010-0000-0000-00000B000000}" name="Ciudad"/>
    <tableColumn id="12" xr3:uid="{00000000-0010-0000-0000-00000C000000}" name="País"/>
    <tableColumn id="13" xr3:uid="{00000000-0010-0000-0000-00000D000000}" name="Moneda"/>
    <tableColumn id="14" xr3:uid="{00000000-0010-0000-0000-00000E000000}" name="Gasto anual"/>
    <tableColumn id="15" xr3:uid="{00000000-0010-0000-0000-00000F000000}" name="Pedido mínimo"/>
    <tableColumn id="16" xr3:uid="{00000000-0010-0000-0000-000010000000}" name="Cond. pago"/>
    <tableColumn id="17" xr3:uid="{00000000-0010-0000-0000-000011000000}" name="Lead time (días)"/>
    <tableColumn id="18" xr3:uid="{00000000-0010-0000-0000-000012000000}" name="Calidad"/>
    <tableColumn id="19" xr3:uid="{00000000-0010-0000-0000-000013000000}" name="Servicio"/>
    <tableColumn id="20" xr3:uid="{00000000-0010-0000-0000-000014000000}" name="Precio"/>
    <tableColumn id="21" xr3:uid="{00000000-0010-0000-0000-000015000000}" name="Riesgo"/>
    <tableColumn id="22" xr3:uid="{00000000-0010-0000-0000-000016000000}" name="Documentación"/>
    <tableColumn id="23" xr3:uid="{00000000-0010-0000-0000-000017000000}" name="Última revisión"/>
    <tableColumn id="24" xr3:uid="{00000000-0010-0000-0000-000018000000}" name="Próxima revisión"/>
    <tableColumn id="25" xr3:uid="{00000000-0010-0000-0000-000019000000}" name="Contrato hasta"/>
    <tableColumn id="26" xr3:uid="{00000000-0010-0000-0000-00001A000000}" name="Días renovación"/>
    <tableColumn id="27" xr3:uid="{00000000-0010-0000-0000-00001B000000}" name="Score total"/>
    <tableColumn id="28" xr3:uid="{00000000-0010-0000-0000-00001C000000}" name="Nivel"/>
    <tableColumn id="29" xr3:uid="{00000000-0010-0000-0000-00001D000000}" name="Acción sugerida"/>
    <tableColumn id="30" xr3:uid="{00000000-0010-0000-0000-00001E000000}" name="Observacion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showGridLines="0" tabSelected="1" zoomScale="90" zoomScaleNormal="90" workbookViewId="0">
      <selection activeCell="Q27" sqref="Q27"/>
    </sheetView>
  </sheetViews>
  <sheetFormatPr baseColWidth="10" defaultColWidth="8.88671875" defaultRowHeight="14.4" x14ac:dyDescent="0.3"/>
  <cols>
    <col min="1" max="1" width="18" customWidth="1"/>
    <col min="2" max="2" width="14" customWidth="1"/>
    <col min="3" max="3" width="4" customWidth="1"/>
    <col min="4" max="4" width="18" customWidth="1"/>
    <col min="5" max="5" width="12" customWidth="1"/>
    <col min="6" max="6" width="14" customWidth="1"/>
    <col min="7" max="7" width="18" customWidth="1"/>
    <col min="8" max="8" width="17.88671875" bestFit="1" customWidth="1"/>
    <col min="9" max="12" width="15" customWidth="1"/>
  </cols>
  <sheetData>
    <row r="1" spans="1:8" ht="21" x14ac:dyDescent="0.4">
      <c r="A1" s="56" t="s">
        <v>68</v>
      </c>
      <c r="B1" s="39"/>
      <c r="C1" s="39"/>
      <c r="D1" s="39"/>
      <c r="E1" s="39"/>
      <c r="F1" s="39"/>
      <c r="G1" s="39"/>
      <c r="H1" s="39"/>
    </row>
    <row r="2" spans="1:8" x14ac:dyDescent="0.3">
      <c r="A2" s="40" t="s">
        <v>0</v>
      </c>
      <c r="B2" s="39"/>
      <c r="C2" s="39"/>
      <c r="D2" s="39"/>
      <c r="E2" s="39"/>
      <c r="F2" s="39"/>
      <c r="G2" s="39"/>
      <c r="H2" s="39"/>
    </row>
    <row r="4" spans="1:8" x14ac:dyDescent="0.3">
      <c r="A4" s="1" t="s">
        <v>1</v>
      </c>
      <c r="B4" s="2" t="s">
        <v>2</v>
      </c>
      <c r="D4" s="3" t="s">
        <v>3</v>
      </c>
      <c r="F4" s="4" t="s">
        <v>4</v>
      </c>
      <c r="H4" s="5" t="s">
        <v>5</v>
      </c>
    </row>
    <row r="5" spans="1:8" ht="23.4" x14ac:dyDescent="0.45">
      <c r="A5" s="6">
        <f>COUNTA(Base_Proveedores!$B$5:$B$200)</f>
        <v>18</v>
      </c>
      <c r="B5" s="7">
        <f>COUNTIF(Base_Proveedores!$E$5:$E$200,"Activo")</f>
        <v>12</v>
      </c>
      <c r="D5" s="8">
        <f>COUNTIF(Base_Proveedores!$E$5:$E$200,"Homologación")</f>
        <v>2</v>
      </c>
      <c r="F5" s="9">
        <f>COUNTIF(Base_Proveedores!$E$5:$E$200,"Bloqueado")</f>
        <v>2</v>
      </c>
      <c r="H5" s="10">
        <f>ROUND(AVERAGEIF(Base_Proveedores!$AA$5:$AA$200,"&gt;0"),0)</f>
        <v>76</v>
      </c>
    </row>
    <row r="7" spans="1:8" x14ac:dyDescent="0.3">
      <c r="A7" s="11" t="s">
        <v>6</v>
      </c>
      <c r="B7" s="4" t="s">
        <v>7</v>
      </c>
      <c r="D7" s="3" t="s">
        <v>8</v>
      </c>
      <c r="F7" s="3" t="s">
        <v>9</v>
      </c>
      <c r="H7" s="12" t="s">
        <v>10</v>
      </c>
    </row>
    <row r="8" spans="1:8" ht="23.4" x14ac:dyDescent="0.45">
      <c r="A8" s="53">
        <f>SUM(Base_Proveedores!$N$5:$N$200)</f>
        <v>169700</v>
      </c>
      <c r="B8" s="9">
        <f>COUNTIF(Base_Proveedores!$V$5:$V$200,"Vencida")</f>
        <v>2</v>
      </c>
      <c r="D8" s="8">
        <f ca="1">COUNTIFS(Base_Proveedores!$B$5:$B$200,"&lt;&gt;",Base_Proveedores!$Z$5:$Z$200,"&gt;=0",Base_Proveedores!$Z$5:$Z$200,"&lt;=30")</f>
        <v>2</v>
      </c>
      <c r="F8" s="8">
        <f>COUNTIF(Base_Proveedores!$U$5:$U$200,"&gt;=4")</f>
        <v>3</v>
      </c>
      <c r="H8" s="13">
        <f ca="1">COUNTIFS(Base_Proveedores!$B$5:$B$200,"&lt;&gt;",Base_Proveedores!$Z$5:$Z$200,"&lt;0")</f>
        <v>1</v>
      </c>
    </row>
    <row r="11" spans="1:8" x14ac:dyDescent="0.3">
      <c r="A11" s="38" t="s">
        <v>11</v>
      </c>
      <c r="B11" s="39"/>
      <c r="D11" s="38" t="s">
        <v>12</v>
      </c>
      <c r="E11" s="39"/>
      <c r="G11" s="38" t="s">
        <v>13</v>
      </c>
      <c r="H11" s="39"/>
    </row>
    <row r="12" spans="1:8" x14ac:dyDescent="0.3">
      <c r="A12" s="14" t="s">
        <v>14</v>
      </c>
      <c r="B12" s="15">
        <f>SUMIF(Base_Proveedores!$C$5:$C$200,A12,Base_Proveedores!$N$5:$N$200)</f>
        <v>22150</v>
      </c>
      <c r="D12" s="14" t="s">
        <v>15</v>
      </c>
      <c r="E12" s="16">
        <f>COUNTIF(Base_Proveedores!$E$5:$E$200,D12)</f>
        <v>12</v>
      </c>
      <c r="G12" s="14" t="s">
        <v>16</v>
      </c>
      <c r="H12" s="16">
        <f ca="1">COUNTIFS(Base_Proveedores!$B$5:$B$200,"&lt;&gt;",Base_Proveedores!$Z$5:$Z$200,"&gt;=0",Base_Proveedores!$Z$5:$Z$200,"&lt;=30")</f>
        <v>2</v>
      </c>
    </row>
    <row r="13" spans="1:8" x14ac:dyDescent="0.3">
      <c r="A13" s="14" t="s">
        <v>17</v>
      </c>
      <c r="B13" s="15">
        <f>SUMIF(Base_Proveedores!$C$5:$C$200,A13,Base_Proveedores!$N$5:$N$200)</f>
        <v>40080</v>
      </c>
      <c r="D13" s="14" t="s">
        <v>18</v>
      </c>
      <c r="E13" s="16">
        <f>COUNTIF(Base_Proveedores!$E$5:$E$200,D13)</f>
        <v>2</v>
      </c>
      <c r="G13" s="14" t="s">
        <v>19</v>
      </c>
      <c r="H13" s="16">
        <f ca="1">COUNTIFS(Base_Proveedores!$B$5:$B$200,"&lt;&gt;",Base_Proveedores!$Z$5:$Z$200,"&gt;=31",Base_Proveedores!$Z$5:$Z$200,"&lt;=60")</f>
        <v>2</v>
      </c>
    </row>
    <row r="14" spans="1:8" x14ac:dyDescent="0.3">
      <c r="A14" s="14" t="s">
        <v>20</v>
      </c>
      <c r="B14" s="15">
        <f>SUMIF(Base_Proveedores!$C$5:$C$200,A14,Base_Proveedores!$N$5:$N$200)</f>
        <v>45840</v>
      </c>
      <c r="D14" s="14" t="s">
        <v>3</v>
      </c>
      <c r="E14" s="16">
        <f>COUNTIF(Base_Proveedores!$E$5:$E$200,D14)</f>
        <v>2</v>
      </c>
      <c r="G14" s="14" t="s">
        <v>21</v>
      </c>
      <c r="H14" s="16">
        <f ca="1">COUNTIFS(Base_Proveedores!$B$5:$B$200,"&lt;&gt;",Base_Proveedores!$Z$5:$Z$200,"&gt;=61",Base_Proveedores!$Z$5:$Z$200,"&lt;=90")</f>
        <v>1</v>
      </c>
    </row>
    <row r="15" spans="1:8" x14ac:dyDescent="0.3">
      <c r="A15" s="14" t="s">
        <v>22</v>
      </c>
      <c r="B15" s="15">
        <f>SUMIF(Base_Proveedores!$C$5:$C$200,A15,Base_Proveedores!$N$5:$N$200)</f>
        <v>7850</v>
      </c>
      <c r="D15" s="14" t="s">
        <v>23</v>
      </c>
      <c r="E15" s="16">
        <f>COUNTIF(Base_Proveedores!$E$5:$E$200,D15)</f>
        <v>2</v>
      </c>
      <c r="G15" s="14" t="s">
        <v>24</v>
      </c>
      <c r="H15" s="16">
        <f ca="1">COUNTIFS(Base_Proveedores!$B$5:$B$200,"&lt;&gt;",Base_Proveedores!$Z$5:$Z$200,"&gt;=91")</f>
        <v>12</v>
      </c>
    </row>
    <row r="16" spans="1:8" x14ac:dyDescent="0.3">
      <c r="A16" s="14" t="s">
        <v>25</v>
      </c>
      <c r="B16" s="15">
        <f>SUMIF(Base_Proveedores!$C$5:$C$200,A16,Base_Proveedores!$N$5:$N$200)</f>
        <v>12420</v>
      </c>
      <c r="G16" s="14" t="s">
        <v>26</v>
      </c>
      <c r="H16" s="16">
        <f ca="1">COUNTIFS(Base_Proveedores!$B$5:$B$200,"&lt;&gt;",Base_Proveedores!$Z$5:$Z$200,"&lt;0")</f>
        <v>1</v>
      </c>
    </row>
    <row r="17" spans="1:2" x14ac:dyDescent="0.3">
      <c r="A17" s="14" t="s">
        <v>27</v>
      </c>
      <c r="B17" s="15">
        <f>SUMIF(Base_Proveedores!$C$5:$C$200,A17,Base_Proveedores!$N$5:$N$200)</f>
        <v>13200</v>
      </c>
    </row>
    <row r="18" spans="1:2" x14ac:dyDescent="0.3">
      <c r="A18" s="14" t="s">
        <v>28</v>
      </c>
      <c r="B18" s="15">
        <f>SUMIF(Base_Proveedores!$C$5:$C$200,A18,Base_Proveedores!$N$5:$N$200)</f>
        <v>4360</v>
      </c>
    </row>
    <row r="19" spans="1:2" x14ac:dyDescent="0.3">
      <c r="A19" s="14" t="s">
        <v>29</v>
      </c>
      <c r="B19" s="15">
        <f>SUMIF(Base_Proveedores!$C$5:$C$200,A19,Base_Proveedores!$N$5:$N$200)</f>
        <v>6120</v>
      </c>
    </row>
  </sheetData>
  <mergeCells count="5">
    <mergeCell ref="D11:E11"/>
    <mergeCell ref="A11:B11"/>
    <mergeCell ref="A2:H2"/>
    <mergeCell ref="G11:H11"/>
    <mergeCell ref="A1:H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1"/>
  <sheetViews>
    <sheetView workbookViewId="0"/>
  </sheetViews>
  <sheetFormatPr baseColWidth="10" defaultColWidth="8.88671875" defaultRowHeight="14.4" x14ac:dyDescent="0.3"/>
  <sheetData>
    <row r="1" spans="1:12" x14ac:dyDescent="0.3">
      <c r="A1" s="17" t="s">
        <v>30</v>
      </c>
      <c r="B1" s="17" t="s">
        <v>31</v>
      </c>
      <c r="C1" s="17" t="s">
        <v>32</v>
      </c>
      <c r="D1" s="17" t="s">
        <v>33</v>
      </c>
      <c r="E1" s="17" t="s">
        <v>34</v>
      </c>
      <c r="F1" s="17" t="s">
        <v>35</v>
      </c>
      <c r="G1" s="17" t="s">
        <v>36</v>
      </c>
      <c r="H1" s="17" t="s">
        <v>37</v>
      </c>
      <c r="I1" s="17" t="s">
        <v>38</v>
      </c>
      <c r="K1" s="17" t="s">
        <v>39</v>
      </c>
      <c r="L1" s="17" t="s">
        <v>40</v>
      </c>
    </row>
    <row r="2" spans="1:12" x14ac:dyDescent="0.3">
      <c r="A2" t="s">
        <v>14</v>
      </c>
      <c r="B2" t="s">
        <v>15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>
        <v>1</v>
      </c>
      <c r="I2" t="s">
        <v>46</v>
      </c>
      <c r="K2" t="s">
        <v>47</v>
      </c>
      <c r="L2" s="18">
        <v>0.4</v>
      </c>
    </row>
    <row r="3" spans="1:12" x14ac:dyDescent="0.3">
      <c r="A3" t="s">
        <v>17</v>
      </c>
      <c r="B3" t="s">
        <v>18</v>
      </c>
      <c r="C3" t="s">
        <v>48</v>
      </c>
      <c r="D3" t="s">
        <v>49</v>
      </c>
      <c r="E3" t="s">
        <v>50</v>
      </c>
      <c r="F3" t="s">
        <v>51</v>
      </c>
      <c r="G3" t="s">
        <v>52</v>
      </c>
      <c r="H3">
        <v>2</v>
      </c>
      <c r="I3" t="s">
        <v>53</v>
      </c>
      <c r="K3" t="s">
        <v>54</v>
      </c>
      <c r="L3" s="18">
        <v>0.25</v>
      </c>
    </row>
    <row r="4" spans="1:12" x14ac:dyDescent="0.3">
      <c r="A4" t="s">
        <v>20</v>
      </c>
      <c r="B4" t="s">
        <v>3</v>
      </c>
      <c r="C4" t="s">
        <v>55</v>
      </c>
      <c r="D4" t="s">
        <v>56</v>
      </c>
      <c r="F4" t="s">
        <v>57</v>
      </c>
      <c r="G4" t="s">
        <v>58</v>
      </c>
      <c r="H4">
        <v>3</v>
      </c>
      <c r="I4" t="s">
        <v>29</v>
      </c>
      <c r="K4" t="s">
        <v>59</v>
      </c>
      <c r="L4" s="18">
        <v>0.2</v>
      </c>
    </row>
    <row r="5" spans="1:12" x14ac:dyDescent="0.3">
      <c r="A5" t="s">
        <v>22</v>
      </c>
      <c r="B5" t="s">
        <v>23</v>
      </c>
      <c r="D5" t="s">
        <v>60</v>
      </c>
      <c r="F5" t="s">
        <v>61</v>
      </c>
      <c r="H5">
        <v>4</v>
      </c>
      <c r="I5" t="s">
        <v>17</v>
      </c>
      <c r="K5" t="s">
        <v>62</v>
      </c>
      <c r="L5" s="18">
        <v>0.15</v>
      </c>
    </row>
    <row r="6" spans="1:12" x14ac:dyDescent="0.3">
      <c r="A6" t="s">
        <v>25</v>
      </c>
      <c r="F6" t="s">
        <v>63</v>
      </c>
      <c r="H6">
        <v>5</v>
      </c>
      <c r="I6" t="s">
        <v>14</v>
      </c>
    </row>
    <row r="7" spans="1:12" x14ac:dyDescent="0.3">
      <c r="A7" t="s">
        <v>27</v>
      </c>
      <c r="I7" t="s">
        <v>22</v>
      </c>
      <c r="K7" t="s">
        <v>64</v>
      </c>
      <c r="L7">
        <v>180</v>
      </c>
    </row>
    <row r="8" spans="1:12" x14ac:dyDescent="0.3">
      <c r="A8" t="s">
        <v>28</v>
      </c>
      <c r="K8" t="s">
        <v>65</v>
      </c>
      <c r="L8" s="18">
        <v>0.21</v>
      </c>
    </row>
    <row r="9" spans="1:12" x14ac:dyDescent="0.3">
      <c r="A9" t="s">
        <v>29</v>
      </c>
    </row>
    <row r="10" spans="1:12" x14ac:dyDescent="0.3">
      <c r="A10" t="s">
        <v>66</v>
      </c>
    </row>
    <row r="11" spans="1:12" x14ac:dyDescent="0.3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22"/>
  <sheetViews>
    <sheetView showGridLines="0" workbookViewId="0">
      <selection sqref="A1:AD1"/>
    </sheetView>
  </sheetViews>
  <sheetFormatPr baseColWidth="10" defaultColWidth="8.88671875" defaultRowHeight="14.4" x14ac:dyDescent="0.3"/>
  <cols>
    <col min="1" max="1" width="10" customWidth="1"/>
    <col min="2" max="2" width="24" customWidth="1"/>
    <col min="3" max="3" width="14" customWidth="1"/>
    <col min="4" max="4" width="20" customWidth="1"/>
    <col min="5" max="5" width="14" customWidth="1"/>
    <col min="6" max="6" width="11" customWidth="1"/>
    <col min="7" max="7" width="12" customWidth="1"/>
    <col min="8" max="8" width="18" customWidth="1"/>
    <col min="9" max="9" width="30" customWidth="1"/>
    <col min="10" max="11" width="16" customWidth="1"/>
    <col min="12" max="12" width="12" customWidth="1"/>
    <col min="13" max="13" width="10" customWidth="1"/>
    <col min="14" max="15" width="14" customWidth="1"/>
    <col min="16" max="16" width="12" customWidth="1"/>
    <col min="17" max="17" width="14" customWidth="1"/>
    <col min="18" max="21" width="9" customWidth="1"/>
    <col min="22" max="22" width="14" customWidth="1"/>
    <col min="23" max="25" width="13" customWidth="1"/>
    <col min="26" max="26" width="14" customWidth="1"/>
    <col min="27" max="27" width="11" customWidth="1"/>
    <col min="28" max="28" width="14" customWidth="1"/>
    <col min="29" max="29" width="22" customWidth="1"/>
    <col min="30" max="30" width="28" customWidth="1"/>
  </cols>
  <sheetData>
    <row r="1" spans="1:30" ht="24" customHeight="1" x14ac:dyDescent="0.4">
      <c r="A1" s="54" t="s">
        <v>68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</row>
    <row r="2" spans="1:30" ht="19.95" customHeight="1" x14ac:dyDescent="0.3">
      <c r="A2" s="42" t="s">
        <v>69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</row>
    <row r="4" spans="1:30" ht="31.95" customHeight="1" x14ac:dyDescent="0.3">
      <c r="A4" s="19" t="s">
        <v>70</v>
      </c>
      <c r="B4" s="19" t="s">
        <v>71</v>
      </c>
      <c r="C4" s="19" t="s">
        <v>72</v>
      </c>
      <c r="D4" s="19" t="s">
        <v>73</v>
      </c>
      <c r="E4" s="19" t="s">
        <v>12</v>
      </c>
      <c r="F4" s="19" t="s">
        <v>32</v>
      </c>
      <c r="G4" s="19" t="s">
        <v>74</v>
      </c>
      <c r="H4" s="19" t="s">
        <v>75</v>
      </c>
      <c r="I4" s="19" t="s">
        <v>76</v>
      </c>
      <c r="J4" s="19" t="s">
        <v>77</v>
      </c>
      <c r="K4" s="19" t="s">
        <v>78</v>
      </c>
      <c r="L4" s="19" t="s">
        <v>79</v>
      </c>
      <c r="M4" s="19" t="s">
        <v>80</v>
      </c>
      <c r="N4" s="19" t="s">
        <v>6</v>
      </c>
      <c r="O4" s="19" t="s">
        <v>81</v>
      </c>
      <c r="P4" s="19" t="s">
        <v>82</v>
      </c>
      <c r="Q4" s="19" t="s">
        <v>83</v>
      </c>
      <c r="R4" s="19" t="s">
        <v>84</v>
      </c>
      <c r="S4" s="19" t="s">
        <v>85</v>
      </c>
      <c r="T4" s="19" t="s">
        <v>86</v>
      </c>
      <c r="U4" s="19" t="s">
        <v>87</v>
      </c>
      <c r="V4" s="19" t="s">
        <v>36</v>
      </c>
      <c r="W4" s="19" t="s">
        <v>88</v>
      </c>
      <c r="X4" s="19" t="s">
        <v>89</v>
      </c>
      <c r="Y4" s="19" t="s">
        <v>90</v>
      </c>
      <c r="Z4" s="19" t="s">
        <v>91</v>
      </c>
      <c r="AA4" s="19" t="s">
        <v>92</v>
      </c>
      <c r="AB4" s="19" t="s">
        <v>93</v>
      </c>
      <c r="AC4" s="19" t="s">
        <v>94</v>
      </c>
      <c r="AD4" s="19" t="s">
        <v>95</v>
      </c>
    </row>
    <row r="5" spans="1:30" ht="24" customHeight="1" x14ac:dyDescent="0.3">
      <c r="A5" s="20" t="str">
        <f t="shared" ref="A5:A22" si="0">IF(B5="","","PRV-"&amp;TEXT(ROW()-4,"000"))</f>
        <v>PRV-001</v>
      </c>
      <c r="B5" s="21" t="s">
        <v>96</v>
      </c>
      <c r="C5" s="21" t="s">
        <v>17</v>
      </c>
      <c r="D5" s="21" t="s">
        <v>97</v>
      </c>
      <c r="E5" s="21" t="s">
        <v>15</v>
      </c>
      <c r="F5" s="21" t="s">
        <v>41</v>
      </c>
      <c r="G5" s="21" t="s">
        <v>17</v>
      </c>
      <c r="H5" s="21" t="s">
        <v>98</v>
      </c>
      <c r="I5" s="21" t="s">
        <v>99</v>
      </c>
      <c r="J5" s="21" t="s">
        <v>100</v>
      </c>
      <c r="K5" s="21" t="s">
        <v>101</v>
      </c>
      <c r="L5" s="21" t="s">
        <v>42</v>
      </c>
      <c r="M5" s="21" t="s">
        <v>43</v>
      </c>
      <c r="N5" s="22">
        <v>18600</v>
      </c>
      <c r="O5" s="22">
        <v>0</v>
      </c>
      <c r="P5" s="21" t="s">
        <v>57</v>
      </c>
      <c r="Q5" s="23">
        <v>3</v>
      </c>
      <c r="R5" s="23">
        <v>5</v>
      </c>
      <c r="S5" s="23">
        <v>4</v>
      </c>
      <c r="T5" s="23">
        <v>3</v>
      </c>
      <c r="U5" s="23">
        <v>2</v>
      </c>
      <c r="V5" s="21" t="s">
        <v>45</v>
      </c>
      <c r="W5" s="24">
        <v>46058</v>
      </c>
      <c r="X5" s="25">
        <f>IF(W5="","",W5+Listas!$L$7)</f>
        <v>46238</v>
      </c>
      <c r="Y5" s="24">
        <v>46418</v>
      </c>
      <c r="Z5" s="26">
        <f t="shared" ref="Z5:Z22" ca="1" si="1">IF(Y5="","",Y5-TODAY())</f>
        <v>292</v>
      </c>
      <c r="AA5" s="26">
        <f t="shared" ref="AA5:AA22" si="2">IF(B5="","",ROUND((R5*0.35+S5*0.25+T5*0.25+(6-U5)*0.15)*20,0))</f>
        <v>82</v>
      </c>
      <c r="AB5" s="20" t="str">
        <f t="shared" ref="AB5:AB22" si="3">IF(AA5="","",IF(AA5&gt;=85,"Preferente",IF(AA5&gt;=70,"Homologado",IF(AA5&gt;=55,"En desarrollo","Revisar"))))</f>
        <v>Homologado</v>
      </c>
      <c r="AC5" s="27" t="str">
        <f t="shared" ref="AC5:AC22" ca="1" si="4">IF(B5="","",IF(E5="Homologación","Completar homologación",IF(E5="Bloqueado","Mantener bloqueado",IF(V5="Vencida","Actualizar documentación",IF(Y5="","Definir fecha de contrato",IF(Y5&lt;TODAY(),"Renovar contrato vencido",IF(Y5&lt;=TODAY()+30,"Renovar en 30 días",IF(U5&gt;=4,"Plan de contingencia","Seguimiento normal"))))))))</f>
        <v>Seguimiento normal</v>
      </c>
      <c r="AD5" s="21" t="s">
        <v>102</v>
      </c>
    </row>
    <row r="6" spans="1:30" ht="24" customHeight="1" x14ac:dyDescent="0.3">
      <c r="A6" s="20" t="str">
        <f t="shared" si="0"/>
        <v>PRV-002</v>
      </c>
      <c r="B6" s="21" t="s">
        <v>103</v>
      </c>
      <c r="C6" s="21" t="s">
        <v>20</v>
      </c>
      <c r="D6" s="21" t="s">
        <v>104</v>
      </c>
      <c r="E6" s="21" t="s">
        <v>15</v>
      </c>
      <c r="F6" s="21" t="s">
        <v>41</v>
      </c>
      <c r="G6" s="21" t="s">
        <v>46</v>
      </c>
      <c r="H6" s="21" t="s">
        <v>105</v>
      </c>
      <c r="I6" s="21" t="s">
        <v>106</v>
      </c>
      <c r="J6" s="21" t="s">
        <v>107</v>
      </c>
      <c r="K6" s="21" t="s">
        <v>108</v>
      </c>
      <c r="L6" s="21" t="s">
        <v>42</v>
      </c>
      <c r="M6" s="21" t="s">
        <v>43</v>
      </c>
      <c r="N6" s="22">
        <v>27840</v>
      </c>
      <c r="O6" s="22">
        <v>150</v>
      </c>
      <c r="P6" s="21" t="s">
        <v>57</v>
      </c>
      <c r="Q6" s="23">
        <v>1</v>
      </c>
      <c r="R6" s="23">
        <v>4</v>
      </c>
      <c r="S6" s="23">
        <v>5</v>
      </c>
      <c r="T6" s="23">
        <v>4</v>
      </c>
      <c r="U6" s="23">
        <v>2</v>
      </c>
      <c r="V6" s="21" t="s">
        <v>45</v>
      </c>
      <c r="W6" s="24">
        <v>46101</v>
      </c>
      <c r="X6" s="25">
        <f>IF(W6="","",W6+Listas!$L$7)</f>
        <v>46281</v>
      </c>
      <c r="Y6" s="24">
        <v>46234</v>
      </c>
      <c r="Z6" s="26">
        <f t="shared" ca="1" si="1"/>
        <v>108</v>
      </c>
      <c r="AA6" s="26">
        <f t="shared" si="2"/>
        <v>85</v>
      </c>
      <c r="AB6" s="20" t="str">
        <f t="shared" si="3"/>
        <v>Preferente</v>
      </c>
      <c r="AC6" s="27" t="str">
        <f t="shared" ca="1" si="4"/>
        <v>Seguimiento normal</v>
      </c>
      <c r="AD6" s="21" t="s">
        <v>109</v>
      </c>
    </row>
    <row r="7" spans="1:30" ht="24" customHeight="1" x14ac:dyDescent="0.3">
      <c r="A7" s="20" t="str">
        <f t="shared" si="0"/>
        <v>PRV-003</v>
      </c>
      <c r="B7" s="21" t="s">
        <v>110</v>
      </c>
      <c r="C7" s="21" t="s">
        <v>25</v>
      </c>
      <c r="D7" s="21" t="s">
        <v>111</v>
      </c>
      <c r="E7" s="21" t="s">
        <v>15</v>
      </c>
      <c r="F7" s="21" t="s">
        <v>48</v>
      </c>
      <c r="G7" s="21" t="s">
        <v>22</v>
      </c>
      <c r="H7" s="21" t="s">
        <v>112</v>
      </c>
      <c r="I7" s="21" t="s">
        <v>113</v>
      </c>
      <c r="J7" s="21" t="s">
        <v>114</v>
      </c>
      <c r="K7" s="21" t="s">
        <v>115</v>
      </c>
      <c r="L7" s="21" t="s">
        <v>42</v>
      </c>
      <c r="M7" s="21" t="s">
        <v>43</v>
      </c>
      <c r="N7" s="22">
        <v>9240</v>
      </c>
      <c r="O7" s="22">
        <v>80</v>
      </c>
      <c r="P7" s="21" t="s">
        <v>51</v>
      </c>
      <c r="Q7" s="23">
        <v>2</v>
      </c>
      <c r="R7" s="23">
        <v>5</v>
      </c>
      <c r="S7" s="23">
        <v>4</v>
      </c>
      <c r="T7" s="23">
        <v>4</v>
      </c>
      <c r="U7" s="23">
        <v>2</v>
      </c>
      <c r="V7" s="21" t="s">
        <v>45</v>
      </c>
      <c r="W7" s="24">
        <v>46040</v>
      </c>
      <c r="X7" s="25">
        <f>IF(W7="","",W7+Listas!$L$7)</f>
        <v>46220</v>
      </c>
      <c r="Y7" s="24">
        <v>46310</v>
      </c>
      <c r="Z7" s="26">
        <f t="shared" ca="1" si="1"/>
        <v>184</v>
      </c>
      <c r="AA7" s="26">
        <f t="shared" si="2"/>
        <v>87</v>
      </c>
      <c r="AB7" s="20" t="str">
        <f t="shared" si="3"/>
        <v>Preferente</v>
      </c>
      <c r="AC7" s="27" t="str">
        <f t="shared" ca="1" si="4"/>
        <v>Seguimiento normal</v>
      </c>
      <c r="AD7" s="21" t="s">
        <v>116</v>
      </c>
    </row>
    <row r="8" spans="1:30" ht="24" customHeight="1" x14ac:dyDescent="0.3">
      <c r="A8" s="20" t="str">
        <f t="shared" si="0"/>
        <v>PRV-004</v>
      </c>
      <c r="B8" s="21" t="s">
        <v>117</v>
      </c>
      <c r="C8" s="21" t="s">
        <v>14</v>
      </c>
      <c r="D8" s="21" t="s">
        <v>118</v>
      </c>
      <c r="E8" s="21" t="s">
        <v>18</v>
      </c>
      <c r="F8" s="21" t="s">
        <v>48</v>
      </c>
      <c r="G8" s="21" t="s">
        <v>14</v>
      </c>
      <c r="H8" s="21" t="s">
        <v>119</v>
      </c>
      <c r="I8" s="21" t="s">
        <v>120</v>
      </c>
      <c r="J8" s="21" t="s">
        <v>121</v>
      </c>
      <c r="K8" s="21" t="s">
        <v>101</v>
      </c>
      <c r="L8" s="21" t="s">
        <v>42</v>
      </c>
      <c r="M8" s="21" t="s">
        <v>43</v>
      </c>
      <c r="N8" s="22">
        <v>6400</v>
      </c>
      <c r="O8" s="22">
        <v>300</v>
      </c>
      <c r="P8" s="21" t="s">
        <v>57</v>
      </c>
      <c r="Q8" s="23">
        <v>6</v>
      </c>
      <c r="R8" s="23">
        <v>4</v>
      </c>
      <c r="S8" s="23">
        <v>4</v>
      </c>
      <c r="T8" s="23">
        <v>3</v>
      </c>
      <c r="U8" s="23">
        <v>3</v>
      </c>
      <c r="V8" s="21" t="s">
        <v>52</v>
      </c>
      <c r="W8" s="24">
        <v>46003</v>
      </c>
      <c r="X8" s="25">
        <f>IF(W8="","",W8+Listas!$L$7)</f>
        <v>46183</v>
      </c>
      <c r="Y8" s="24">
        <v>46162</v>
      </c>
      <c r="Z8" s="26">
        <f t="shared" ca="1" si="1"/>
        <v>36</v>
      </c>
      <c r="AA8" s="26">
        <f t="shared" si="2"/>
        <v>72</v>
      </c>
      <c r="AB8" s="20" t="str">
        <f t="shared" si="3"/>
        <v>Homologado</v>
      </c>
      <c r="AC8" s="27" t="str">
        <f t="shared" ca="1" si="4"/>
        <v>Seguimiento normal</v>
      </c>
      <c r="AD8" s="21" t="s">
        <v>122</v>
      </c>
    </row>
    <row r="9" spans="1:30" ht="24" customHeight="1" x14ac:dyDescent="0.3">
      <c r="A9" s="20" t="str">
        <f t="shared" si="0"/>
        <v>PRV-005</v>
      </c>
      <c r="B9" s="21" t="s">
        <v>123</v>
      </c>
      <c r="C9" s="21" t="s">
        <v>67</v>
      </c>
      <c r="D9" s="21" t="s">
        <v>124</v>
      </c>
      <c r="E9" s="21" t="s">
        <v>15</v>
      </c>
      <c r="F9" s="21" t="s">
        <v>41</v>
      </c>
      <c r="G9" s="21" t="s">
        <v>53</v>
      </c>
      <c r="H9" s="21" t="s">
        <v>125</v>
      </c>
      <c r="I9" s="21" t="s">
        <v>126</v>
      </c>
      <c r="J9" s="21" t="s">
        <v>127</v>
      </c>
      <c r="K9" s="21" t="s">
        <v>128</v>
      </c>
      <c r="L9" s="21" t="s">
        <v>42</v>
      </c>
      <c r="M9" s="21" t="s">
        <v>43</v>
      </c>
      <c r="N9" s="22">
        <v>15400</v>
      </c>
      <c r="O9" s="22">
        <v>1200</v>
      </c>
      <c r="P9" s="21" t="s">
        <v>61</v>
      </c>
      <c r="Q9" s="23">
        <v>12</v>
      </c>
      <c r="R9" s="23">
        <v>4</v>
      </c>
      <c r="S9" s="23">
        <v>4</v>
      </c>
      <c r="T9" s="23">
        <v>3</v>
      </c>
      <c r="U9" s="23">
        <v>3</v>
      </c>
      <c r="V9" s="21" t="s">
        <v>45</v>
      </c>
      <c r="W9" s="24">
        <v>46083</v>
      </c>
      <c r="X9" s="25">
        <f>IF(W9="","",W9+Listas!$L$7)</f>
        <v>46263</v>
      </c>
      <c r="Y9" s="24">
        <v>46264</v>
      </c>
      <c r="Z9" s="26">
        <f t="shared" ca="1" si="1"/>
        <v>138</v>
      </c>
      <c r="AA9" s="26">
        <f t="shared" si="2"/>
        <v>72</v>
      </c>
      <c r="AB9" s="20" t="str">
        <f t="shared" si="3"/>
        <v>Homologado</v>
      </c>
      <c r="AC9" s="27" t="str">
        <f t="shared" ca="1" si="4"/>
        <v>Seguimiento normal</v>
      </c>
      <c r="AD9" s="21" t="s">
        <v>129</v>
      </c>
    </row>
    <row r="10" spans="1:30" ht="24" customHeight="1" x14ac:dyDescent="0.3">
      <c r="A10" s="20" t="str">
        <f t="shared" si="0"/>
        <v>PRV-006</v>
      </c>
      <c r="B10" s="21" t="s">
        <v>130</v>
      </c>
      <c r="C10" s="21" t="s">
        <v>17</v>
      </c>
      <c r="D10" s="21" t="s">
        <v>131</v>
      </c>
      <c r="E10" s="21" t="s">
        <v>15</v>
      </c>
      <c r="F10" s="21" t="s">
        <v>41</v>
      </c>
      <c r="G10" s="21" t="s">
        <v>17</v>
      </c>
      <c r="H10" s="21" t="s">
        <v>132</v>
      </c>
      <c r="I10" s="21" t="s">
        <v>133</v>
      </c>
      <c r="J10" s="21" t="s">
        <v>134</v>
      </c>
      <c r="K10" s="21" t="s">
        <v>101</v>
      </c>
      <c r="L10" s="21" t="s">
        <v>42</v>
      </c>
      <c r="M10" s="21" t="s">
        <v>43</v>
      </c>
      <c r="N10" s="22">
        <v>11880</v>
      </c>
      <c r="O10" s="22">
        <v>0</v>
      </c>
      <c r="P10" s="21" t="s">
        <v>57</v>
      </c>
      <c r="Q10" s="23">
        <v>1</v>
      </c>
      <c r="R10" s="23">
        <v>4</v>
      </c>
      <c r="S10" s="23">
        <v>4</v>
      </c>
      <c r="T10" s="23">
        <v>4</v>
      </c>
      <c r="U10" s="23">
        <v>2</v>
      </c>
      <c r="V10" s="21" t="s">
        <v>45</v>
      </c>
      <c r="W10" s="24">
        <v>46113</v>
      </c>
      <c r="X10" s="25">
        <f>IF(W10="","",W10+Listas!$L$7)</f>
        <v>46293</v>
      </c>
      <c r="Y10" s="24">
        <v>46477</v>
      </c>
      <c r="Z10" s="26">
        <f t="shared" ca="1" si="1"/>
        <v>351</v>
      </c>
      <c r="AA10" s="26">
        <f t="shared" si="2"/>
        <v>80</v>
      </c>
      <c r="AB10" s="20" t="str">
        <f t="shared" si="3"/>
        <v>Homologado</v>
      </c>
      <c r="AC10" s="27" t="str">
        <f t="shared" ca="1" si="4"/>
        <v>Seguimiento normal</v>
      </c>
      <c r="AD10" s="21" t="s">
        <v>135</v>
      </c>
    </row>
    <row r="11" spans="1:30" ht="24" customHeight="1" x14ac:dyDescent="0.3">
      <c r="A11" s="20" t="str">
        <f t="shared" si="0"/>
        <v>PRV-007</v>
      </c>
      <c r="B11" s="21" t="s">
        <v>136</v>
      </c>
      <c r="C11" s="21" t="s">
        <v>20</v>
      </c>
      <c r="D11" s="21" t="s">
        <v>137</v>
      </c>
      <c r="E11" s="21" t="s">
        <v>3</v>
      </c>
      <c r="F11" s="21" t="s">
        <v>41</v>
      </c>
      <c r="G11" s="21" t="s">
        <v>46</v>
      </c>
      <c r="H11" s="21" t="s">
        <v>138</v>
      </c>
      <c r="I11" s="21" t="s">
        <v>139</v>
      </c>
      <c r="J11" s="21" t="s">
        <v>140</v>
      </c>
      <c r="K11" s="21" t="s">
        <v>141</v>
      </c>
      <c r="L11" s="21" t="s">
        <v>42</v>
      </c>
      <c r="M11" s="21" t="s">
        <v>43</v>
      </c>
      <c r="N11" s="22">
        <v>8700</v>
      </c>
      <c r="O11" s="22">
        <v>250</v>
      </c>
      <c r="P11" s="21" t="s">
        <v>57</v>
      </c>
      <c r="Q11" s="23">
        <v>5</v>
      </c>
      <c r="R11" s="23">
        <v>3</v>
      </c>
      <c r="S11" s="23">
        <v>4</v>
      </c>
      <c r="T11" s="23">
        <v>3</v>
      </c>
      <c r="U11" s="23">
        <v>4</v>
      </c>
      <c r="V11" s="21" t="s">
        <v>52</v>
      </c>
      <c r="W11" s="24">
        <v>46081</v>
      </c>
      <c r="X11" s="25">
        <f>IF(W11="","",W11+Listas!$L$7)</f>
        <v>46261</v>
      </c>
      <c r="Y11" s="24">
        <v>46188</v>
      </c>
      <c r="Z11" s="26">
        <f t="shared" ca="1" si="1"/>
        <v>62</v>
      </c>
      <c r="AA11" s="26">
        <f t="shared" si="2"/>
        <v>62</v>
      </c>
      <c r="AB11" s="20" t="str">
        <f t="shared" si="3"/>
        <v>En desarrollo</v>
      </c>
      <c r="AC11" s="27" t="str">
        <f t="shared" ca="1" si="4"/>
        <v>Completar homologación</v>
      </c>
      <c r="AD11" s="21" t="s">
        <v>142</v>
      </c>
    </row>
    <row r="12" spans="1:30" ht="24" customHeight="1" x14ac:dyDescent="0.3">
      <c r="A12" s="20" t="str">
        <f t="shared" si="0"/>
        <v>PRV-008</v>
      </c>
      <c r="B12" s="21" t="s">
        <v>143</v>
      </c>
      <c r="C12" s="21" t="s">
        <v>28</v>
      </c>
      <c r="D12" s="21" t="s">
        <v>144</v>
      </c>
      <c r="E12" s="21" t="s">
        <v>15</v>
      </c>
      <c r="F12" s="21" t="s">
        <v>48</v>
      </c>
      <c r="G12" s="21" t="s">
        <v>53</v>
      </c>
      <c r="H12" s="21" t="s">
        <v>145</v>
      </c>
      <c r="I12" s="21" t="s">
        <v>146</v>
      </c>
      <c r="J12" s="21" t="s">
        <v>147</v>
      </c>
      <c r="K12" s="21" t="s">
        <v>101</v>
      </c>
      <c r="L12" s="21" t="s">
        <v>42</v>
      </c>
      <c r="M12" s="21" t="s">
        <v>43</v>
      </c>
      <c r="N12" s="22">
        <v>4360</v>
      </c>
      <c r="O12" s="22">
        <v>0</v>
      </c>
      <c r="P12" s="21" t="s">
        <v>51</v>
      </c>
      <c r="Q12" s="23">
        <v>1</v>
      </c>
      <c r="R12" s="23">
        <v>4</v>
      </c>
      <c r="S12" s="23">
        <v>4</v>
      </c>
      <c r="T12" s="23">
        <v>5</v>
      </c>
      <c r="U12" s="23">
        <v>2</v>
      </c>
      <c r="V12" s="21" t="s">
        <v>45</v>
      </c>
      <c r="W12" s="24">
        <v>46088</v>
      </c>
      <c r="X12" s="25">
        <f>IF(W12="","",W12+Listas!$L$7)</f>
        <v>46268</v>
      </c>
      <c r="Y12" s="24">
        <v>46387</v>
      </c>
      <c r="Z12" s="26">
        <f t="shared" ca="1" si="1"/>
        <v>261</v>
      </c>
      <c r="AA12" s="26">
        <f t="shared" si="2"/>
        <v>85</v>
      </c>
      <c r="AB12" s="20" t="str">
        <f t="shared" si="3"/>
        <v>Preferente</v>
      </c>
      <c r="AC12" s="27" t="str">
        <f t="shared" ca="1" si="4"/>
        <v>Seguimiento normal</v>
      </c>
      <c r="AD12" s="21" t="s">
        <v>148</v>
      </c>
    </row>
    <row r="13" spans="1:30" ht="24" customHeight="1" x14ac:dyDescent="0.3">
      <c r="A13" s="20" t="str">
        <f t="shared" si="0"/>
        <v>PRV-009</v>
      </c>
      <c r="B13" s="21" t="s">
        <v>149</v>
      </c>
      <c r="C13" s="21" t="s">
        <v>29</v>
      </c>
      <c r="D13" s="21" t="s">
        <v>150</v>
      </c>
      <c r="E13" s="21" t="s">
        <v>15</v>
      </c>
      <c r="F13" s="21" t="s">
        <v>41</v>
      </c>
      <c r="G13" s="21" t="s">
        <v>29</v>
      </c>
      <c r="H13" s="21" t="s">
        <v>151</v>
      </c>
      <c r="I13" s="21" t="s">
        <v>152</v>
      </c>
      <c r="J13" s="21" t="s">
        <v>153</v>
      </c>
      <c r="K13" s="21" t="s">
        <v>101</v>
      </c>
      <c r="L13" s="21" t="s">
        <v>42</v>
      </c>
      <c r="M13" s="21" t="s">
        <v>43</v>
      </c>
      <c r="N13" s="22">
        <v>6120</v>
      </c>
      <c r="O13" s="22">
        <v>0</v>
      </c>
      <c r="P13" s="21" t="s">
        <v>57</v>
      </c>
      <c r="Q13" s="23">
        <v>0</v>
      </c>
      <c r="R13" s="23">
        <v>4</v>
      </c>
      <c r="S13" s="23">
        <v>4</v>
      </c>
      <c r="T13" s="23">
        <v>3</v>
      </c>
      <c r="U13" s="23">
        <v>2</v>
      </c>
      <c r="V13" s="21" t="s">
        <v>45</v>
      </c>
      <c r="W13" s="24">
        <v>45976</v>
      </c>
      <c r="X13" s="25">
        <f>IF(W13="","",W13+Listas!$L$7)</f>
        <v>46156</v>
      </c>
      <c r="Y13" s="24">
        <v>46152</v>
      </c>
      <c r="Z13" s="26">
        <f t="shared" ca="1" si="1"/>
        <v>26</v>
      </c>
      <c r="AA13" s="26">
        <f t="shared" si="2"/>
        <v>75</v>
      </c>
      <c r="AB13" s="20" t="str">
        <f t="shared" si="3"/>
        <v>Homologado</v>
      </c>
      <c r="AC13" s="27" t="str">
        <f t="shared" ca="1" si="4"/>
        <v>Renovar en 30 días</v>
      </c>
      <c r="AD13" s="21" t="s">
        <v>154</v>
      </c>
    </row>
    <row r="14" spans="1:30" ht="24" customHeight="1" x14ac:dyDescent="0.3">
      <c r="A14" s="20" t="str">
        <f t="shared" si="0"/>
        <v>PRV-010</v>
      </c>
      <c r="B14" s="21" t="s">
        <v>155</v>
      </c>
      <c r="C14" s="21" t="s">
        <v>22</v>
      </c>
      <c r="D14" s="21" t="s">
        <v>156</v>
      </c>
      <c r="E14" s="21" t="s">
        <v>15</v>
      </c>
      <c r="F14" s="21" t="s">
        <v>48</v>
      </c>
      <c r="G14" s="21" t="s">
        <v>22</v>
      </c>
      <c r="H14" s="21" t="s">
        <v>157</v>
      </c>
      <c r="I14" s="21" t="s">
        <v>158</v>
      </c>
      <c r="J14" s="21" t="s">
        <v>159</v>
      </c>
      <c r="K14" s="21" t="s">
        <v>160</v>
      </c>
      <c r="L14" s="21" t="s">
        <v>42</v>
      </c>
      <c r="M14" s="21" t="s">
        <v>43</v>
      </c>
      <c r="N14" s="22">
        <v>7850</v>
      </c>
      <c r="O14" s="22">
        <v>100</v>
      </c>
      <c r="P14" s="21" t="s">
        <v>57</v>
      </c>
      <c r="Q14" s="23">
        <v>4</v>
      </c>
      <c r="R14" s="23">
        <v>4</v>
      </c>
      <c r="S14" s="23">
        <v>4</v>
      </c>
      <c r="T14" s="23">
        <v>5</v>
      </c>
      <c r="U14" s="23">
        <v>2</v>
      </c>
      <c r="V14" s="21" t="s">
        <v>45</v>
      </c>
      <c r="W14" s="24">
        <v>46052</v>
      </c>
      <c r="X14" s="25">
        <f>IF(W14="","",W14+Listas!$L$7)</f>
        <v>46232</v>
      </c>
      <c r="Y14" s="24">
        <v>46295</v>
      </c>
      <c r="Z14" s="26">
        <f t="shared" ca="1" si="1"/>
        <v>169</v>
      </c>
      <c r="AA14" s="26">
        <f t="shared" si="2"/>
        <v>85</v>
      </c>
      <c r="AB14" s="20" t="str">
        <f t="shared" si="3"/>
        <v>Preferente</v>
      </c>
      <c r="AC14" s="27" t="str">
        <f t="shared" ca="1" si="4"/>
        <v>Seguimiento normal</v>
      </c>
      <c r="AD14" s="21" t="s">
        <v>161</v>
      </c>
    </row>
    <row r="15" spans="1:30" ht="24" customHeight="1" x14ac:dyDescent="0.3">
      <c r="A15" s="20" t="str">
        <f t="shared" si="0"/>
        <v>PRV-011</v>
      </c>
      <c r="B15" s="21" t="s">
        <v>162</v>
      </c>
      <c r="C15" s="21" t="s">
        <v>27</v>
      </c>
      <c r="D15" s="21" t="s">
        <v>163</v>
      </c>
      <c r="E15" s="21" t="s">
        <v>18</v>
      </c>
      <c r="F15" s="21" t="s">
        <v>48</v>
      </c>
      <c r="G15" s="21" t="s">
        <v>14</v>
      </c>
      <c r="H15" s="21" t="s">
        <v>164</v>
      </c>
      <c r="I15" s="21" t="s">
        <v>165</v>
      </c>
      <c r="J15" s="21" t="s">
        <v>166</v>
      </c>
      <c r="K15" s="21" t="s">
        <v>167</v>
      </c>
      <c r="L15" s="21" t="s">
        <v>42</v>
      </c>
      <c r="M15" s="21" t="s">
        <v>43</v>
      </c>
      <c r="N15" s="22">
        <v>13200</v>
      </c>
      <c r="O15" s="22">
        <v>500</v>
      </c>
      <c r="P15" s="21" t="s">
        <v>61</v>
      </c>
      <c r="Q15" s="23">
        <v>7</v>
      </c>
      <c r="R15" s="23">
        <v>5</v>
      </c>
      <c r="S15" s="23">
        <v>4</v>
      </c>
      <c r="T15" s="23">
        <v>3</v>
      </c>
      <c r="U15" s="23">
        <v>3</v>
      </c>
      <c r="V15" s="21" t="s">
        <v>45</v>
      </c>
      <c r="W15" s="24">
        <v>45952</v>
      </c>
      <c r="X15" s="25">
        <f>IF(W15="","",W15+Listas!$L$7)</f>
        <v>46132</v>
      </c>
      <c r="Y15" s="24">
        <v>46356</v>
      </c>
      <c r="Z15" s="26">
        <f t="shared" ca="1" si="1"/>
        <v>230</v>
      </c>
      <c r="AA15" s="26">
        <f t="shared" si="2"/>
        <v>79</v>
      </c>
      <c r="AB15" s="20" t="str">
        <f t="shared" si="3"/>
        <v>Homologado</v>
      </c>
      <c r="AC15" s="27" t="str">
        <f t="shared" ca="1" si="4"/>
        <v>Seguimiento normal</v>
      </c>
      <c r="AD15" s="21" t="s">
        <v>168</v>
      </c>
    </row>
    <row r="16" spans="1:30" ht="24" customHeight="1" x14ac:dyDescent="0.3">
      <c r="A16" s="20" t="str">
        <f t="shared" si="0"/>
        <v>PRV-012</v>
      </c>
      <c r="B16" s="21" t="s">
        <v>169</v>
      </c>
      <c r="C16" s="21" t="s">
        <v>20</v>
      </c>
      <c r="D16" s="21" t="s">
        <v>170</v>
      </c>
      <c r="E16" s="21" t="s">
        <v>23</v>
      </c>
      <c r="F16" s="21" t="s">
        <v>41</v>
      </c>
      <c r="G16" s="21" t="s">
        <v>46</v>
      </c>
      <c r="H16" s="21" t="s">
        <v>171</v>
      </c>
      <c r="I16" s="21" t="s">
        <v>172</v>
      </c>
      <c r="J16" s="21" t="s">
        <v>173</v>
      </c>
      <c r="K16" s="21" t="s">
        <v>101</v>
      </c>
      <c r="L16" s="21" t="s">
        <v>42</v>
      </c>
      <c r="M16" s="21" t="s">
        <v>43</v>
      </c>
      <c r="N16" s="22">
        <v>5400</v>
      </c>
      <c r="O16" s="22">
        <v>300</v>
      </c>
      <c r="P16" s="21" t="s">
        <v>57</v>
      </c>
      <c r="Q16" s="23">
        <v>3</v>
      </c>
      <c r="R16" s="23">
        <v>2</v>
      </c>
      <c r="S16" s="23">
        <v>2</v>
      </c>
      <c r="T16" s="23">
        <v>3</v>
      </c>
      <c r="U16" s="23">
        <v>5</v>
      </c>
      <c r="V16" s="21" t="s">
        <v>58</v>
      </c>
      <c r="W16" s="24">
        <v>45905</v>
      </c>
      <c r="X16" s="25">
        <f>IF(W16="","",W16+Listas!$L$7)</f>
        <v>46085</v>
      </c>
      <c r="Y16" s="24">
        <v>46142</v>
      </c>
      <c r="Z16" s="26">
        <f t="shared" ca="1" si="1"/>
        <v>16</v>
      </c>
      <c r="AA16" s="26">
        <f t="shared" si="2"/>
        <v>42</v>
      </c>
      <c r="AB16" s="20" t="str">
        <f t="shared" si="3"/>
        <v>Revisar</v>
      </c>
      <c r="AC16" s="27" t="str">
        <f t="shared" ca="1" si="4"/>
        <v>Mantener bloqueado</v>
      </c>
      <c r="AD16" s="21" t="s">
        <v>174</v>
      </c>
    </row>
    <row r="17" spans="1:30" ht="24" customHeight="1" x14ac:dyDescent="0.3">
      <c r="A17" s="20" t="str">
        <f t="shared" si="0"/>
        <v>PRV-013</v>
      </c>
      <c r="B17" s="21" t="s">
        <v>175</v>
      </c>
      <c r="C17" s="21" t="s">
        <v>66</v>
      </c>
      <c r="D17" s="21" t="s">
        <v>176</v>
      </c>
      <c r="E17" s="21" t="s">
        <v>15</v>
      </c>
      <c r="F17" s="21" t="s">
        <v>55</v>
      </c>
      <c r="G17" s="21" t="s">
        <v>22</v>
      </c>
      <c r="H17" s="21" t="s">
        <v>177</v>
      </c>
      <c r="I17" s="21" t="s">
        <v>178</v>
      </c>
      <c r="J17" s="21" t="s">
        <v>179</v>
      </c>
      <c r="K17" s="21" t="s">
        <v>101</v>
      </c>
      <c r="L17" s="21" t="s">
        <v>42</v>
      </c>
      <c r="M17" s="21" t="s">
        <v>43</v>
      </c>
      <c r="N17" s="22">
        <v>2280</v>
      </c>
      <c r="O17" s="22">
        <v>50</v>
      </c>
      <c r="P17" s="21" t="s">
        <v>57</v>
      </c>
      <c r="Q17" s="23">
        <v>8</v>
      </c>
      <c r="R17" s="23">
        <v>4</v>
      </c>
      <c r="S17" s="23">
        <v>5</v>
      </c>
      <c r="T17" s="23">
        <v>4</v>
      </c>
      <c r="U17" s="23">
        <v>1</v>
      </c>
      <c r="V17" s="21" t="s">
        <v>45</v>
      </c>
      <c r="W17" s="24">
        <v>46067</v>
      </c>
      <c r="X17" s="25">
        <f>IF(W17="","",W17+Listas!$L$7)</f>
        <v>46247</v>
      </c>
      <c r="Y17" s="24">
        <v>46446</v>
      </c>
      <c r="Z17" s="26">
        <f t="shared" ca="1" si="1"/>
        <v>320</v>
      </c>
      <c r="AA17" s="26">
        <f t="shared" si="2"/>
        <v>88</v>
      </c>
      <c r="AB17" s="20" t="str">
        <f t="shared" si="3"/>
        <v>Preferente</v>
      </c>
      <c r="AC17" s="27" t="str">
        <f t="shared" ca="1" si="4"/>
        <v>Seguimiento normal</v>
      </c>
      <c r="AD17" s="21" t="s">
        <v>180</v>
      </c>
    </row>
    <row r="18" spans="1:30" ht="24" customHeight="1" x14ac:dyDescent="0.3">
      <c r="A18" s="20" t="str">
        <f t="shared" si="0"/>
        <v>PRV-014</v>
      </c>
      <c r="B18" s="21" t="s">
        <v>181</v>
      </c>
      <c r="C18" s="21" t="s">
        <v>17</v>
      </c>
      <c r="D18" s="21" t="s">
        <v>182</v>
      </c>
      <c r="E18" s="21" t="s">
        <v>15</v>
      </c>
      <c r="F18" s="21" t="s">
        <v>41</v>
      </c>
      <c r="G18" s="21" t="s">
        <v>17</v>
      </c>
      <c r="H18" s="21" t="s">
        <v>183</v>
      </c>
      <c r="I18" s="21" t="s">
        <v>184</v>
      </c>
      <c r="J18" s="21" t="s">
        <v>185</v>
      </c>
      <c r="K18" s="21" t="s">
        <v>186</v>
      </c>
      <c r="L18" s="21" t="s">
        <v>60</v>
      </c>
      <c r="M18" s="21" t="s">
        <v>50</v>
      </c>
      <c r="N18" s="22">
        <v>9600</v>
      </c>
      <c r="O18" s="22">
        <v>0</v>
      </c>
      <c r="P18" s="21" t="s">
        <v>57</v>
      </c>
      <c r="Q18" s="23">
        <v>0</v>
      </c>
      <c r="R18" s="23">
        <v>5</v>
      </c>
      <c r="S18" s="23">
        <v>5</v>
      </c>
      <c r="T18" s="23">
        <v>3</v>
      </c>
      <c r="U18" s="23">
        <v>2</v>
      </c>
      <c r="V18" s="21" t="s">
        <v>45</v>
      </c>
      <c r="W18" s="24">
        <v>46082</v>
      </c>
      <c r="X18" s="25">
        <f>IF(W18="","",W18+Listas!$L$7)</f>
        <v>46262</v>
      </c>
      <c r="Y18" s="24">
        <v>46326</v>
      </c>
      <c r="Z18" s="26">
        <f t="shared" ca="1" si="1"/>
        <v>200</v>
      </c>
      <c r="AA18" s="26">
        <f t="shared" si="2"/>
        <v>87</v>
      </c>
      <c r="AB18" s="20" t="str">
        <f t="shared" si="3"/>
        <v>Preferente</v>
      </c>
      <c r="AC18" s="27" t="str">
        <f t="shared" ca="1" si="4"/>
        <v>Seguimiento normal</v>
      </c>
      <c r="AD18" s="21" t="s">
        <v>187</v>
      </c>
    </row>
    <row r="19" spans="1:30" ht="24" customHeight="1" x14ac:dyDescent="0.3">
      <c r="A19" s="20" t="str">
        <f t="shared" si="0"/>
        <v>PRV-015</v>
      </c>
      <c r="B19" s="21" t="s">
        <v>188</v>
      </c>
      <c r="C19" s="21" t="s">
        <v>14</v>
      </c>
      <c r="D19" s="21" t="s">
        <v>189</v>
      </c>
      <c r="E19" s="21" t="s">
        <v>15</v>
      </c>
      <c r="F19" s="21" t="s">
        <v>48</v>
      </c>
      <c r="G19" s="21" t="s">
        <v>14</v>
      </c>
      <c r="H19" s="21" t="s">
        <v>190</v>
      </c>
      <c r="I19" s="21" t="s">
        <v>191</v>
      </c>
      <c r="J19" s="21" t="s">
        <v>192</v>
      </c>
      <c r="K19" s="21" t="s">
        <v>193</v>
      </c>
      <c r="L19" s="21" t="s">
        <v>42</v>
      </c>
      <c r="M19" s="21" t="s">
        <v>43</v>
      </c>
      <c r="N19" s="22">
        <v>10150</v>
      </c>
      <c r="O19" s="22">
        <v>250</v>
      </c>
      <c r="P19" s="21" t="s">
        <v>61</v>
      </c>
      <c r="Q19" s="23">
        <v>9</v>
      </c>
      <c r="R19" s="23">
        <v>4</v>
      </c>
      <c r="S19" s="23">
        <v>4</v>
      </c>
      <c r="T19" s="23">
        <v>4</v>
      </c>
      <c r="U19" s="23">
        <v>2</v>
      </c>
      <c r="V19" s="21" t="s">
        <v>45</v>
      </c>
      <c r="W19" s="24">
        <v>46075</v>
      </c>
      <c r="X19" s="25">
        <f>IF(W19="","",W19+Listas!$L$7)</f>
        <v>46255</v>
      </c>
      <c r="Y19" s="24">
        <v>46218</v>
      </c>
      <c r="Z19" s="26">
        <f t="shared" ca="1" si="1"/>
        <v>92</v>
      </c>
      <c r="AA19" s="26">
        <f t="shared" si="2"/>
        <v>80</v>
      </c>
      <c r="AB19" s="20" t="str">
        <f t="shared" si="3"/>
        <v>Homologado</v>
      </c>
      <c r="AC19" s="27" t="str">
        <f t="shared" ca="1" si="4"/>
        <v>Seguimiento normal</v>
      </c>
      <c r="AD19" s="21" t="s">
        <v>194</v>
      </c>
    </row>
    <row r="20" spans="1:30" ht="24" customHeight="1" x14ac:dyDescent="0.3">
      <c r="A20" s="20" t="str">
        <f t="shared" si="0"/>
        <v>PRV-016</v>
      </c>
      <c r="B20" s="21" t="s">
        <v>195</v>
      </c>
      <c r="C20" s="21" t="s">
        <v>14</v>
      </c>
      <c r="D20" s="21" t="s">
        <v>196</v>
      </c>
      <c r="E20" s="21" t="s">
        <v>3</v>
      </c>
      <c r="F20" s="21" t="s">
        <v>48</v>
      </c>
      <c r="G20" s="21" t="s">
        <v>14</v>
      </c>
      <c r="H20" s="21" t="s">
        <v>197</v>
      </c>
      <c r="I20" s="21" t="s">
        <v>198</v>
      </c>
      <c r="J20" s="21" t="s">
        <v>199</v>
      </c>
      <c r="K20" s="21" t="s">
        <v>200</v>
      </c>
      <c r="L20" s="21" t="s">
        <v>42</v>
      </c>
      <c r="M20" s="21" t="s">
        <v>43</v>
      </c>
      <c r="N20" s="22">
        <v>5600</v>
      </c>
      <c r="O20" s="22">
        <v>200</v>
      </c>
      <c r="P20" s="21" t="s">
        <v>57</v>
      </c>
      <c r="Q20" s="23">
        <v>10</v>
      </c>
      <c r="R20" s="23">
        <v>3</v>
      </c>
      <c r="S20" s="23">
        <v>4</v>
      </c>
      <c r="T20" s="23">
        <v>4</v>
      </c>
      <c r="U20" s="23">
        <v>3</v>
      </c>
      <c r="V20" s="21" t="s">
        <v>52</v>
      </c>
      <c r="W20" s="24">
        <v>46091</v>
      </c>
      <c r="X20" s="25">
        <f>IF(W20="","",W20+Listas!$L$7)</f>
        <v>46271</v>
      </c>
      <c r="Y20" s="24">
        <v>46178</v>
      </c>
      <c r="Z20" s="26">
        <f t="shared" ca="1" si="1"/>
        <v>52</v>
      </c>
      <c r="AA20" s="26">
        <f t="shared" si="2"/>
        <v>70</v>
      </c>
      <c r="AB20" s="20" t="str">
        <f t="shared" si="3"/>
        <v>Homologado</v>
      </c>
      <c r="AC20" s="27" t="str">
        <f t="shared" ca="1" si="4"/>
        <v>Completar homologación</v>
      </c>
      <c r="AD20" s="21" t="s">
        <v>201</v>
      </c>
    </row>
    <row r="21" spans="1:30" ht="24" customHeight="1" x14ac:dyDescent="0.3">
      <c r="A21" s="20" t="str">
        <f t="shared" si="0"/>
        <v>PRV-017</v>
      </c>
      <c r="B21" s="21" t="s">
        <v>202</v>
      </c>
      <c r="C21" s="21" t="s">
        <v>20</v>
      </c>
      <c r="D21" s="21" t="s">
        <v>203</v>
      </c>
      <c r="E21" s="21" t="s">
        <v>23</v>
      </c>
      <c r="F21" s="21" t="s">
        <v>48</v>
      </c>
      <c r="G21" s="21" t="s">
        <v>46</v>
      </c>
      <c r="H21" s="21" t="s">
        <v>204</v>
      </c>
      <c r="I21" s="21" t="s">
        <v>205</v>
      </c>
      <c r="J21" s="21" t="s">
        <v>206</v>
      </c>
      <c r="K21" s="21" t="s">
        <v>101</v>
      </c>
      <c r="L21" s="21" t="s">
        <v>42</v>
      </c>
      <c r="M21" s="21" t="s">
        <v>43</v>
      </c>
      <c r="N21" s="22">
        <v>3900</v>
      </c>
      <c r="O21" s="22">
        <v>120</v>
      </c>
      <c r="P21" s="21" t="s">
        <v>51</v>
      </c>
      <c r="Q21" s="23">
        <v>2</v>
      </c>
      <c r="R21" s="23">
        <v>2</v>
      </c>
      <c r="S21" s="23">
        <v>3</v>
      </c>
      <c r="T21" s="23">
        <v>3</v>
      </c>
      <c r="U21" s="23">
        <v>4</v>
      </c>
      <c r="V21" s="21" t="s">
        <v>58</v>
      </c>
      <c r="W21" s="24">
        <v>45887</v>
      </c>
      <c r="X21" s="25">
        <f>IF(W21="","",W21+Listas!$L$7)</f>
        <v>46067</v>
      </c>
      <c r="Y21" s="24">
        <v>46112</v>
      </c>
      <c r="Z21" s="26">
        <f t="shared" ca="1" si="1"/>
        <v>-14</v>
      </c>
      <c r="AA21" s="26">
        <f t="shared" si="2"/>
        <v>50</v>
      </c>
      <c r="AB21" s="20" t="str">
        <f t="shared" si="3"/>
        <v>Revisar</v>
      </c>
      <c r="AC21" s="27" t="str">
        <f t="shared" ca="1" si="4"/>
        <v>Mantener bloqueado</v>
      </c>
      <c r="AD21" s="21" t="s">
        <v>207</v>
      </c>
    </row>
    <row r="22" spans="1:30" ht="24" customHeight="1" x14ac:dyDescent="0.3">
      <c r="A22" s="20" t="str">
        <f t="shared" si="0"/>
        <v>PRV-018</v>
      </c>
      <c r="B22" s="21" t="s">
        <v>208</v>
      </c>
      <c r="C22" s="21" t="s">
        <v>25</v>
      </c>
      <c r="D22" s="21" t="s">
        <v>209</v>
      </c>
      <c r="E22" s="21" t="s">
        <v>15</v>
      </c>
      <c r="F22" s="21" t="s">
        <v>48</v>
      </c>
      <c r="G22" s="21" t="s">
        <v>22</v>
      </c>
      <c r="H22" s="21" t="s">
        <v>210</v>
      </c>
      <c r="I22" s="21" t="s">
        <v>211</v>
      </c>
      <c r="J22" s="21" t="s">
        <v>212</v>
      </c>
      <c r="K22" s="21" t="s">
        <v>213</v>
      </c>
      <c r="L22" s="21" t="s">
        <v>42</v>
      </c>
      <c r="M22" s="21" t="s">
        <v>43</v>
      </c>
      <c r="N22" s="22">
        <v>3180</v>
      </c>
      <c r="O22" s="22">
        <v>0</v>
      </c>
      <c r="P22" s="21" t="s">
        <v>57</v>
      </c>
      <c r="Q22" s="23">
        <v>6</v>
      </c>
      <c r="R22" s="23">
        <v>4</v>
      </c>
      <c r="S22" s="23">
        <v>5</v>
      </c>
      <c r="T22" s="23">
        <v>4</v>
      </c>
      <c r="U22" s="23">
        <v>2</v>
      </c>
      <c r="V22" s="21" t="s">
        <v>45</v>
      </c>
      <c r="W22" s="24">
        <v>46034</v>
      </c>
      <c r="X22" s="25">
        <f>IF(W22="","",W22+Listas!$L$7)</f>
        <v>46214</v>
      </c>
      <c r="Y22" s="24">
        <v>46280</v>
      </c>
      <c r="Z22" s="26">
        <f t="shared" ca="1" si="1"/>
        <v>154</v>
      </c>
      <c r="AA22" s="26">
        <f t="shared" si="2"/>
        <v>85</v>
      </c>
      <c r="AB22" s="20" t="str">
        <f t="shared" si="3"/>
        <v>Preferente</v>
      </c>
      <c r="AC22" s="27" t="str">
        <f t="shared" ca="1" si="4"/>
        <v>Seguimiento normal</v>
      </c>
      <c r="AD22" s="21" t="s">
        <v>214</v>
      </c>
    </row>
  </sheetData>
  <mergeCells count="2">
    <mergeCell ref="A2:AD2"/>
    <mergeCell ref="A1:AD1"/>
  </mergeCells>
  <conditionalFormatting sqref="E5:E22">
    <cfRule type="expression" dxfId="7" priority="1">
      <formula>$E5="Activo"</formula>
    </cfRule>
    <cfRule type="expression" dxfId="6" priority="3">
      <formula>$E5="Alternativo"</formula>
    </cfRule>
    <cfRule type="expression" dxfId="5" priority="4">
      <formula>$E5="Homologación"</formula>
    </cfRule>
    <cfRule type="expression" dxfId="4" priority="5">
      <formula>$E5="Bloqueado"</formula>
    </cfRule>
  </conditionalFormatting>
  <conditionalFormatting sqref="U5:U22">
    <cfRule type="colorScale" priority="11">
      <colorScale>
        <cfvo type="num" val="1"/>
        <cfvo type="num" val="3"/>
        <cfvo type="num" val="5"/>
        <color rgb="FF63BE7B"/>
        <color rgb="FFFFEB84"/>
        <color rgb="FFF8696B"/>
      </colorScale>
    </cfRule>
  </conditionalFormatting>
  <conditionalFormatting sqref="V5:V22">
    <cfRule type="expression" dxfId="3" priority="6">
      <formula>$V5="Vencida"</formula>
    </cfRule>
  </conditionalFormatting>
  <conditionalFormatting sqref="Z5:Z22">
    <cfRule type="cellIs" dxfId="2" priority="7" operator="lessThan">
      <formula>0</formula>
    </cfRule>
    <cfRule type="cellIs" dxfId="1" priority="8" operator="between">
      <formula>0</formula>
      <formula>30</formula>
    </cfRule>
    <cfRule type="cellIs" dxfId="0" priority="9" operator="between">
      <formula>31</formula>
      <formula>60</formula>
    </cfRule>
  </conditionalFormatting>
  <conditionalFormatting sqref="AA5:AA22">
    <cfRule type="colorScale" priority="10">
      <colorScale>
        <cfvo type="num" val="50"/>
        <cfvo type="num" val="75"/>
        <cfvo type="num" val="100"/>
        <color rgb="FFF8696B"/>
        <color rgb="FFFFEB84"/>
        <color rgb="FF63BE7B"/>
      </colorScale>
    </cfRule>
  </conditionalFormatting>
  <dataValidations count="11">
    <dataValidation type="list" allowBlank="1" sqref="C5:C200" xr:uid="{00000000-0002-0000-0200-000000000000}">
      <formula1>CategoriasLista</formula1>
    </dataValidation>
    <dataValidation type="list" allowBlank="1" sqref="E5:E200" xr:uid="{00000000-0002-0000-0200-000001000000}">
      <formula1>EstadosLista</formula1>
    </dataValidation>
    <dataValidation type="list" allowBlank="1" sqref="F5:F200" xr:uid="{00000000-0002-0000-0200-000002000000}">
      <formula1>CriticidadLista</formula1>
    </dataValidation>
    <dataValidation type="list" allowBlank="1" sqref="G5:G200" xr:uid="{00000000-0002-0000-0200-000003000000}">
      <formula1>ResponsablesLista</formula1>
    </dataValidation>
    <dataValidation type="list" allowBlank="1" sqref="L5:L200" xr:uid="{00000000-0002-0000-0200-000004000000}">
      <formula1>PaisesLista</formula1>
    </dataValidation>
    <dataValidation type="list" allowBlank="1" sqref="M5:M200" xr:uid="{00000000-0002-0000-0200-000005000000}">
      <formula1>MonedasLista</formula1>
    </dataValidation>
    <dataValidation type="list" allowBlank="1" sqref="P5:P200" xr:uid="{00000000-0002-0000-0200-000006000000}">
      <formula1>PagosLista</formula1>
    </dataValidation>
    <dataValidation type="list" allowBlank="1" sqref="R5:U200" xr:uid="{00000000-0002-0000-0200-000007000000}">
      <formula1>RatingsLista</formula1>
    </dataValidation>
    <dataValidation type="list" allowBlank="1" sqref="V5:V200" xr:uid="{00000000-0002-0000-0200-000008000000}">
      <formula1>DocsLista</formula1>
    </dataValidation>
    <dataValidation type="whole" sqref="Q5:Q200" xr:uid="{00000000-0002-0000-0200-000009000000}">
      <formula1>0</formula1>
      <formula2>365</formula2>
    </dataValidation>
    <dataValidation type="decimal" operator="greaterThanOrEqual" sqref="N5:O200" xr:uid="{00000000-0002-0000-0200-00000A000000}">
      <formula1>0</formula1>
    </dataValidation>
  </dataValidations>
  <pageMargins left="0.7" right="0.7" top="0.75" bottom="0.75" header="0.3" footer="0.3"/>
  <drawing r:id="rId1"/>
  <legacy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1"/>
  <sheetViews>
    <sheetView showGridLines="0" workbookViewId="0"/>
  </sheetViews>
  <sheetFormatPr baseColWidth="10" defaultColWidth="8.88671875" defaultRowHeight="14.4" x14ac:dyDescent="0.3"/>
  <cols>
    <col min="1" max="1" width="5" customWidth="1"/>
    <col min="2" max="2" width="24" customWidth="1"/>
    <col min="3" max="3" width="10" customWidth="1"/>
    <col min="4" max="11" width="12" customWidth="1"/>
  </cols>
  <sheetData>
    <row r="1" spans="1:11" ht="21" x14ac:dyDescent="0.4">
      <c r="A1" s="41" t="s">
        <v>215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x14ac:dyDescent="0.3">
      <c r="A2" s="40" t="s">
        <v>216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4" spans="1:11" ht="57.6" x14ac:dyDescent="0.3">
      <c r="B4" s="28" t="s">
        <v>217</v>
      </c>
      <c r="C4" s="29" t="s">
        <v>218</v>
      </c>
      <c r="D4" s="30"/>
      <c r="E4" s="30"/>
      <c r="F4" s="28" t="s">
        <v>219</v>
      </c>
      <c r="G4" s="31">
        <f>Listas!$L$8</f>
        <v>0.21</v>
      </c>
      <c r="H4" s="30"/>
      <c r="I4" s="28" t="s">
        <v>80</v>
      </c>
      <c r="J4" s="29" t="s">
        <v>43</v>
      </c>
      <c r="K4" s="30"/>
    </row>
    <row r="5" spans="1:11" x14ac:dyDescent="0.3">
      <c r="B5" s="30"/>
      <c r="C5" s="30"/>
      <c r="D5" s="46" t="s">
        <v>220</v>
      </c>
      <c r="E5" s="39"/>
      <c r="F5" s="46" t="s">
        <v>221</v>
      </c>
      <c r="G5" s="39"/>
      <c r="H5" s="46" t="s">
        <v>222</v>
      </c>
      <c r="I5" s="39"/>
      <c r="J5" s="46" t="s">
        <v>223</v>
      </c>
      <c r="K5" s="39"/>
    </row>
    <row r="6" spans="1:11" x14ac:dyDescent="0.3">
      <c r="B6" s="30"/>
      <c r="C6" s="30"/>
      <c r="D6" s="49" t="s">
        <v>155</v>
      </c>
      <c r="E6" s="39"/>
      <c r="F6" s="49" t="s">
        <v>117</v>
      </c>
      <c r="G6" s="39"/>
      <c r="H6" s="49" t="s">
        <v>188</v>
      </c>
      <c r="I6" s="39"/>
      <c r="J6" s="49" t="s">
        <v>195</v>
      </c>
      <c r="K6" s="39"/>
    </row>
    <row r="7" spans="1:11" x14ac:dyDescent="0.3">
      <c r="B7" s="30" t="s">
        <v>224</v>
      </c>
      <c r="C7" s="30"/>
      <c r="D7" s="45">
        <f>IFERROR(INDEX(Base_Proveedores!$Q$5:$Q$200,MATCH(D6,Base_Proveedores!$B$5:$B$200,0)),"")</f>
        <v>4</v>
      </c>
      <c r="E7" s="39"/>
      <c r="F7" s="45">
        <f>IFERROR(INDEX(Base_Proveedores!$Q$5:$Q$200,MATCH(F6,Base_Proveedores!$B$5:$B$200,0)),"")</f>
        <v>6</v>
      </c>
      <c r="G7" s="39"/>
      <c r="H7" s="45">
        <f>IFERROR(INDEX(Base_Proveedores!$Q$5:$Q$200,MATCH(H6,Base_Proveedores!$B$5:$B$200,0)),"")</f>
        <v>9</v>
      </c>
      <c r="I7" s="39"/>
      <c r="J7" s="45">
        <f>IFERROR(INDEX(Base_Proveedores!$Q$5:$Q$200,MATCH(J6,Base_Proveedores!$B$5:$B$200,0)),"")</f>
        <v>10</v>
      </c>
      <c r="K7" s="39"/>
    </row>
    <row r="8" spans="1:11" x14ac:dyDescent="0.3">
      <c r="B8" s="30" t="s">
        <v>82</v>
      </c>
      <c r="C8" s="30"/>
      <c r="D8" s="45" t="str">
        <f>IFERROR(INDEX(Base_Proveedores!$P$5:$P$200,MATCH(D6,Base_Proveedores!$B$5:$B$200,0)),"")</f>
        <v>30 días</v>
      </c>
      <c r="E8" s="39"/>
      <c r="F8" s="45" t="str">
        <f>IFERROR(INDEX(Base_Proveedores!$P$5:$P$200,MATCH(F6,Base_Proveedores!$B$5:$B$200,0)),"")</f>
        <v>30 días</v>
      </c>
      <c r="G8" s="39"/>
      <c r="H8" s="45" t="str">
        <f>IFERROR(INDEX(Base_Proveedores!$P$5:$P$200,MATCH(H6,Base_Proveedores!$B$5:$B$200,0)),"")</f>
        <v>45 días</v>
      </c>
      <c r="I8" s="39"/>
      <c r="J8" s="45" t="str">
        <f>IFERROR(INDEX(Base_Proveedores!$P$5:$P$200,MATCH(J6,Base_Proveedores!$B$5:$B$200,0)),"")</f>
        <v>30 días</v>
      </c>
      <c r="K8" s="39"/>
    </row>
    <row r="9" spans="1:11" x14ac:dyDescent="0.3">
      <c r="B9" s="30" t="s">
        <v>225</v>
      </c>
      <c r="C9" s="30"/>
      <c r="D9" s="45">
        <f>IF(D7="","",ROUND(MIN($D$7,$F$7,$H$7,$J$7)/D7*5,2))</f>
        <v>5</v>
      </c>
      <c r="E9" s="39"/>
      <c r="F9" s="45">
        <f>IF(F7="","",ROUND(MIN($D$7,$F$7,$H$7,$J$7)/F7*5,2))</f>
        <v>3.33</v>
      </c>
      <c r="G9" s="39"/>
      <c r="H9" s="45">
        <f>IF(H7="","",ROUND(MIN($D$7,$F$7,$H$7,$J$7)/H7*5,2))</f>
        <v>2.2200000000000002</v>
      </c>
      <c r="I9" s="39"/>
      <c r="J9" s="45">
        <f>IF(J7="","",ROUND(MIN($D$7,$F$7,$H$7,$J$7)/J7*5,2))</f>
        <v>2</v>
      </c>
      <c r="K9" s="39"/>
    </row>
    <row r="10" spans="1:11" x14ac:dyDescent="0.3">
      <c r="B10" s="30"/>
      <c r="C10" s="30"/>
      <c r="D10" s="30"/>
      <c r="E10" s="30"/>
      <c r="F10" s="30"/>
      <c r="G10" s="30"/>
      <c r="H10" s="30"/>
      <c r="I10" s="30"/>
      <c r="J10" s="30"/>
      <c r="K10" s="30"/>
    </row>
    <row r="11" spans="1:11" ht="22.05" customHeight="1" x14ac:dyDescent="0.3">
      <c r="B11" s="32" t="s">
        <v>226</v>
      </c>
      <c r="C11" s="32" t="s">
        <v>227</v>
      </c>
      <c r="D11" s="32" t="s">
        <v>228</v>
      </c>
      <c r="E11" s="32" t="s">
        <v>229</v>
      </c>
      <c r="F11" s="32" t="s">
        <v>228</v>
      </c>
      <c r="G11" s="32" t="s">
        <v>229</v>
      </c>
      <c r="H11" s="32" t="s">
        <v>228</v>
      </c>
      <c r="I11" s="32" t="s">
        <v>229</v>
      </c>
      <c r="J11" s="32" t="s">
        <v>228</v>
      </c>
      <c r="K11" s="32" t="s">
        <v>229</v>
      </c>
    </row>
    <row r="12" spans="1:11" ht="22.05" customHeight="1" x14ac:dyDescent="0.3">
      <c r="B12" s="33" t="s">
        <v>230</v>
      </c>
      <c r="C12" s="34">
        <v>60</v>
      </c>
      <c r="D12" s="35">
        <v>2.1</v>
      </c>
      <c r="E12" s="36">
        <f t="shared" ref="E12:E17" si="0">D12*$C12</f>
        <v>126</v>
      </c>
      <c r="F12" s="35">
        <v>2.4500000000000002</v>
      </c>
      <c r="G12" s="36">
        <f t="shared" ref="G12:G17" si="1">F12*$C12</f>
        <v>147</v>
      </c>
      <c r="H12" s="35">
        <v>1.95</v>
      </c>
      <c r="I12" s="36">
        <f t="shared" ref="I12:I17" si="2">H12*$C12</f>
        <v>117</v>
      </c>
      <c r="J12" s="35">
        <v>2.2999999999999998</v>
      </c>
      <c r="K12" s="36">
        <f t="shared" ref="K12:K17" si="3">J12*$C12</f>
        <v>138</v>
      </c>
    </row>
    <row r="13" spans="1:11" ht="22.05" customHeight="1" x14ac:dyDescent="0.3">
      <c r="B13" s="33" t="s">
        <v>231</v>
      </c>
      <c r="C13" s="34">
        <v>60</v>
      </c>
      <c r="D13" s="35">
        <v>6.4</v>
      </c>
      <c r="E13" s="36">
        <f t="shared" si="0"/>
        <v>384</v>
      </c>
      <c r="F13" s="35">
        <v>6.1</v>
      </c>
      <c r="G13" s="36">
        <f t="shared" si="1"/>
        <v>366</v>
      </c>
      <c r="H13" s="35">
        <v>6.8</v>
      </c>
      <c r="I13" s="36">
        <f t="shared" si="2"/>
        <v>408</v>
      </c>
      <c r="J13" s="35">
        <v>5.95</v>
      </c>
      <c r="K13" s="36">
        <f t="shared" si="3"/>
        <v>357</v>
      </c>
    </row>
    <row r="14" spans="1:11" ht="22.05" customHeight="1" x14ac:dyDescent="0.3">
      <c r="B14" s="33" t="s">
        <v>232</v>
      </c>
      <c r="C14" s="34">
        <v>60</v>
      </c>
      <c r="D14" s="35">
        <v>1.6</v>
      </c>
      <c r="E14" s="36">
        <f t="shared" si="0"/>
        <v>96</v>
      </c>
      <c r="F14" s="35">
        <v>1.85</v>
      </c>
      <c r="G14" s="36">
        <f t="shared" si="1"/>
        <v>111</v>
      </c>
      <c r="H14" s="35">
        <v>1.75</v>
      </c>
      <c r="I14" s="36">
        <f t="shared" si="2"/>
        <v>105</v>
      </c>
      <c r="J14" s="35">
        <v>1.9</v>
      </c>
      <c r="K14" s="36">
        <f t="shared" si="3"/>
        <v>114</v>
      </c>
    </row>
    <row r="15" spans="1:11" ht="22.05" customHeight="1" x14ac:dyDescent="0.3">
      <c r="B15" s="33" t="s">
        <v>233</v>
      </c>
      <c r="C15" s="34">
        <v>60</v>
      </c>
      <c r="D15" s="35">
        <v>2.85</v>
      </c>
      <c r="E15" s="36">
        <f t="shared" si="0"/>
        <v>171</v>
      </c>
      <c r="F15" s="35">
        <v>2.6</v>
      </c>
      <c r="G15" s="36">
        <f t="shared" si="1"/>
        <v>156</v>
      </c>
      <c r="H15" s="35">
        <v>2.95</v>
      </c>
      <c r="I15" s="36">
        <f t="shared" si="2"/>
        <v>177</v>
      </c>
      <c r="J15" s="35">
        <v>2.75</v>
      </c>
      <c r="K15" s="36">
        <f t="shared" si="3"/>
        <v>165</v>
      </c>
    </row>
    <row r="16" spans="1:11" ht="22.05" customHeight="1" x14ac:dyDescent="0.3">
      <c r="B16" s="33" t="s">
        <v>234</v>
      </c>
      <c r="C16" s="34">
        <v>120</v>
      </c>
      <c r="D16" s="35">
        <v>0.22</v>
      </c>
      <c r="E16" s="36">
        <f t="shared" si="0"/>
        <v>26.4</v>
      </c>
      <c r="F16" s="35">
        <v>0.25</v>
      </c>
      <c r="G16" s="36">
        <f t="shared" si="1"/>
        <v>30</v>
      </c>
      <c r="H16" s="35">
        <v>0.2</v>
      </c>
      <c r="I16" s="36">
        <f t="shared" si="2"/>
        <v>24</v>
      </c>
      <c r="J16" s="35">
        <v>0.24</v>
      </c>
      <c r="K16" s="36">
        <f t="shared" si="3"/>
        <v>28.799999999999997</v>
      </c>
    </row>
    <row r="17" spans="2:11" ht="22.05" customHeight="1" x14ac:dyDescent="0.3">
      <c r="B17" s="33" t="s">
        <v>235</v>
      </c>
      <c r="C17" s="34">
        <v>60</v>
      </c>
      <c r="D17" s="35">
        <v>1.1000000000000001</v>
      </c>
      <c r="E17" s="36">
        <f t="shared" si="0"/>
        <v>66</v>
      </c>
      <c r="F17" s="35">
        <v>1.35</v>
      </c>
      <c r="G17" s="36">
        <f t="shared" si="1"/>
        <v>81</v>
      </c>
      <c r="H17" s="35">
        <v>1.05</v>
      </c>
      <c r="I17" s="36">
        <f t="shared" si="2"/>
        <v>63</v>
      </c>
      <c r="J17" s="35">
        <v>1.2</v>
      </c>
      <c r="K17" s="36">
        <f t="shared" si="3"/>
        <v>72</v>
      </c>
    </row>
    <row r="18" spans="2:11" ht="22.05" customHeight="1" x14ac:dyDescent="0.3">
      <c r="B18" s="33"/>
      <c r="C18" s="33"/>
      <c r="D18" s="33"/>
      <c r="E18" s="33"/>
      <c r="F18" s="33"/>
      <c r="G18" s="33"/>
      <c r="H18" s="33"/>
      <c r="I18" s="33"/>
      <c r="J18" s="33"/>
      <c r="K18" s="33"/>
    </row>
    <row r="19" spans="2:11" ht="22.05" customHeight="1" x14ac:dyDescent="0.3">
      <c r="B19" s="37" t="s">
        <v>236</v>
      </c>
      <c r="C19" s="37"/>
      <c r="D19" s="47">
        <f>SUM(E12:E17)</f>
        <v>869.4</v>
      </c>
      <c r="E19" s="44"/>
      <c r="F19" s="47">
        <f>SUM(G12:G17)</f>
        <v>891</v>
      </c>
      <c r="G19" s="44"/>
      <c r="H19" s="47">
        <f>SUM(I12:I17)</f>
        <v>894</v>
      </c>
      <c r="I19" s="44"/>
      <c r="J19" s="47">
        <f>SUM(K12:K17)</f>
        <v>874.8</v>
      </c>
      <c r="K19" s="44"/>
    </row>
    <row r="20" spans="2:11" ht="22.05" customHeight="1" x14ac:dyDescent="0.3">
      <c r="B20" s="37" t="s">
        <v>237</v>
      </c>
      <c r="C20" s="33"/>
      <c r="D20" s="43">
        <v>18</v>
      </c>
      <c r="E20" s="44"/>
      <c r="F20" s="43">
        <v>22</v>
      </c>
      <c r="G20" s="44"/>
      <c r="H20" s="43">
        <v>20</v>
      </c>
      <c r="I20" s="44"/>
      <c r="J20" s="43">
        <v>26</v>
      </c>
      <c r="K20" s="44"/>
    </row>
    <row r="21" spans="2:11" ht="22.05" customHeight="1" x14ac:dyDescent="0.3">
      <c r="B21" s="37" t="s">
        <v>238</v>
      </c>
      <c r="C21" s="33"/>
      <c r="D21" s="43">
        <v>25</v>
      </c>
      <c r="E21" s="44"/>
      <c r="F21" s="43">
        <v>0</v>
      </c>
      <c r="G21" s="44"/>
      <c r="H21" s="43">
        <v>35</v>
      </c>
      <c r="I21" s="44"/>
      <c r="J21" s="43">
        <v>15</v>
      </c>
      <c r="K21" s="44"/>
    </row>
    <row r="22" spans="2:11" ht="22.05" customHeight="1" x14ac:dyDescent="0.3">
      <c r="B22" s="37" t="s">
        <v>239</v>
      </c>
      <c r="C22" s="37"/>
      <c r="D22" s="47">
        <f>D19+D20-D21</f>
        <v>862.4</v>
      </c>
      <c r="E22" s="44"/>
      <c r="F22" s="47">
        <f>F19+F20-F21</f>
        <v>913</v>
      </c>
      <c r="G22" s="44"/>
      <c r="H22" s="47">
        <f>H19+H20-H21</f>
        <v>879</v>
      </c>
      <c r="I22" s="44"/>
      <c r="J22" s="47">
        <f>J19+J20-J21</f>
        <v>885.8</v>
      </c>
      <c r="K22" s="44"/>
    </row>
    <row r="23" spans="2:11" ht="22.05" customHeight="1" x14ac:dyDescent="0.3">
      <c r="B23" s="37" t="s">
        <v>219</v>
      </c>
      <c r="C23" s="33"/>
      <c r="D23" s="51">
        <f>D22*$G$4</f>
        <v>181.10399999999998</v>
      </c>
      <c r="E23" s="44"/>
      <c r="F23" s="51">
        <f>F22*$G$4</f>
        <v>191.73</v>
      </c>
      <c r="G23" s="44"/>
      <c r="H23" s="51">
        <f>H22*$G$4</f>
        <v>184.59</v>
      </c>
      <c r="I23" s="44"/>
      <c r="J23" s="51">
        <f>J22*$G$4</f>
        <v>186.01799999999997</v>
      </c>
      <c r="K23" s="44"/>
    </row>
    <row r="24" spans="2:11" ht="22.05" customHeight="1" x14ac:dyDescent="0.3">
      <c r="B24" s="37" t="s">
        <v>240</v>
      </c>
      <c r="C24" s="37"/>
      <c r="D24" s="47">
        <f>D22+D23</f>
        <v>1043.5039999999999</v>
      </c>
      <c r="E24" s="44"/>
      <c r="F24" s="47">
        <f>F22+F23</f>
        <v>1104.73</v>
      </c>
      <c r="G24" s="44"/>
      <c r="H24" s="47">
        <f>H22+H23</f>
        <v>1063.5899999999999</v>
      </c>
      <c r="I24" s="44"/>
      <c r="J24" s="47">
        <f>J22+J23</f>
        <v>1071.818</v>
      </c>
      <c r="K24" s="44"/>
    </row>
    <row r="25" spans="2:11" ht="22.05" customHeight="1" x14ac:dyDescent="0.3"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2:11" ht="22.05" customHeight="1" x14ac:dyDescent="0.3">
      <c r="B26" s="30"/>
      <c r="C26" s="30"/>
      <c r="D26" s="30"/>
      <c r="E26" s="30"/>
      <c r="F26" s="30"/>
      <c r="G26" s="30"/>
      <c r="H26" s="30"/>
      <c r="I26" s="30"/>
      <c r="J26" s="30"/>
      <c r="K26" s="30"/>
    </row>
    <row r="27" spans="2:11" ht="22.05" customHeight="1" x14ac:dyDescent="0.3">
      <c r="B27" s="28" t="s">
        <v>241</v>
      </c>
      <c r="C27" s="30"/>
      <c r="D27" s="49">
        <v>4</v>
      </c>
      <c r="E27" s="39"/>
      <c r="F27" s="49">
        <v>5</v>
      </c>
      <c r="G27" s="39"/>
      <c r="H27" s="49">
        <v>4</v>
      </c>
      <c r="I27" s="39"/>
      <c r="J27" s="49">
        <v>3</v>
      </c>
      <c r="K27" s="39"/>
    </row>
    <row r="28" spans="2:11" ht="22.05" customHeight="1" x14ac:dyDescent="0.3">
      <c r="B28" s="28" t="s">
        <v>242</v>
      </c>
      <c r="C28" s="30"/>
      <c r="D28" s="49">
        <v>4</v>
      </c>
      <c r="E28" s="39"/>
      <c r="F28" s="49">
        <v>4</v>
      </c>
      <c r="G28" s="39"/>
      <c r="H28" s="49">
        <v>5</v>
      </c>
      <c r="I28" s="39"/>
      <c r="J28" s="49">
        <v>3</v>
      </c>
      <c r="K28" s="39"/>
    </row>
    <row r="29" spans="2:11" ht="22.05" customHeight="1" x14ac:dyDescent="0.3">
      <c r="B29" s="28" t="s">
        <v>243</v>
      </c>
      <c r="C29" s="30"/>
      <c r="D29" s="45">
        <f>IF(D24="","",ROUND(MIN($D$24,$F$24,$H$24,$J$24)/D24*5,2))</f>
        <v>5</v>
      </c>
      <c r="E29" s="39"/>
      <c r="F29" s="45">
        <f>IF(F24="","",ROUND(MIN($D$24,$F$24,$H$24,$J$24)/F24*5,2))</f>
        <v>4.72</v>
      </c>
      <c r="G29" s="39"/>
      <c r="H29" s="45">
        <f>IF(H24="","",ROUND(MIN($D$24,$F$24,$H$24,$J$24)/H24*5,2))</f>
        <v>4.91</v>
      </c>
      <c r="I29" s="39"/>
      <c r="J29" s="45">
        <f>IF(J24="","",ROUND(MIN($D$24,$F$24,$H$24,$J$24)/J24*5,2))</f>
        <v>4.87</v>
      </c>
      <c r="K29" s="39"/>
    </row>
    <row r="30" spans="2:11" ht="22.05" customHeight="1" x14ac:dyDescent="0.3">
      <c r="B30" s="28" t="s">
        <v>92</v>
      </c>
      <c r="C30" s="28"/>
      <c r="D30" s="50">
        <f>ROUND(D29*Listas!$L$2+D27*Listas!$L$3+D28*Listas!$L$4+D9*Listas!$L$5,2)</f>
        <v>4.55</v>
      </c>
      <c r="E30" s="39"/>
      <c r="F30" s="50">
        <f>ROUND(F29*Listas!$L$2+F27*Listas!$L$3+F28*Listas!$L$4+F9*Listas!$L$5,2)</f>
        <v>4.4400000000000004</v>
      </c>
      <c r="G30" s="39"/>
      <c r="H30" s="50">
        <f>ROUND(H29*Listas!$L$2+H27*Listas!$L$3+H28*Listas!$L$4+H9*Listas!$L$5,2)</f>
        <v>4.3</v>
      </c>
      <c r="I30" s="39"/>
      <c r="J30" s="50">
        <f>ROUND(J29*Listas!$L$2+J27*Listas!$L$3+J28*Listas!$L$4+J9*Listas!$L$5,2)</f>
        <v>3.6</v>
      </c>
      <c r="K30" s="39"/>
    </row>
    <row r="31" spans="2:11" x14ac:dyDescent="0.3">
      <c r="B31" s="28" t="s">
        <v>244</v>
      </c>
      <c r="C31" s="48" t="str">
        <f>CHOOSE(MATCH(MAX(D30,F30,H30,J30),CHOOSE({1,2,3,4},D30,F30,H30,J30),0),D6,F6,H6,J6)</f>
        <v>EcoPack Papelería</v>
      </c>
      <c r="D31" s="39"/>
      <c r="E31" s="39"/>
      <c r="F31" s="30"/>
      <c r="G31" s="52" t="s">
        <v>245</v>
      </c>
      <c r="H31" s="39"/>
      <c r="I31" s="39"/>
      <c r="J31" s="39"/>
      <c r="K31" s="39"/>
    </row>
  </sheetData>
  <mergeCells count="64">
    <mergeCell ref="G31:K31"/>
    <mergeCell ref="J8:K8"/>
    <mergeCell ref="H30:I30"/>
    <mergeCell ref="A2:K2"/>
    <mergeCell ref="D28:E28"/>
    <mergeCell ref="H19:I19"/>
    <mergeCell ref="F22:G22"/>
    <mergeCell ref="F28:G28"/>
    <mergeCell ref="H22:I22"/>
    <mergeCell ref="H28:I28"/>
    <mergeCell ref="J22:K22"/>
    <mergeCell ref="D9:E9"/>
    <mergeCell ref="F27:G27"/>
    <mergeCell ref="F9:G9"/>
    <mergeCell ref="H27:I27"/>
    <mergeCell ref="D8:E8"/>
    <mergeCell ref="J21:K21"/>
    <mergeCell ref="D24:E24"/>
    <mergeCell ref="H24:I24"/>
    <mergeCell ref="A1:K1"/>
    <mergeCell ref="H9:I9"/>
    <mergeCell ref="F7:G7"/>
    <mergeCell ref="J9:K9"/>
    <mergeCell ref="D21:E21"/>
    <mergeCell ref="D6:E6"/>
    <mergeCell ref="F21:G21"/>
    <mergeCell ref="H21:I21"/>
    <mergeCell ref="H6:I6"/>
    <mergeCell ref="J6:K6"/>
    <mergeCell ref="F5:G5"/>
    <mergeCell ref="F20:G20"/>
    <mergeCell ref="F8:G8"/>
    <mergeCell ref="J20:K20"/>
    <mergeCell ref="D7:E7"/>
    <mergeCell ref="H7:I7"/>
    <mergeCell ref="C31:E31"/>
    <mergeCell ref="F19:G19"/>
    <mergeCell ref="J19:K19"/>
    <mergeCell ref="F6:G6"/>
    <mergeCell ref="D22:E22"/>
    <mergeCell ref="J28:K28"/>
    <mergeCell ref="J30:K30"/>
    <mergeCell ref="F24:G24"/>
    <mergeCell ref="F30:G30"/>
    <mergeCell ref="J23:K23"/>
    <mergeCell ref="J24:K24"/>
    <mergeCell ref="D27:E27"/>
    <mergeCell ref="J27:K27"/>
    <mergeCell ref="J7:K7"/>
    <mergeCell ref="F23:G23"/>
    <mergeCell ref="D30:E30"/>
    <mergeCell ref="D20:E20"/>
    <mergeCell ref="H20:I20"/>
    <mergeCell ref="J29:K29"/>
    <mergeCell ref="J5:K5"/>
    <mergeCell ref="F29:G29"/>
    <mergeCell ref="D19:E19"/>
    <mergeCell ref="H29:I29"/>
    <mergeCell ref="D29:E29"/>
    <mergeCell ref="D5:E5"/>
    <mergeCell ref="D23:E23"/>
    <mergeCell ref="H5:I5"/>
    <mergeCell ref="H23:I23"/>
    <mergeCell ref="H8:I8"/>
  </mergeCells>
  <conditionalFormatting sqref="D24:J24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30:J3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2">
    <dataValidation type="list" allowBlank="1" sqref="D6 F6 H6 J6" xr:uid="{00000000-0002-0000-0300-000000000000}">
      <formula1>ProveedoresLista</formula1>
    </dataValidation>
    <dataValidation type="list" allowBlank="1" sqref="D27 D28 F27 F28 H27 H28 J27 J28" xr:uid="{00000000-0002-0000-0300-000001000000}">
      <formula1>RatingsLista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10</vt:i4>
      </vt:variant>
    </vt:vector>
  </HeadingPairs>
  <TitlesOfParts>
    <vt:vector size="14" baseType="lpstr">
      <vt:lpstr>Inicio</vt:lpstr>
      <vt:lpstr>Listas</vt:lpstr>
      <vt:lpstr>Base_Proveedores</vt:lpstr>
      <vt:lpstr>Comparador</vt:lpstr>
      <vt:lpstr>CategoriasLista</vt:lpstr>
      <vt:lpstr>CriticidadLista</vt:lpstr>
      <vt:lpstr>DocsLista</vt:lpstr>
      <vt:lpstr>EstadosLista</vt:lpstr>
      <vt:lpstr>MonedasLista</vt:lpstr>
      <vt:lpstr>PagosLista</vt:lpstr>
      <vt:lpstr>PaisesLista</vt:lpstr>
      <vt:lpstr>ProveedoresLista</vt:lpstr>
      <vt:lpstr>RatingsLista</vt:lpstr>
      <vt:lpstr>ResponsablesLista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2026-04-14T07:07:46Z</dcterms:modified>
</cp:coreProperties>
</file>