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BBDD CLIENTES\"/>
    </mc:Choice>
  </mc:AlternateContent>
  <xr:revisionPtr revIDLastSave="0" documentId="8_{CC06DD07-DE04-4C04-ADDD-73C2409AD34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sumen" sheetId="1" r:id="rId1"/>
    <sheet name="Clientes" sheetId="2" r:id="rId2"/>
    <sheet name="Actividad" sheetId="3" r:id="rId3"/>
    <sheet name="Listas" sheetId="4" r:id="rId4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41" i="3" l="1"/>
  <c r="K41" i="3"/>
  <c r="C41" i="3"/>
  <c r="L40" i="3"/>
  <c r="K40" i="3"/>
  <c r="C40" i="3"/>
  <c r="L39" i="3"/>
  <c r="K39" i="3"/>
  <c r="C39" i="3"/>
  <c r="L38" i="3"/>
  <c r="K38" i="3"/>
  <c r="C38" i="3"/>
  <c r="L37" i="3"/>
  <c r="K37" i="3"/>
  <c r="C37" i="3"/>
  <c r="L36" i="3"/>
  <c r="K36" i="3"/>
  <c r="C36" i="3"/>
  <c r="L35" i="3"/>
  <c r="K35" i="3"/>
  <c r="C35" i="3"/>
  <c r="L34" i="3"/>
  <c r="K34" i="3"/>
  <c r="C34" i="3"/>
  <c r="L33" i="3"/>
  <c r="K33" i="3"/>
  <c r="C33" i="3"/>
  <c r="L32" i="3"/>
  <c r="K32" i="3"/>
  <c r="C32" i="3"/>
  <c r="L31" i="3"/>
  <c r="K31" i="3"/>
  <c r="C31" i="3"/>
  <c r="L30" i="3"/>
  <c r="K30" i="3"/>
  <c r="C30" i="3"/>
  <c r="L29" i="3"/>
  <c r="K29" i="3"/>
  <c r="C29" i="3"/>
  <c r="L28" i="3"/>
  <c r="K28" i="3"/>
  <c r="C28" i="3"/>
  <c r="L27" i="3"/>
  <c r="K27" i="3"/>
  <c r="C27" i="3"/>
  <c r="L26" i="3"/>
  <c r="K26" i="3"/>
  <c r="C26" i="3"/>
  <c r="L25" i="3"/>
  <c r="K25" i="3"/>
  <c r="C25" i="3"/>
  <c r="L24" i="3"/>
  <c r="K24" i="3"/>
  <c r="C24" i="3"/>
  <c r="L23" i="3"/>
  <c r="K23" i="3"/>
  <c r="C23" i="3"/>
  <c r="L22" i="3"/>
  <c r="K22" i="3"/>
  <c r="C22" i="3"/>
  <c r="L21" i="3"/>
  <c r="K21" i="3"/>
  <c r="C21" i="3"/>
  <c r="L20" i="3"/>
  <c r="K20" i="3"/>
  <c r="C20" i="3"/>
  <c r="L19" i="3"/>
  <c r="K19" i="3"/>
  <c r="C19" i="3"/>
  <c r="L18" i="3"/>
  <c r="K18" i="3"/>
  <c r="C18" i="3"/>
  <c r="L17" i="3"/>
  <c r="K17" i="3"/>
  <c r="C17" i="3"/>
  <c r="L16" i="3"/>
  <c r="K16" i="3"/>
  <c r="C16" i="3"/>
  <c r="L15" i="3"/>
  <c r="K15" i="3"/>
  <c r="C15" i="3"/>
  <c r="L14" i="3"/>
  <c r="K14" i="3"/>
  <c r="C14" i="3"/>
  <c r="L13" i="3"/>
  <c r="K13" i="3"/>
  <c r="C13" i="3"/>
  <c r="L12" i="3"/>
  <c r="K12" i="3"/>
  <c r="C12" i="3"/>
  <c r="L11" i="3"/>
  <c r="K11" i="3"/>
  <c r="C11" i="3"/>
  <c r="L10" i="3"/>
  <c r="K10" i="3"/>
  <c r="C10" i="3"/>
  <c r="L9" i="3"/>
  <c r="K9" i="3"/>
  <c r="C9" i="3"/>
  <c r="L8" i="3"/>
  <c r="K8" i="3"/>
  <c r="C8" i="3"/>
  <c r="L7" i="3"/>
  <c r="K7" i="3"/>
  <c r="C7" i="3"/>
  <c r="L6" i="3"/>
  <c r="K6" i="3"/>
  <c r="C6" i="3"/>
  <c r="L5" i="3"/>
  <c r="K5" i="3"/>
  <c r="C5" i="3"/>
  <c r="S19" i="2"/>
  <c r="N7" i="1" s="1"/>
  <c r="O19" i="2"/>
  <c r="N19" i="2"/>
  <c r="P19" i="2" s="1"/>
  <c r="U19" i="2" s="1"/>
  <c r="M19" i="2"/>
  <c r="S18" i="2"/>
  <c r="N18" i="2"/>
  <c r="P18" i="2" s="1"/>
  <c r="U18" i="2" s="1"/>
  <c r="M18" i="2"/>
  <c r="O18" i="2" s="1"/>
  <c r="S17" i="2"/>
  <c r="N17" i="2"/>
  <c r="P17" i="2" s="1"/>
  <c r="U17" i="2" s="1"/>
  <c r="M17" i="2"/>
  <c r="O17" i="2" s="1"/>
  <c r="S16" i="2"/>
  <c r="N16" i="2"/>
  <c r="P16" i="2" s="1"/>
  <c r="U16" i="2" s="1"/>
  <c r="M16" i="2"/>
  <c r="O16" i="2" s="1"/>
  <c r="S15" i="2"/>
  <c r="O15" i="2"/>
  <c r="N15" i="2"/>
  <c r="P15" i="2" s="1"/>
  <c r="M15" i="2"/>
  <c r="S14" i="2"/>
  <c r="N14" i="2"/>
  <c r="P14" i="2" s="1"/>
  <c r="U14" i="2" s="1"/>
  <c r="M14" i="2"/>
  <c r="O14" i="2" s="1"/>
  <c r="T14" i="2" s="1"/>
  <c r="S13" i="2"/>
  <c r="N6" i="1" s="1"/>
  <c r="N13" i="2"/>
  <c r="P13" i="2" s="1"/>
  <c r="U13" i="2" s="1"/>
  <c r="M13" i="2"/>
  <c r="O13" i="2" s="1"/>
  <c r="S12" i="2"/>
  <c r="N12" i="2"/>
  <c r="P12" i="2" s="1"/>
  <c r="U12" i="2" s="1"/>
  <c r="M12" i="2"/>
  <c r="O12" i="2" s="1"/>
  <c r="S11" i="2"/>
  <c r="N4" i="1" s="1"/>
  <c r="N11" i="2"/>
  <c r="P11" i="2" s="1"/>
  <c r="U11" i="2" s="1"/>
  <c r="M11" i="2"/>
  <c r="O11" i="2" s="1"/>
  <c r="S10" i="2"/>
  <c r="N10" i="2"/>
  <c r="P10" i="2" s="1"/>
  <c r="U10" i="2" s="1"/>
  <c r="M10" i="2"/>
  <c r="O10" i="2" s="1"/>
  <c r="T10" i="2" s="1"/>
  <c r="S9" i="2"/>
  <c r="N9" i="2"/>
  <c r="P9" i="2" s="1"/>
  <c r="U9" i="2" s="1"/>
  <c r="M9" i="2"/>
  <c r="O9" i="2" s="1"/>
  <c r="T9" i="2" s="1"/>
  <c r="S8" i="2"/>
  <c r="N8" i="2"/>
  <c r="P8" i="2" s="1"/>
  <c r="U8" i="2" s="1"/>
  <c r="M8" i="2"/>
  <c r="O8" i="2" s="1"/>
  <c r="T8" i="2" s="1"/>
  <c r="S7" i="2"/>
  <c r="P7" i="2"/>
  <c r="U7" i="2" s="1"/>
  <c r="O7" i="2"/>
  <c r="T7" i="2" s="1"/>
  <c r="N7" i="2"/>
  <c r="M7" i="2"/>
  <c r="S6" i="2"/>
  <c r="N6" i="2"/>
  <c r="P6" i="2" s="1"/>
  <c r="U6" i="2" s="1"/>
  <c r="M6" i="2"/>
  <c r="O6" i="2" s="1"/>
  <c r="S5" i="2"/>
  <c r="A8" i="1" s="1"/>
  <c r="N5" i="2"/>
  <c r="P5" i="2" s="1"/>
  <c r="M5" i="2"/>
  <c r="O5" i="2" s="1"/>
  <c r="K16" i="1"/>
  <c r="K15" i="1"/>
  <c r="K14" i="1"/>
  <c r="K13" i="1"/>
  <c r="K12" i="1"/>
  <c r="K11" i="1"/>
  <c r="E11" i="1"/>
  <c r="C11" i="1"/>
  <c r="A11" i="1"/>
  <c r="E8" i="1"/>
  <c r="C8" i="1"/>
  <c r="K7" i="1"/>
  <c r="K6" i="1"/>
  <c r="N5" i="1"/>
  <c r="K5" i="1"/>
  <c r="E5" i="1"/>
  <c r="C5" i="1"/>
  <c r="A5" i="1"/>
  <c r="K4" i="1"/>
  <c r="K3" i="1"/>
  <c r="T12" i="2" l="1"/>
  <c r="T18" i="2"/>
  <c r="T13" i="2"/>
  <c r="T16" i="2"/>
  <c r="T5" i="2"/>
  <c r="T6" i="2"/>
  <c r="T19" i="2"/>
  <c r="T15" i="2"/>
  <c r="U15" i="2"/>
  <c r="U5" i="2"/>
  <c r="G11" i="1"/>
  <c r="G5" i="1"/>
  <c r="T11" i="2"/>
  <c r="T17" i="2"/>
  <c r="N3" i="1"/>
  <c r="G8" i="1" l="1"/>
</calcChain>
</file>

<file path=xl/sharedStrings.xml><?xml version="1.0" encoding="utf-8"?>
<sst xmlns="http://schemas.openxmlformats.org/spreadsheetml/2006/main" count="576" uniqueCount="273">
  <si>
    <t>PANEL DE CONTROL · BASE DE DATOS DE CLIENTES</t>
  </si>
  <si>
    <t>Flujo recomendado: 1) actualiza Clientes, 2) registra contactos en Actividad, 3) consulta este panel para decidir prioridades.</t>
  </si>
  <si>
    <t>Estado</t>
  </si>
  <si>
    <t>Nº clientes</t>
  </si>
  <si>
    <t>Responsable</t>
  </si>
  <si>
    <t>Cartera ponderada</t>
  </si>
  <si>
    <t>Activo</t>
  </si>
  <si>
    <t>Alba</t>
  </si>
  <si>
    <t>Total clientes</t>
  </si>
  <si>
    <t>Clientes activos</t>
  </si>
  <si>
    <t>En riesgo</t>
  </si>
  <si>
    <t>Seguimientos vencidos</t>
  </si>
  <si>
    <t>En seguimiento</t>
  </si>
  <si>
    <t>Bruno</t>
  </si>
  <si>
    <t>Carla</t>
  </si>
  <si>
    <t>Dormido</t>
  </si>
  <si>
    <t>Diego</t>
  </si>
  <si>
    <t>Valor anual bruto</t>
  </si>
  <si>
    <t>Ticket medio</t>
  </si>
  <si>
    <t>Salud media</t>
  </si>
  <si>
    <t>Cerrado</t>
  </si>
  <si>
    <t>Elisa</t>
  </si>
  <si>
    <t>Interacciones del mes</t>
  </si>
  <si>
    <t>Próx. 7 días</t>
  </si>
  <si>
    <t>Clientes dormidos</t>
  </si>
  <si>
    <t>Sin fecha siguiente</t>
  </si>
  <si>
    <t>Canal</t>
  </si>
  <si>
    <t>Referencia</t>
  </si>
  <si>
    <t>Web</t>
  </si>
  <si>
    <t>Lectura rápida:
• Si sube «Seguimientos vencidos», filtra la hoja Clientes por Estado seguimiento.
• Si baja el Índice de salud, revisa cuentas con muchos días sin contacto.
• Si crece «Próx. 7 días», distribuye carga por Responsable.</t>
  </si>
  <si>
    <t>LinkedIn</t>
  </si>
  <si>
    <t>Evento</t>
  </si>
  <si>
    <t>Email saliente</t>
  </si>
  <si>
    <t>Partner</t>
  </si>
  <si>
    <t>Plantilla original creada para Excel en español. Datos de ejemplo ficticios.</t>
  </si>
  <si>
    <t>INDICADORES VISUALES</t>
  </si>
  <si>
    <t xml:space="preserve"> </t>
  </si>
  <si>
    <t>BASE DE DATOS DE CLIENTES</t>
  </si>
  <si>
    <t>Rellena primero los datos maestros y usa la hoja Actividad para registrar llamadas, emails, reuniones y próximos pasos. Las columnas M:U se calculan automáticamente.</t>
  </si>
  <si>
    <t>Consejo: filtra por «Estado seguimiento» o «Prioridad» para ver rápidamente qué cuentas requieren atención.</t>
  </si>
  <si>
    <t>ID Cliente</t>
  </si>
  <si>
    <t>Fecha alta</t>
  </si>
  <si>
    <t>Nombre comercial</t>
  </si>
  <si>
    <t>Tipo</t>
  </si>
  <si>
    <t>Sector</t>
  </si>
  <si>
    <t>Ciudad</t>
  </si>
  <si>
    <t>País</t>
  </si>
  <si>
    <t>Email</t>
  </si>
  <si>
    <t>Teléfono</t>
  </si>
  <si>
    <t>Canal captación</t>
  </si>
  <si>
    <t>Estado relación</t>
  </si>
  <si>
    <t>Último contacto</t>
  </si>
  <si>
    <t>Próximo seguimiento</t>
  </si>
  <si>
    <t>Días sin contacto</t>
  </si>
  <si>
    <t>Estado seguimiento</t>
  </si>
  <si>
    <t>Valor anual estimado (€)</t>
  </si>
  <si>
    <t>Prob. continuidad</t>
  </si>
  <si>
    <t>Valor ponderado (€)</t>
  </si>
  <si>
    <t>Índice de salud</t>
  </si>
  <si>
    <t>Prioridad</t>
  </si>
  <si>
    <t>Observaciones</t>
  </si>
  <si>
    <t>CL-1001</t>
  </si>
  <si>
    <t>Aurora Modular</t>
  </si>
  <si>
    <t>Empresa</t>
  </si>
  <si>
    <t>Diseño</t>
  </si>
  <si>
    <t>Madrid</t>
  </si>
  <si>
    <t>España</t>
  </si>
  <si>
    <t>hola@auroramodular.test</t>
  </si>
  <si>
    <t>+34 910 145 220</t>
  </si>
  <si>
    <t>Cuenta con buena adopción, posible ampliación de servicio.</t>
  </si>
  <si>
    <t>CL-1002</t>
  </si>
  <si>
    <t>Nexo Bosque</t>
  </si>
  <si>
    <t>Industria</t>
  </si>
  <si>
    <t>Bilbao</t>
  </si>
  <si>
    <t>equipo@nexobosque.test</t>
  </si>
  <si>
    <t>+34 946 320 411</t>
  </si>
  <si>
    <t>Piden propuesta revisada para junio.</t>
  </si>
  <si>
    <t>CL-1003</t>
  </si>
  <si>
    <t>Lúmina Salud</t>
  </si>
  <si>
    <t>Salud</t>
  </si>
  <si>
    <t>Valencia</t>
  </si>
  <si>
    <t>contacto@luminasalud.test</t>
  </si>
  <si>
    <t>+34 963 581 004</t>
  </si>
  <si>
    <t>Muy buena respuesta del equipo de operaciones.</t>
  </si>
  <si>
    <t>CL-1004</t>
  </si>
  <si>
    <t>Trama Norte</t>
  </si>
  <si>
    <t>Distribuidor</t>
  </si>
  <si>
    <t>Logística</t>
  </si>
  <si>
    <t>Zaragoza</t>
  </si>
  <si>
    <t>ventas@tramanorte.test</t>
  </si>
  <si>
    <t>+34 976 110 550</t>
  </si>
  <si>
    <t>Retraso interno en aprobación del contrato.</t>
  </si>
  <si>
    <t>CL-1005</t>
  </si>
  <si>
    <t>Marea Pixel</t>
  </si>
  <si>
    <t>Tecnología</t>
  </si>
  <si>
    <t>Barcelona</t>
  </si>
  <si>
    <t>hola@mareapixel.test</t>
  </si>
  <si>
    <t>+34 931 500 772</t>
  </si>
  <si>
    <t>A la espera de demo final.</t>
  </si>
  <si>
    <t>CL-1006</t>
  </si>
  <si>
    <t>Faro Clínico</t>
  </si>
  <si>
    <t>Sevilla</t>
  </si>
  <si>
    <t>soporte@faroclinico.test</t>
  </si>
  <si>
    <t>+34 954 219 310</t>
  </si>
  <si>
    <t>Sin respuesta desde febrero.</t>
  </si>
  <si>
    <t>CL-1007</t>
  </si>
  <si>
    <t>Cobalto Aula</t>
  </si>
  <si>
    <t>Educación</t>
  </si>
  <si>
    <t>Málaga</t>
  </si>
  <si>
    <t>direccion@cobaltoaula.test</t>
  </si>
  <si>
    <t>+34 952 813 144</t>
  </si>
  <si>
    <t>Proyecto piloto muy bien valorado.</t>
  </si>
  <si>
    <t>CL-1008</t>
  </si>
  <si>
    <t>Savia Taller</t>
  </si>
  <si>
    <t>Autónomo</t>
  </si>
  <si>
    <t>Servicios</t>
  </si>
  <si>
    <t>A Coruña</t>
  </si>
  <si>
    <t>info@saviataller.test</t>
  </si>
  <si>
    <t>+34 881 420 931</t>
  </si>
  <si>
    <t>Cuenta cerrada y archivada.</t>
  </si>
  <si>
    <t>CL-1009</t>
  </si>
  <si>
    <t>Brisa Delta</t>
  </si>
  <si>
    <t>Hostelería</t>
  </si>
  <si>
    <t>Palma</t>
  </si>
  <si>
    <t>gerencia@brisadelta.test</t>
  </si>
  <si>
    <t>+34 971 400 215</t>
  </si>
  <si>
    <t>Interés en ampliar a dos sedes más.</t>
  </si>
  <si>
    <t>CL-1010</t>
  </si>
  <si>
    <t>Ítaca Verde</t>
  </si>
  <si>
    <t>Retail</t>
  </si>
  <si>
    <t>Lisboa</t>
  </si>
  <si>
    <t>Portugal</t>
  </si>
  <si>
    <t>equipa@itacaverde.test</t>
  </si>
  <si>
    <t>+351 210 840 902</t>
  </si>
  <si>
    <t>Buen encaje, pendiente de comité.</t>
  </si>
  <si>
    <t>CL-1011</t>
  </si>
  <si>
    <t>Vértice Rural</t>
  </si>
  <si>
    <t>Valladolid</t>
  </si>
  <si>
    <t>central@verticerural.test</t>
  </si>
  <si>
    <t>+34 983 441 778</t>
  </si>
  <si>
    <t>Necesita aclarar alcance y plazos.</t>
  </si>
  <si>
    <t>CL-1012</t>
  </si>
  <si>
    <t>Órbita Legal</t>
  </si>
  <si>
    <t>contacto@orbitalegal.test</t>
  </si>
  <si>
    <t>+34 911 620 008</t>
  </si>
  <si>
    <t>Preparando renovación anual.</t>
  </si>
  <si>
    <t>CL-1013</t>
  </si>
  <si>
    <t>Neblina Retail</t>
  </si>
  <si>
    <t>Alicante</t>
  </si>
  <si>
    <t>hola@neblinaretail.test</t>
  </si>
  <si>
    <t>+34 965 912 774</t>
  </si>
  <si>
    <t>El contacto cambió de puesto.</t>
  </si>
  <si>
    <t>CL-1014</t>
  </si>
  <si>
    <t>Azimut Forge</t>
  </si>
  <si>
    <t>Porto</t>
  </si>
  <si>
    <t>ola@azimutforge.test</t>
  </si>
  <si>
    <t>+351 220 470 551</t>
  </si>
  <si>
    <t>Cuenta estratégica en expansión.</t>
  </si>
  <si>
    <t>CL-1015</t>
  </si>
  <si>
    <t>Rama Costera</t>
  </si>
  <si>
    <t>equipo@ramacostera.test</t>
  </si>
  <si>
    <t>+34 960 331 660</t>
  </si>
  <si>
    <t>Desean revisar la propuesta tras temporada alta.</t>
  </si>
  <si>
    <t>REGISTRO DE ACTIVIDAD Y SEGUIMIENTO</t>
  </si>
  <si>
    <t>Cada nueva interacción actualiza automáticamente el último contacto y el próximo seguimiento en la hoja Clientes.</t>
  </si>
  <si>
    <t>Fecha interacción</t>
  </si>
  <si>
    <t>Cliente</t>
  </si>
  <si>
    <t>Tipo interacción</t>
  </si>
  <si>
    <t>Resultado</t>
  </si>
  <si>
    <t>Próxima fecha</t>
  </si>
  <si>
    <t>Próximo paso</t>
  </si>
  <si>
    <t>Importe asociado (€)</t>
  </si>
  <si>
    <t>Días para la acción</t>
  </si>
  <si>
    <t>Estado tarea</t>
  </si>
  <si>
    <t>Nota breve</t>
  </si>
  <si>
    <t>Reunión</t>
  </si>
  <si>
    <t>Videollamada</t>
  </si>
  <si>
    <t>Interesado</t>
  </si>
  <si>
    <t>Enviar calendario de implantación</t>
  </si>
  <si>
    <t>Se aprobó el piloto en 2 áreas.</t>
  </si>
  <si>
    <t>Oferta enviada</t>
  </si>
  <si>
    <t>Revisión interna del alcance</t>
  </si>
  <si>
    <t>Se envió propuesta cerrada.</t>
  </si>
  <si>
    <t>Llamada</t>
  </si>
  <si>
    <t>Pendiente</t>
  </si>
  <si>
    <t>Confirmar asistentes a la demo</t>
  </si>
  <si>
    <t>Quieren incluir a compras.</t>
  </si>
  <si>
    <t>Reprogramado</t>
  </si>
  <si>
    <t>Fijar nueva llamada</t>
  </si>
  <si>
    <t>La revisión se pospone dos semanas.</t>
  </si>
  <si>
    <t>Renovación</t>
  </si>
  <si>
    <t>Enviar adenda de renovación</t>
  </si>
  <si>
    <t>Buena predisposición a ampliar licencias.</t>
  </si>
  <si>
    <t>Revisar anexo económico</t>
  </si>
  <si>
    <t>Solicitan propuesta con 2 escenarios.</t>
  </si>
  <si>
    <t>Presencial</t>
  </si>
  <si>
    <t>Esperar validación del comité</t>
  </si>
  <si>
    <t>Piden reducir plazo de implantación.</t>
  </si>
  <si>
    <t>Seguimiento</t>
  </si>
  <si>
    <t>Sin respuesta</t>
  </si>
  <si>
    <t>Insistir con dirección financiera</t>
  </si>
  <si>
    <t>Sin feedback tras reunión.</t>
  </si>
  <si>
    <t>Demo</t>
  </si>
  <si>
    <t>Enviar comparativa funcional</t>
  </si>
  <si>
    <t>Quieren ver uso por equipo.</t>
  </si>
  <si>
    <t>Compartir referencias de clientes</t>
  </si>
  <si>
    <t>Piden referencias de sector tech.</t>
  </si>
  <si>
    <t>Retomar en próximo trimestre</t>
  </si>
  <si>
    <t>No responden desde hace semanas.</t>
  </si>
  <si>
    <t>Volver a contactar</t>
  </si>
  <si>
    <t>Se comparte recordatorio amistoso.</t>
  </si>
  <si>
    <t>Preparar propuesta multicentro</t>
  </si>
  <si>
    <t>Muy receptivos en la reunión.</t>
  </si>
  <si>
    <t>Resolver dudas técnicas</t>
  </si>
  <si>
    <t>Les gustó el piloto.</t>
  </si>
  <si>
    <t>Incidencia</t>
  </si>
  <si>
    <t>Resuelto</t>
  </si>
  <si>
    <t>Archivo final de la cuenta</t>
  </si>
  <si>
    <t>Se cerró el servicio y se entregó documentación.</t>
  </si>
  <si>
    <t>Cierre administrativo</t>
  </si>
  <si>
    <t>No se renueva el acuerdo.</t>
  </si>
  <si>
    <t>Definir sedes para segunda fase</t>
  </si>
  <si>
    <t>Proyecto crece en volumen.</t>
  </si>
  <si>
    <t>Alinear presupuesto final</t>
  </si>
  <si>
    <t>Esperando OK de operaciones.</t>
  </si>
  <si>
    <t>Revisar feedback del partner</t>
  </si>
  <si>
    <t>Quieren ver esquema de comisiones.</t>
  </si>
  <si>
    <t>Enviar borrador de acuerdo</t>
  </si>
  <si>
    <t>Buen encaje con el canal.</t>
  </si>
  <si>
    <t>Enviar recorte de alcance</t>
  </si>
  <si>
    <t>Presupuesto percibido como alto.</t>
  </si>
  <si>
    <t>Intentar llamada con dirección</t>
  </si>
  <si>
    <t>Sin validación todavía.</t>
  </si>
  <si>
    <t>Enviar propuesta anual</t>
  </si>
  <si>
    <t>Renovación bien encaminada.</t>
  </si>
  <si>
    <t>Revisión con dirección</t>
  </si>
  <si>
    <t>Esperando fecha de firma.</t>
  </si>
  <si>
    <t>Intentar recuperar contacto en mayo</t>
  </si>
  <si>
    <t>El antiguo decisor ya no está.</t>
  </si>
  <si>
    <t>Nuevo intento comercial</t>
  </si>
  <si>
    <t>Sin avance desde fin de año.</t>
  </si>
  <si>
    <t>Enviar plan de despliegue internacional</t>
  </si>
  <si>
    <t>Cuenta de alta prioridad.</t>
  </si>
  <si>
    <t>Revisión de hitos</t>
  </si>
  <si>
    <t>Se solicita planificación detallada.</t>
  </si>
  <si>
    <t>Retomar tras cierre de temporada</t>
  </si>
  <si>
    <t>Piden esperar dos semanas.</t>
  </si>
  <si>
    <t>Confirmar fecha de reunión</t>
  </si>
  <si>
    <t>Interés moderado.</t>
  </si>
  <si>
    <t>Enviar propuesta de renovación</t>
  </si>
  <si>
    <t>Quieren ampliar a otro departamento.</t>
  </si>
  <si>
    <t>WhatsApp</t>
  </si>
  <si>
    <t>Cerrar agenda de reunión</t>
  </si>
  <si>
    <t>Respuesta rápida y positiva.</t>
  </si>
  <si>
    <t>Revisar objeciones</t>
  </si>
  <si>
    <t>Piden una versión más compacta.</t>
  </si>
  <si>
    <t>Mandar versión definitiva</t>
  </si>
  <si>
    <t>Aprobación verbal preliminar.</t>
  </si>
  <si>
    <t>Presentar plan alternativo</t>
  </si>
  <si>
    <t>Esperan validación presupuestaria.</t>
  </si>
  <si>
    <t>Enviar borrador con margen</t>
  </si>
  <si>
    <t>El partner ve potencial en Portugal.</t>
  </si>
  <si>
    <t>Agendar revisión anual</t>
  </si>
  <si>
    <t>Renovación prevista para Q2.</t>
  </si>
  <si>
    <t>Tipos</t>
  </si>
  <si>
    <t>Sectores</t>
  </si>
  <si>
    <t>Responsables</t>
  </si>
  <si>
    <t>CanalesCaptacion</t>
  </si>
  <si>
    <t>EstadosRelacion</t>
  </si>
  <si>
    <t>TiposInteraccion</t>
  </si>
  <si>
    <t>CanalesInteraccion</t>
  </si>
  <si>
    <t>Resultados</t>
  </si>
  <si>
    <t>Propuesta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</si>
</sst>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€\ #,##0"/>
  </numFmts>
  <fonts count="13" x14ac:knownFonts="1">
    <font>
      <sz val="11"/>
      <color theme="1"/>
      <name val="Calibri"/>
      <family val="2"/>
      <scheme val="minor"/>
    </font>
    <font>
      <b/>
      <sz val="18"/>
      <color rgb="FFFFFFFF"/>
      <name val="Calibri"/>
    </font>
    <font>
      <sz val="9"/>
      <color rgb="FF4B5563"/>
      <name val="Calibri"/>
    </font>
    <font>
      <i/>
      <sz val="9"/>
      <color rgb="FF4B5563"/>
      <name val="Calibri"/>
    </font>
    <font>
      <b/>
      <sz val="10"/>
      <color rgb="FFFFFFFF"/>
      <name val="Calibri"/>
    </font>
    <font>
      <sz val="10"/>
      <color rgb="FF0000FF"/>
      <name val="Calibri"/>
    </font>
    <font>
      <sz val="10"/>
      <color rgb="FF008000"/>
      <name val="Calibri"/>
    </font>
    <font>
      <sz val="10"/>
      <color rgb="FF111827"/>
      <name val="Calibri"/>
    </font>
    <font>
      <sz val="10"/>
      <color rgb="FF4B5563"/>
      <name val="Calibri"/>
    </font>
    <font>
      <b/>
      <sz val="10"/>
      <color rgb="FF4B5563"/>
      <name val="Calibri"/>
    </font>
    <font>
      <b/>
      <sz val="17"/>
      <color rgb="FF173F5F"/>
      <name val="Calibri"/>
    </font>
    <font>
      <sz val="11"/>
      <color rgb="FFFFFFFF"/>
      <name val="Calibri"/>
    </font>
    <font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173F5F"/>
      </patternFill>
    </fill>
    <fill>
      <patternFill patternType="solid">
        <fgColor rgb="FFF3F4F6"/>
      </patternFill>
    </fill>
    <fill>
      <patternFill patternType="solid">
        <fgColor rgb="FF0F766E"/>
      </patternFill>
    </fill>
    <fill>
      <patternFill patternType="solid">
        <fgColor rgb="FF4B5563"/>
      </patternFill>
    </fill>
    <fill>
      <patternFill patternType="solid">
        <fgColor rgb="FFE6FFFB"/>
      </patternFill>
    </fill>
    <fill>
      <patternFill patternType="solid">
        <fgColor rgb="FFEAF2F8"/>
      </patternFill>
    </fill>
    <fill>
      <patternFill patternType="solid">
        <fgColor rgb="FFFFFFFF"/>
      </patternFill>
    </fill>
  </fills>
  <borders count="10">
    <border>
      <left/>
      <right/>
      <top/>
      <bottom/>
      <diagonal/>
    </border>
    <border>
      <left style="thin">
        <color rgb="FFD1D5DB"/>
      </left>
      <right style="thin">
        <color rgb="FFD1D5DB"/>
      </right>
      <top style="thin">
        <color rgb="FFD1D5DB"/>
      </top>
      <bottom style="thin">
        <color rgb="FFD1D5DB"/>
      </bottom>
      <diagonal/>
    </border>
    <border>
      <left/>
      <right/>
      <top style="thin">
        <color rgb="FFD1D5DB"/>
      </top>
      <bottom/>
      <diagonal/>
    </border>
    <border>
      <left/>
      <right style="thin">
        <color rgb="FFD1D5DB"/>
      </right>
      <top style="thin">
        <color rgb="FFD1D5DB"/>
      </top>
      <bottom/>
      <diagonal/>
    </border>
    <border>
      <left/>
      <right style="thin">
        <color rgb="FFD1D5DB"/>
      </right>
      <top style="thin">
        <color rgb="FFD1D5DB"/>
      </top>
      <bottom style="thin">
        <color rgb="FFD1D5DB"/>
      </bottom>
      <diagonal/>
    </border>
    <border>
      <left style="thin">
        <color rgb="FFD1D5DB"/>
      </left>
      <right/>
      <top/>
      <bottom/>
      <diagonal/>
    </border>
    <border>
      <left/>
      <right style="thin">
        <color rgb="FFD1D5DB"/>
      </right>
      <top/>
      <bottom/>
      <diagonal/>
    </border>
    <border>
      <left style="thin">
        <color rgb="FFD1D5DB"/>
      </left>
      <right/>
      <top/>
      <bottom style="thin">
        <color rgb="FFD1D5DB"/>
      </bottom>
      <diagonal/>
    </border>
    <border>
      <left/>
      <right/>
      <top/>
      <bottom style="thin">
        <color rgb="FFD1D5DB"/>
      </bottom>
      <diagonal/>
    </border>
    <border>
      <left/>
      <right style="thin">
        <color rgb="FFD1D5DB"/>
      </right>
      <top/>
      <bottom style="thin">
        <color rgb="FFD1D5DB"/>
      </bottom>
      <diagonal/>
    </border>
  </borders>
  <cellStyleXfs count="2">
    <xf numFmtId="0" fontId="0" fillId="0" borderId="0"/>
    <xf numFmtId="0" fontId="12" fillId="0" borderId="0"/>
  </cellStyleXfs>
  <cellXfs count="43">
    <xf numFmtId="0" fontId="0" fillId="0" borderId="0" xfId="0"/>
    <xf numFmtId="0" fontId="4" fillId="2" borderId="0" xfId="1" applyFont="1" applyFill="1" applyAlignment="1">
      <alignment horizontal="center" vertical="center"/>
    </xf>
    <xf numFmtId="0" fontId="7" fillId="0" borderId="0" xfId="1" applyFont="1" applyAlignment="1">
      <alignment horizontal="left" vertical="center" wrapText="1"/>
    </xf>
    <xf numFmtId="0" fontId="7" fillId="0" borderId="0" xfId="1" applyFont="1" applyAlignment="1">
      <alignment horizontal="right" vertical="center"/>
    </xf>
    <xf numFmtId="164" fontId="7" fillId="0" borderId="0" xfId="1" applyNumberFormat="1" applyFont="1" applyAlignment="1">
      <alignment horizontal="right" vertical="center"/>
    </xf>
    <xf numFmtId="0" fontId="7" fillId="2" borderId="0" xfId="1" applyFont="1" applyFill="1" applyAlignment="1">
      <alignment horizontal="left" vertical="center" wrapText="1"/>
    </xf>
    <xf numFmtId="0" fontId="7" fillId="2" borderId="0" xfId="1" applyFont="1" applyFill="1" applyAlignment="1">
      <alignment horizontal="right" vertical="center"/>
    </xf>
    <xf numFmtId="0" fontId="2" fillId="0" borderId="0" xfId="1" applyFont="1"/>
    <xf numFmtId="0" fontId="4" fillId="4" borderId="0" xfId="1" applyFont="1" applyFill="1" applyAlignment="1">
      <alignment horizontal="center" vertical="center"/>
    </xf>
    <xf numFmtId="0" fontId="4" fillId="5" borderId="0" xfId="1" applyFont="1" applyFill="1" applyAlignment="1">
      <alignment horizontal="center" vertical="center"/>
    </xf>
    <xf numFmtId="0" fontId="5" fillId="0" borderId="0" xfId="1" applyFont="1" applyAlignment="1">
      <alignment horizontal="center" vertical="center"/>
    </xf>
    <xf numFmtId="14" fontId="5" fillId="0" borderId="0" xfId="1" applyNumberFormat="1" applyFont="1" applyAlignment="1">
      <alignment horizontal="center" vertical="center"/>
    </xf>
    <xf numFmtId="0" fontId="5" fillId="0" borderId="0" xfId="1" applyFont="1" applyAlignment="1">
      <alignment horizontal="left" vertical="center" wrapText="1"/>
    </xf>
    <xf numFmtId="14" fontId="6" fillId="0" borderId="0" xfId="1" applyNumberFormat="1" applyFont="1" applyAlignment="1">
      <alignment horizontal="center" vertical="center"/>
    </xf>
    <xf numFmtId="14" fontId="7" fillId="3" borderId="0" xfId="1" applyNumberFormat="1" applyFont="1" applyFill="1" applyAlignment="1">
      <alignment horizontal="center" vertical="center"/>
    </xf>
    <xf numFmtId="0" fontId="7" fillId="3" borderId="0" xfId="1" applyFont="1" applyFill="1" applyAlignment="1">
      <alignment horizontal="center" vertical="center"/>
    </xf>
    <xf numFmtId="164" fontId="5" fillId="0" borderId="0" xfId="1" applyNumberFormat="1" applyFont="1" applyAlignment="1">
      <alignment horizontal="right" vertical="center"/>
    </xf>
    <xf numFmtId="9" fontId="5" fillId="0" borderId="0" xfId="1" applyNumberFormat="1" applyFont="1" applyAlignment="1">
      <alignment horizontal="right" vertical="center"/>
    </xf>
    <xf numFmtId="164" fontId="7" fillId="3" borderId="0" xfId="1" applyNumberFormat="1" applyFont="1" applyFill="1" applyAlignment="1">
      <alignment horizontal="right" vertical="center"/>
    </xf>
    <xf numFmtId="1" fontId="7" fillId="3" borderId="0" xfId="1" applyNumberFormat="1" applyFont="1" applyFill="1" applyAlignment="1">
      <alignment horizontal="right" vertical="center"/>
    </xf>
    <xf numFmtId="0" fontId="8" fillId="0" borderId="0" xfId="1" applyFont="1" applyAlignment="1">
      <alignment horizontal="left" vertical="center" wrapText="1"/>
    </xf>
    <xf numFmtId="0" fontId="6" fillId="3" borderId="0" xfId="1" applyFont="1" applyFill="1" applyAlignment="1">
      <alignment horizontal="left" vertical="center" wrapText="1"/>
    </xf>
    <xf numFmtId="3" fontId="7" fillId="3" borderId="0" xfId="1" applyNumberFormat="1" applyFont="1" applyFill="1" applyAlignment="1">
      <alignment horizontal="center" vertical="center"/>
    </xf>
    <xf numFmtId="0" fontId="11" fillId="8" borderId="0" xfId="1" applyFont="1" applyFill="1"/>
    <xf numFmtId="0" fontId="10" fillId="6" borderId="1" xfId="1" applyFont="1" applyFill="1" applyBorder="1" applyAlignment="1">
      <alignment horizontal="center" vertical="center"/>
    </xf>
    <xf numFmtId="0" fontId="0" fillId="0" borderId="4" xfId="1" applyFont="1" applyBorder="1"/>
    <xf numFmtId="0" fontId="1" fillId="2" borderId="0" xfId="1" applyFont="1" applyFill="1" applyAlignment="1">
      <alignment horizontal="center" vertical="center"/>
    </xf>
    <xf numFmtId="0" fontId="0" fillId="0" borderId="0" xfId="0"/>
    <xf numFmtId="1" fontId="10" fillId="6" borderId="1" xfId="1" applyNumberFormat="1" applyFont="1" applyFill="1" applyBorder="1" applyAlignment="1">
      <alignment horizontal="center" vertical="center"/>
    </xf>
    <xf numFmtId="164" fontId="10" fillId="6" borderId="1" xfId="1" applyNumberFormat="1" applyFont="1" applyFill="1" applyBorder="1" applyAlignment="1">
      <alignment horizontal="center" vertical="center"/>
    </xf>
    <xf numFmtId="0" fontId="9" fillId="6" borderId="1" xfId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/>
    </xf>
    <xf numFmtId="0" fontId="0" fillId="0" borderId="1" xfId="1" applyFont="1" applyBorder="1"/>
    <xf numFmtId="0" fontId="2" fillId="3" borderId="0" xfId="1" applyFont="1" applyFill="1" applyAlignment="1">
      <alignment horizontal="left" vertical="center" wrapText="1"/>
    </xf>
    <xf numFmtId="0" fontId="7" fillId="7" borderId="1" xfId="1" applyFont="1" applyFill="1" applyBorder="1" applyAlignment="1">
      <alignment horizontal="left" vertical="center" wrapText="1"/>
    </xf>
    <xf numFmtId="0" fontId="0" fillId="0" borderId="2" xfId="1" applyFont="1" applyBorder="1"/>
    <xf numFmtId="0" fontId="0" fillId="0" borderId="3" xfId="1" applyFont="1" applyBorder="1"/>
    <xf numFmtId="0" fontId="0" fillId="0" borderId="5" xfId="1" applyFont="1" applyBorder="1"/>
    <xf numFmtId="0" fontId="0" fillId="0" borderId="6" xfId="1" applyFont="1" applyBorder="1"/>
    <xf numFmtId="0" fontId="0" fillId="0" borderId="7" xfId="1" applyFont="1" applyBorder="1"/>
    <xf numFmtId="0" fontId="0" fillId="0" borderId="8" xfId="1" applyFont="1" applyBorder="1"/>
    <xf numFmtId="0" fontId="0" fillId="0" borderId="9" xfId="1" applyFont="1" applyBorder="1"/>
    <xf numFmtId="0" fontId="3" fillId="0" borderId="0" xfId="1" applyFont="1" applyAlignment="1">
      <alignment horizontal="left" vertical="center" wrapText="1"/>
    </xf>
  </cellXfs>
  <cellStyles count="2">
    <cellStyle name="Normal" xfId="1" xr:uid="{00000000-0005-0000-0000-000000000000}"/>
    <cellStyle name="Standard" xfId="0" builtinId="0"/>
  </cellStyles>
  <dxfs count="9">
    <dxf>
      <font>
        <b/>
        <color rgb="FF2E7D32"/>
      </font>
      <fill>
        <patternFill>
          <bgColor rgb="FFE8F5E9"/>
        </patternFill>
      </fill>
    </dxf>
    <dxf>
      <font>
        <b/>
        <color rgb="FF9A6700"/>
      </font>
      <fill>
        <patternFill>
          <bgColor rgb="FFFEF3C7"/>
        </patternFill>
      </fill>
    </dxf>
    <dxf>
      <font>
        <b/>
        <color rgb="FFC0392B"/>
      </font>
      <fill>
        <patternFill>
          <bgColor rgb="FFFDECEC"/>
        </patternFill>
      </fill>
    </dxf>
    <dxf>
      <font>
        <b/>
        <color rgb="FF2E7D32"/>
      </font>
      <fill>
        <patternFill>
          <bgColor rgb="FFE8F5E9"/>
        </patternFill>
      </fill>
    </dxf>
    <dxf>
      <font>
        <b/>
        <color rgb="FF9A6700"/>
      </font>
      <fill>
        <patternFill>
          <bgColor rgb="FFFEF3C7"/>
        </patternFill>
      </fill>
    </dxf>
    <dxf>
      <font>
        <b/>
        <color rgb="FFC0392B"/>
      </font>
      <fill>
        <patternFill>
          <bgColor rgb="FFFDECEC"/>
        </patternFill>
      </fill>
    </dxf>
    <dxf>
      <font>
        <b/>
        <color rgb="FF2E7D32"/>
      </font>
      <fill>
        <patternFill>
          <bgColor rgb="FFE8F5E9"/>
        </patternFill>
      </fill>
    </dxf>
    <dxf>
      <font>
        <b/>
        <color rgb="FF9A6700"/>
      </font>
      <fill>
        <patternFill>
          <bgColor rgb="FFFEF3C7"/>
        </patternFill>
      </fill>
    </dxf>
    <dxf>
      <font>
        <b/>
        <color rgb="FFC0392B"/>
      </font>
      <fill>
        <patternFill>
          <bgColor rgb="FFFDECE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1"/>
  <c:style val="10"/>
  <c:chart>
    <c:title>
      <c:tx>
        <c:rich>
          <a:bodyPr/>
          <a:lstStyle/>
          <a:p>
            <a:r>
              <a:rPr lang="de-DE"/>
              <a:t>Clientes por estado</a:t>
            </a:r>
          </a:p>
        </c:rich>
      </c:tx>
      <c:overlay val="0"/>
    </c:title>
    <c:autoTitleDeleted val="0"/>
    <c:plotArea>
      <c:layout/>
      <c:doughnutChart>
        <c:varyColors val="1"/>
        <c:ser>
          <c:idx val="0"/>
          <c:order val="0"/>
          <c:tx>
            <c:strRef>
              <c:f>Resumen!$K$2</c:f>
              <c:strCache>
                <c:ptCount val="1"/>
                <c:pt idx="0">
                  <c:v>Nº clientes</c:v>
                </c:pt>
              </c:strCache>
            </c:strRef>
          </c:tx>
          <c:spPr>
            <a:ln>
              <a:prstDash val="solid"/>
            </a:ln>
          </c:spPr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1"/>
            <c:showSerName val="1"/>
            <c:showPercent val="1"/>
            <c:showBubbleSize val="1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Resumen!$J$3:$J$7</c:f>
              <c:strCache>
                <c:ptCount val="5"/>
                <c:pt idx="0">
                  <c:v>Activo</c:v>
                </c:pt>
                <c:pt idx="1">
                  <c:v>En seguimiento</c:v>
                </c:pt>
                <c:pt idx="2">
                  <c:v>En riesgo</c:v>
                </c:pt>
                <c:pt idx="3">
                  <c:v>Dormido</c:v>
                </c:pt>
                <c:pt idx="4">
                  <c:v>Cerrado</c:v>
                </c:pt>
              </c:strCache>
            </c:strRef>
          </c:cat>
          <c:val>
            <c:numRef>
              <c:f>Resumen!$K$3:$K$7</c:f>
              <c:numCache>
                <c:formatCode>General</c:formatCode>
                <c:ptCount val="5"/>
                <c:pt idx="0">
                  <c:v>6</c:v>
                </c:pt>
                <c:pt idx="1">
                  <c:v>4</c:v>
                </c:pt>
                <c:pt idx="2">
                  <c:v>2</c:v>
                </c:pt>
                <c:pt idx="3">
                  <c:v>2</c:v>
                </c:pt>
                <c:pt idx="4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685-4CC1-813F-C08B5116D863}"/>
            </c:ext>
          </c:extLst>
        </c:ser>
        <c:dLbls>
          <c:showLegendKey val="1"/>
          <c:showVal val="1"/>
          <c:showCatName val="1"/>
          <c:showSerName val="1"/>
          <c:showPercent val="1"/>
          <c:showBubbleSize val="1"/>
          <c:showLeaderLines val="1"/>
        </c:dLbls>
        <c:firstSliceAng val="0"/>
        <c:holeSize val="10"/>
      </c:doughnutChart>
    </c:plotArea>
    <c:legend>
      <c:legendPos val="r"/>
      <c:layout>
        <c:manualLayout>
          <c:xMode val="edge"/>
          <c:yMode val="edge"/>
          <c:x val="0.64289799111649504"/>
          <c:y val="0.23719391966463557"/>
          <c:w val="0.35313531353135313"/>
          <c:h val="0.57446569178852647"/>
        </c:manualLayout>
      </c:layout>
      <c:overlay val="1"/>
    </c:legend>
    <c:plotVisOnly val="1"/>
    <c:dispBlanksAs val="gap"/>
    <c:showDLblsOverMax val="1"/>
  </c:chart>
  <c:spPr>
    <a:solidFill>
      <a:schemeClr val="bg2"/>
    </a:solidFill>
  </c:sp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1"/>
  <c:style val="11"/>
  <c:chart>
    <c:title>
      <c:tx>
        <c:rich>
          <a:bodyPr/>
          <a:lstStyle/>
          <a:p>
            <a:r>
              <a:rPr lang="de-DE"/>
              <a:t>Cartera ponderada por responsable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1"/>
        <c:ser>
          <c:idx val="0"/>
          <c:order val="0"/>
          <c:tx>
            <c:strRef>
              <c:f>Resumen!$N$2</c:f>
              <c:strCache>
                <c:ptCount val="1"/>
                <c:pt idx="0">
                  <c:v>Cartera ponderada</c:v>
                </c:pt>
              </c:strCache>
            </c:strRef>
          </c:tx>
          <c:spPr>
            <a:ln>
              <a:prstDash val="solid"/>
            </a:ln>
          </c:spPr>
          <c:invertIfNegative val="1"/>
          <c:cat>
            <c:strRef>
              <c:f>Resumen!$M$3:$M$7</c:f>
              <c:strCache>
                <c:ptCount val="5"/>
                <c:pt idx="0">
                  <c:v>Alba</c:v>
                </c:pt>
                <c:pt idx="1">
                  <c:v>Bruno</c:v>
                </c:pt>
                <c:pt idx="2">
                  <c:v>Carla</c:v>
                </c:pt>
                <c:pt idx="3">
                  <c:v>Diego</c:v>
                </c:pt>
                <c:pt idx="4">
                  <c:v>Elisa</c:v>
                </c:pt>
              </c:strCache>
            </c:strRef>
          </c:cat>
          <c:val>
            <c:numRef>
              <c:f>Resumen!$N$3:$N$7</c:f>
              <c:numCache>
                <c:formatCode>\€\ #,##0</c:formatCode>
                <c:ptCount val="5"/>
                <c:pt idx="0">
                  <c:v>26500</c:v>
                </c:pt>
                <c:pt idx="1">
                  <c:v>32145</c:v>
                </c:pt>
                <c:pt idx="2">
                  <c:v>23780</c:v>
                </c:pt>
                <c:pt idx="3">
                  <c:v>48980</c:v>
                </c:pt>
                <c:pt idx="4">
                  <c:v>20460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82D-4DD2-A298-0F1899F0D7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8650112"/>
        <c:axId val="48672768"/>
      </c:barChart>
      <c:catAx>
        <c:axId val="4865011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b"/>
        <c:numFmt formatCode="\€\ #,##0" sourceLinked="1"/>
        <c:majorTickMark val="none"/>
        <c:minorTickMark val="none"/>
        <c:tickLblPos val="nextTo"/>
        <c:crossAx val="48650112"/>
        <c:crosses val="autoZero"/>
        <c:crossBetween val="between"/>
      </c:valAx>
      <c:spPr>
        <a:solidFill>
          <a:schemeClr val="bg2"/>
        </a:solidFill>
      </c:spPr>
    </c:plotArea>
    <c:legend>
      <c:legendPos val="r"/>
      <c:overlay val="1"/>
    </c:legend>
    <c:plotVisOnly val="1"/>
    <c:dispBlanksAs val="gap"/>
    <c:showDLblsOverMax val="1"/>
  </c:chart>
  <c:spPr>
    <a:solidFill>
      <a:schemeClr val="bg2"/>
    </a:solidFill>
  </c:spPr>
  <c:printSettings>
    <c:headerFooter/>
    <c:pageMargins b="0.78740157499999996" l="0.7" r="0.7" t="0.78740157499999996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1"/>
  <c:style val="10"/>
  <c:chart>
    <c:title>
      <c:tx>
        <c:rich>
          <a:bodyPr/>
          <a:lstStyle/>
          <a:p>
            <a:r>
              <a:rPr lang="de-DE"/>
              <a:t>Clientes por canal de captación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Resumen!$K$10</c:f>
              <c:strCache>
                <c:ptCount val="1"/>
                <c:pt idx="0">
                  <c:v>Nº clientes</c:v>
                </c:pt>
              </c:strCache>
            </c:strRef>
          </c:tx>
          <c:spPr>
            <a:ln>
              <a:prstDash val="solid"/>
            </a:ln>
          </c:spPr>
          <c:invertIfNegative val="1"/>
          <c:cat>
            <c:strRef>
              <c:f>Resumen!$J$11:$J$16</c:f>
              <c:strCache>
                <c:ptCount val="6"/>
                <c:pt idx="0">
                  <c:v>Referencia</c:v>
                </c:pt>
                <c:pt idx="1">
                  <c:v>Web</c:v>
                </c:pt>
                <c:pt idx="2">
                  <c:v>LinkedIn</c:v>
                </c:pt>
                <c:pt idx="3">
                  <c:v>Evento</c:v>
                </c:pt>
                <c:pt idx="4">
                  <c:v>Email saliente</c:v>
                </c:pt>
                <c:pt idx="5">
                  <c:v>Partner</c:v>
                </c:pt>
              </c:strCache>
            </c:strRef>
          </c:cat>
          <c:val>
            <c:numRef>
              <c:f>Resumen!$K$11:$K$16</c:f>
              <c:numCache>
                <c:formatCode>General</c:formatCode>
                <c:ptCount val="6"/>
                <c:pt idx="0">
                  <c:v>3</c:v>
                </c:pt>
                <c:pt idx="1">
                  <c:v>3</c:v>
                </c:pt>
                <c:pt idx="2">
                  <c:v>3</c:v>
                </c:pt>
                <c:pt idx="3">
                  <c:v>3</c:v>
                </c:pt>
                <c:pt idx="4">
                  <c:v>1</c:v>
                </c:pt>
                <c:pt idx="5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B74-4B90-B58C-99F1FAB466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crossAx val="48650112"/>
        <c:crosses val="autoZero"/>
        <c:crossBetween val="between"/>
      </c:valAx>
      <c:spPr>
        <a:solidFill>
          <a:schemeClr val="bg2"/>
        </a:solidFill>
      </c:spPr>
    </c:plotArea>
    <c:legend>
      <c:legendPos val="r"/>
      <c:layout>
        <c:manualLayout>
          <c:xMode val="edge"/>
          <c:yMode val="edge"/>
          <c:x val="0.69056910999227006"/>
          <c:y val="0.16009950097944659"/>
          <c:w val="0.18251786275875651"/>
          <c:h val="0.5093780301571218"/>
        </c:manualLayout>
      </c:layout>
      <c:overlay val="1"/>
    </c:legend>
    <c:plotVisOnly val="1"/>
    <c:dispBlanksAs val="gap"/>
    <c:showDLblsOverMax val="1"/>
  </c:chart>
  <c:spPr>
    <a:solidFill>
      <a:schemeClr val="bg2"/>
    </a:solidFill>
  </c:spPr>
  <c:printSettings>
    <c:headerFooter/>
    <c:pageMargins b="0.78740157499999996" l="0.7" r="0.7" t="0.78740157499999996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18</xdr:row>
      <xdr:rowOff>85724</xdr:rowOff>
    </xdr:from>
    <xdr:to>
      <xdr:col>4</xdr:col>
      <xdr:colOff>133350</xdr:colOff>
      <xdr:row>33</xdr:row>
      <xdr:rowOff>66674</xdr:rowOff>
    </xdr:to>
    <xdr:graphicFrame macro="">
      <xdr:nvGraphicFramePr>
        <xdr:cNvPr id="2" name="Chart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219075</xdr:colOff>
      <xdr:row>18</xdr:row>
      <xdr:rowOff>38099</xdr:rowOff>
    </xdr:from>
    <xdr:to>
      <xdr:col>8</xdr:col>
      <xdr:colOff>352425</xdr:colOff>
      <xdr:row>33</xdr:row>
      <xdr:rowOff>76199</xdr:rowOff>
    </xdr:to>
    <xdr:graphicFrame macro="">
      <xdr:nvGraphicFramePr>
        <xdr:cNvPr id="3" name="Chart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449580</xdr:colOff>
      <xdr:row>18</xdr:row>
      <xdr:rowOff>38100</xdr:rowOff>
    </xdr:from>
    <xdr:to>
      <xdr:col>14</xdr:col>
      <xdr:colOff>85725</xdr:colOff>
      <xdr:row>33</xdr:row>
      <xdr:rowOff>85725</xdr:rowOff>
    </xdr:to>
    <xdr:graphicFrame macro="">
      <xdr:nvGraphicFramePr>
        <xdr:cNvPr id="4" name="Chart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Clientes" displayName="tblClientes" ref="A4:V19">
  <autoFilter ref="A4:V19" xr:uid="{00000000-0009-0000-0100-000001000000}"/>
  <tableColumns count="22">
    <tableColumn id="1" xr3:uid="{00000000-0010-0000-0000-000001000000}" name="ID Cliente"/>
    <tableColumn id="2" xr3:uid="{00000000-0010-0000-0000-000002000000}" name="Fecha alta"/>
    <tableColumn id="3" xr3:uid="{00000000-0010-0000-0000-000003000000}" name="Nombre comercial"/>
    <tableColumn id="4" xr3:uid="{00000000-0010-0000-0000-000004000000}" name="Tipo"/>
    <tableColumn id="5" xr3:uid="{00000000-0010-0000-0000-000005000000}" name="Sector"/>
    <tableColumn id="6" xr3:uid="{00000000-0010-0000-0000-000006000000}" name="Responsable"/>
    <tableColumn id="7" xr3:uid="{00000000-0010-0000-0000-000007000000}" name="Ciudad"/>
    <tableColumn id="8" xr3:uid="{00000000-0010-0000-0000-000008000000}" name="País"/>
    <tableColumn id="9" xr3:uid="{00000000-0010-0000-0000-000009000000}" name="Email"/>
    <tableColumn id="10" xr3:uid="{00000000-0010-0000-0000-00000A000000}" name="Teléfono"/>
    <tableColumn id="11" xr3:uid="{00000000-0010-0000-0000-00000B000000}" name="Canal captación"/>
    <tableColumn id="12" xr3:uid="{00000000-0010-0000-0000-00000C000000}" name="Estado relación"/>
    <tableColumn id="13" xr3:uid="{00000000-0010-0000-0000-00000D000000}" name="Último contacto"/>
    <tableColumn id="14" xr3:uid="{00000000-0010-0000-0000-00000E000000}" name="Próximo seguimiento"/>
    <tableColumn id="15" xr3:uid="{00000000-0010-0000-0000-00000F000000}" name="Días sin contacto"/>
    <tableColumn id="16" xr3:uid="{00000000-0010-0000-0000-000010000000}" name="Estado seguimiento"/>
    <tableColumn id="17" xr3:uid="{00000000-0010-0000-0000-000011000000}" name="Valor anual estimado (€)"/>
    <tableColumn id="18" xr3:uid="{00000000-0010-0000-0000-000012000000}" name="Prob. continuidad"/>
    <tableColumn id="19" xr3:uid="{00000000-0010-0000-0000-000013000000}" name="Valor ponderado (€)"/>
    <tableColumn id="20" xr3:uid="{00000000-0010-0000-0000-000014000000}" name="Índice de salud"/>
    <tableColumn id="21" xr3:uid="{00000000-0010-0000-0000-000015000000}" name="Prioridad"/>
    <tableColumn id="22" xr3:uid="{00000000-0010-0000-0000-000016000000}" name="Observaciones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blActividad" displayName="tblActividad" ref="A4:M41">
  <autoFilter ref="A4:M41" xr:uid="{00000000-0009-0000-0100-000002000000}"/>
  <tableColumns count="13">
    <tableColumn id="1" xr3:uid="{00000000-0010-0000-0100-000001000000}" name="Fecha interacción"/>
    <tableColumn id="2" xr3:uid="{00000000-0010-0000-0100-000002000000}" name="ID Cliente"/>
    <tableColumn id="3" xr3:uid="{00000000-0010-0000-0100-000003000000}" name="Cliente"/>
    <tableColumn id="4" xr3:uid="{00000000-0010-0000-0100-000004000000}" name="Tipo interacción"/>
    <tableColumn id="5" xr3:uid="{00000000-0010-0000-0100-000005000000}" name="Canal"/>
    <tableColumn id="6" xr3:uid="{00000000-0010-0000-0100-000006000000}" name="Responsable"/>
    <tableColumn id="7" xr3:uid="{00000000-0010-0000-0100-000007000000}" name="Resultado"/>
    <tableColumn id="8" xr3:uid="{00000000-0010-0000-0100-000008000000}" name="Próxima fecha"/>
    <tableColumn id="9" xr3:uid="{00000000-0010-0000-0100-000009000000}" name="Próximo paso"/>
    <tableColumn id="10" xr3:uid="{00000000-0010-0000-0100-00000A000000}" name="Importe asociado (€)"/>
    <tableColumn id="11" xr3:uid="{00000000-0010-0000-0100-00000B000000}" name="Días para la acción"/>
    <tableColumn id="12" xr3:uid="{00000000-0010-0000-0100-00000C000000}" name="Estado tarea"/>
    <tableColumn id="13" xr3:uid="{00000000-0010-0000-0100-00000D000000}" name="Nota brev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42"/>
  <sheetViews>
    <sheetView showGridLines="0" tabSelected="1" zoomScale="80" zoomScaleNormal="80" workbookViewId="0">
      <selection activeCell="T32" sqref="T32"/>
    </sheetView>
  </sheetViews>
  <sheetFormatPr baseColWidth="10" defaultColWidth="8.88671875" defaultRowHeight="14.4" x14ac:dyDescent="0.3"/>
  <cols>
    <col min="1" max="8" width="14" customWidth="1"/>
    <col min="10" max="10" width="18" customWidth="1"/>
    <col min="11" max="11" width="12" customWidth="1"/>
    <col min="13" max="14" width="16" customWidth="1"/>
    <col min="18" max="18" width="2" customWidth="1"/>
  </cols>
  <sheetData>
    <row r="1" spans="1:14" ht="25.95" customHeight="1" x14ac:dyDescent="0.3">
      <c r="A1" s="26" t="s">
        <v>0</v>
      </c>
      <c r="B1" s="27"/>
      <c r="C1" s="27"/>
      <c r="D1" s="27"/>
      <c r="E1" s="27"/>
      <c r="F1" s="27"/>
      <c r="G1" s="27"/>
      <c r="H1" s="27"/>
    </row>
    <row r="2" spans="1:14" ht="28.05" customHeight="1" x14ac:dyDescent="0.3">
      <c r="A2" s="33" t="s">
        <v>1</v>
      </c>
      <c r="B2" s="27"/>
      <c r="C2" s="27"/>
      <c r="D2" s="27"/>
      <c r="E2" s="27"/>
      <c r="F2" s="27"/>
      <c r="G2" s="27"/>
      <c r="H2" s="27"/>
      <c r="J2" s="1" t="s">
        <v>2</v>
      </c>
      <c r="K2" s="1" t="s">
        <v>3</v>
      </c>
      <c r="M2" s="1" t="s">
        <v>4</v>
      </c>
      <c r="N2" s="1" t="s">
        <v>5</v>
      </c>
    </row>
    <row r="3" spans="1:14" x14ac:dyDescent="0.3">
      <c r="J3" s="2" t="s">
        <v>6</v>
      </c>
      <c r="K3" s="3">
        <f>COUNTIF(Clientes!$L$5:$L$500,J3)</f>
        <v>6</v>
      </c>
      <c r="M3" s="2" t="s">
        <v>7</v>
      </c>
      <c r="N3" s="4">
        <f>SUMIF(Clientes!$F$5:$F$500,M3,Clientes!$S$5:$S$500)</f>
        <v>26500</v>
      </c>
    </row>
    <row r="4" spans="1:14" x14ac:dyDescent="0.3">
      <c r="A4" s="30" t="s">
        <v>8</v>
      </c>
      <c r="B4" s="25"/>
      <c r="C4" s="30" t="s">
        <v>9</v>
      </c>
      <c r="D4" s="25"/>
      <c r="E4" s="30" t="s">
        <v>10</v>
      </c>
      <c r="F4" s="25"/>
      <c r="G4" s="30" t="s">
        <v>11</v>
      </c>
      <c r="H4" s="25"/>
      <c r="J4" s="2" t="s">
        <v>12</v>
      </c>
      <c r="K4" s="3">
        <f>COUNTIF(Clientes!$L$5:$L$500,J4)</f>
        <v>4</v>
      </c>
      <c r="M4" s="2" t="s">
        <v>13</v>
      </c>
      <c r="N4" s="4">
        <f>SUMIF(Clientes!$F$5:$F$500,M4,Clientes!$S$5:$S$500)</f>
        <v>32145</v>
      </c>
    </row>
    <row r="5" spans="1:14" ht="22.2" x14ac:dyDescent="0.3">
      <c r="A5" s="24">
        <f>COUNTA(Clientes!$A$5:$A$500)</f>
        <v>15</v>
      </c>
      <c r="B5" s="25"/>
      <c r="C5" s="24">
        <f>COUNTIF(Clientes!$L$5:$L$500,"Activo")</f>
        <v>6</v>
      </c>
      <c r="D5" s="25"/>
      <c r="E5" s="24">
        <f>COUNTIF(Clientes!$L$5:$L$500,"En riesgo")</f>
        <v>2</v>
      </c>
      <c r="F5" s="25"/>
      <c r="G5" s="24">
        <f ca="1">COUNTIF(Clientes!$P$5:$P$500,"Vencido")</f>
        <v>0</v>
      </c>
      <c r="H5" s="25"/>
      <c r="J5" s="2" t="s">
        <v>10</v>
      </c>
      <c r="K5" s="3">
        <f>COUNTIF(Clientes!$L$5:$L$500,J5)</f>
        <v>2</v>
      </c>
      <c r="M5" s="2" t="s">
        <v>14</v>
      </c>
      <c r="N5" s="4">
        <f>SUMIF(Clientes!$F$5:$F$500,M5,Clientes!$S$5:$S$500)</f>
        <v>23780</v>
      </c>
    </row>
    <row r="6" spans="1:14" x14ac:dyDescent="0.3">
      <c r="J6" s="2" t="s">
        <v>15</v>
      </c>
      <c r="K6" s="3">
        <f>COUNTIF(Clientes!$L$5:$L$500,J6)</f>
        <v>2</v>
      </c>
      <c r="M6" s="2" t="s">
        <v>16</v>
      </c>
      <c r="N6" s="4">
        <f>SUMIF(Clientes!$F$5:$F$500,M6,Clientes!$S$5:$S$500)</f>
        <v>48980</v>
      </c>
    </row>
    <row r="7" spans="1:14" x14ac:dyDescent="0.3">
      <c r="A7" s="30" t="s">
        <v>5</v>
      </c>
      <c r="B7" s="25"/>
      <c r="C7" s="30" t="s">
        <v>17</v>
      </c>
      <c r="D7" s="25"/>
      <c r="E7" s="30" t="s">
        <v>18</v>
      </c>
      <c r="F7" s="25"/>
      <c r="G7" s="30" t="s">
        <v>19</v>
      </c>
      <c r="H7" s="25"/>
      <c r="J7" s="2" t="s">
        <v>20</v>
      </c>
      <c r="K7" s="3">
        <f>COUNTIF(Clientes!$L$5:$L$500,J7)</f>
        <v>1</v>
      </c>
      <c r="M7" s="2" t="s">
        <v>21</v>
      </c>
      <c r="N7" s="4">
        <f>SUMIF(Clientes!$F$5:$F$500,M7,Clientes!$S$5:$S$500)</f>
        <v>20460</v>
      </c>
    </row>
    <row r="8" spans="1:14" ht="22.2" x14ac:dyDescent="0.3">
      <c r="A8" s="29">
        <f>SUM(Clientes!$S$5:$S$500)</f>
        <v>151865</v>
      </c>
      <c r="B8" s="25"/>
      <c r="C8" s="29">
        <f>SUM(Clientes!$Q$5:$Q$500)</f>
        <v>232000</v>
      </c>
      <c r="D8" s="25"/>
      <c r="E8" s="29">
        <f>IFERROR(AVERAGEIF(Clientes!$Q$5:$Q$500,"&gt;0"),0)</f>
        <v>15466.666666666666</v>
      </c>
      <c r="F8" s="25"/>
      <c r="G8" s="28">
        <f ca="1">IFERROR(AVERAGEIF(Clientes!$T$5:$T$500,"&gt;0"),0)</f>
        <v>0</v>
      </c>
      <c r="H8" s="25"/>
      <c r="J8" s="2"/>
      <c r="K8" s="3"/>
      <c r="M8" s="2"/>
      <c r="N8" s="3"/>
    </row>
    <row r="9" spans="1:14" x14ac:dyDescent="0.3">
      <c r="J9" s="2"/>
      <c r="K9" s="3"/>
      <c r="M9" s="2"/>
      <c r="N9" s="3"/>
    </row>
    <row r="10" spans="1:14" x14ac:dyDescent="0.3">
      <c r="A10" s="30" t="s">
        <v>22</v>
      </c>
      <c r="B10" s="25"/>
      <c r="C10" s="30" t="s">
        <v>23</v>
      </c>
      <c r="D10" s="25"/>
      <c r="E10" s="30" t="s">
        <v>24</v>
      </c>
      <c r="F10" s="25"/>
      <c r="G10" s="30" t="s">
        <v>25</v>
      </c>
      <c r="H10" s="25"/>
      <c r="J10" s="5" t="s">
        <v>26</v>
      </c>
      <c r="K10" s="6" t="s">
        <v>3</v>
      </c>
      <c r="M10" s="2"/>
      <c r="N10" s="3"/>
    </row>
    <row r="11" spans="1:14" ht="22.2" x14ac:dyDescent="0.3">
      <c r="A11" s="24">
        <f ca="1">COUNTIFS(Actividad!$A$5:$A$1000,"&gt;="&amp;EOMONTH(TODAY(),-1)+1,Actividad!$A$5:$A$1000,"&lt;="&amp;TODAY())</f>
        <v>16</v>
      </c>
      <c r="B11" s="25"/>
      <c r="C11" s="24">
        <f ca="1">COUNTIFS(Actividad!$H$5:$H$1000,"&gt;="&amp;TODAY(),Actividad!$H$5:$H$1000,"&lt;="&amp;TODAY()+7)</f>
        <v>9</v>
      </c>
      <c r="D11" s="25"/>
      <c r="E11" s="24">
        <f>COUNTIF(Clientes!$L$5:$L$500,"Dormido")</f>
        <v>2</v>
      </c>
      <c r="F11" s="25"/>
      <c r="G11" s="24">
        <f ca="1">COUNTIF(Clientes!$P$5:$P$500,"Sin fecha")</f>
        <v>0</v>
      </c>
      <c r="H11" s="25"/>
      <c r="J11" s="2" t="s">
        <v>27</v>
      </c>
      <c r="K11" s="3">
        <f>COUNTIF(Clientes!$K$5:$K$500,J11)</f>
        <v>3</v>
      </c>
      <c r="M11" s="2"/>
      <c r="N11" s="3"/>
    </row>
    <row r="12" spans="1:14" x14ac:dyDescent="0.3">
      <c r="J12" s="2" t="s">
        <v>28</v>
      </c>
      <c r="K12" s="3">
        <f>COUNTIF(Clientes!$K$5:$K$500,J12)</f>
        <v>3</v>
      </c>
      <c r="M12" s="2"/>
      <c r="N12" s="3"/>
    </row>
    <row r="13" spans="1:14" x14ac:dyDescent="0.3">
      <c r="A13" s="34" t="s">
        <v>29</v>
      </c>
      <c r="B13" s="35"/>
      <c r="C13" s="35"/>
      <c r="D13" s="35"/>
      <c r="E13" s="35"/>
      <c r="F13" s="35"/>
      <c r="G13" s="35"/>
      <c r="H13" s="36"/>
      <c r="J13" s="2" t="s">
        <v>30</v>
      </c>
      <c r="K13" s="3">
        <f>COUNTIF(Clientes!$K$5:$K$500,J13)</f>
        <v>3</v>
      </c>
      <c r="M13" s="2"/>
      <c r="N13" s="3"/>
    </row>
    <row r="14" spans="1:14" x14ac:dyDescent="0.3">
      <c r="A14" s="37"/>
      <c r="B14" s="27"/>
      <c r="C14" s="27"/>
      <c r="D14" s="27"/>
      <c r="E14" s="27"/>
      <c r="F14" s="27"/>
      <c r="G14" s="27"/>
      <c r="H14" s="38"/>
      <c r="J14" s="2" t="s">
        <v>31</v>
      </c>
      <c r="K14" s="3">
        <f>COUNTIF(Clientes!$K$5:$K$500,J14)</f>
        <v>3</v>
      </c>
      <c r="M14" s="2"/>
      <c r="N14" s="3"/>
    </row>
    <row r="15" spans="1:14" x14ac:dyDescent="0.3">
      <c r="A15" s="39"/>
      <c r="B15" s="40"/>
      <c r="C15" s="40"/>
      <c r="D15" s="40"/>
      <c r="E15" s="40"/>
      <c r="F15" s="40"/>
      <c r="G15" s="40"/>
      <c r="H15" s="41"/>
      <c r="J15" s="2" t="s">
        <v>32</v>
      </c>
      <c r="K15" s="3">
        <f>COUNTIF(Clientes!$K$5:$K$500,J15)</f>
        <v>1</v>
      </c>
      <c r="M15" s="2"/>
      <c r="N15" s="3"/>
    </row>
    <row r="16" spans="1:14" x14ac:dyDescent="0.3">
      <c r="J16" s="2" t="s">
        <v>33</v>
      </c>
      <c r="K16" s="3">
        <f>COUNTIF(Clientes!$K$5:$K$500,J16)</f>
        <v>2</v>
      </c>
      <c r="M16" s="2"/>
      <c r="N16" s="3"/>
    </row>
    <row r="17" spans="1:8" x14ac:dyDescent="0.3">
      <c r="A17" s="7" t="s">
        <v>34</v>
      </c>
    </row>
    <row r="18" spans="1:8" x14ac:dyDescent="0.3">
      <c r="A18" s="31" t="s">
        <v>35</v>
      </c>
      <c r="B18" s="32"/>
      <c r="C18" s="32"/>
      <c r="D18" s="32"/>
      <c r="E18" s="32"/>
      <c r="F18" s="32"/>
      <c r="G18" s="32"/>
      <c r="H18" s="32"/>
    </row>
    <row r="42" spans="18:18" x14ac:dyDescent="0.3">
      <c r="R42" s="23" t="s">
        <v>36</v>
      </c>
    </row>
  </sheetData>
  <mergeCells count="28">
    <mergeCell ref="A18:H18"/>
    <mergeCell ref="C11:D11"/>
    <mergeCell ref="A2:H2"/>
    <mergeCell ref="E11:F11"/>
    <mergeCell ref="A5:B5"/>
    <mergeCell ref="G5:H5"/>
    <mergeCell ref="A8:B8"/>
    <mergeCell ref="C8:D8"/>
    <mergeCell ref="A4:B4"/>
    <mergeCell ref="G4:H4"/>
    <mergeCell ref="C7:D7"/>
    <mergeCell ref="E7:F7"/>
    <mergeCell ref="A10:B10"/>
    <mergeCell ref="A13:H15"/>
    <mergeCell ref="A11:B11"/>
    <mergeCell ref="G11:H11"/>
    <mergeCell ref="C5:D5"/>
    <mergeCell ref="E5:F5"/>
    <mergeCell ref="A1:H1"/>
    <mergeCell ref="G8:H8"/>
    <mergeCell ref="E8:F8"/>
    <mergeCell ref="C4:D4"/>
    <mergeCell ref="E4:F4"/>
    <mergeCell ref="C10:D10"/>
    <mergeCell ref="A7:B7"/>
    <mergeCell ref="G7:H7"/>
    <mergeCell ref="E10:F10"/>
    <mergeCell ref="G10:H1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9"/>
  <sheetViews>
    <sheetView showGridLines="0" workbookViewId="0"/>
  </sheetViews>
  <sheetFormatPr baseColWidth="10" defaultColWidth="8.88671875" defaultRowHeight="14.4" x14ac:dyDescent="0.3"/>
  <cols>
    <col min="1" max="2" width="12" customWidth="1"/>
    <col min="3" max="3" width="22" customWidth="1"/>
    <col min="4" max="4" width="14" customWidth="1"/>
    <col min="5" max="5" width="15" customWidth="1"/>
    <col min="6" max="6" width="12" customWidth="1"/>
    <col min="7" max="7" width="14" customWidth="1"/>
    <col min="8" max="8" width="12" customWidth="1"/>
    <col min="9" max="9" width="26" customWidth="1"/>
    <col min="10" max="10" width="15" customWidth="1"/>
    <col min="11" max="11" width="16" customWidth="1"/>
    <col min="12" max="12" width="18" customWidth="1"/>
    <col min="13" max="13" width="14" customWidth="1"/>
    <col min="14" max="14" width="16" customWidth="1"/>
    <col min="15" max="15" width="14" customWidth="1"/>
    <col min="16" max="16" width="16" customWidth="1"/>
    <col min="17" max="17" width="19" customWidth="1"/>
    <col min="18" max="18" width="13" customWidth="1"/>
    <col min="19" max="19" width="18" customWidth="1"/>
    <col min="20" max="20" width="14" customWidth="1"/>
    <col min="21" max="21" width="10" customWidth="1"/>
    <col min="22" max="22" width="36" customWidth="1"/>
  </cols>
  <sheetData>
    <row r="1" spans="1:22" ht="24" customHeight="1" x14ac:dyDescent="0.3">
      <c r="A1" s="26" t="s">
        <v>37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</row>
    <row r="2" spans="1:22" ht="30" customHeight="1" x14ac:dyDescent="0.3">
      <c r="A2" s="33" t="s">
        <v>38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</row>
    <row r="3" spans="1:22" x14ac:dyDescent="0.3">
      <c r="A3" s="42" t="s">
        <v>39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</row>
    <row r="4" spans="1:22" ht="22.05" customHeight="1" x14ac:dyDescent="0.3">
      <c r="A4" s="8" t="s">
        <v>40</v>
      </c>
      <c r="B4" s="8" t="s">
        <v>41</v>
      </c>
      <c r="C4" s="8" t="s">
        <v>42</v>
      </c>
      <c r="D4" s="8" t="s">
        <v>43</v>
      </c>
      <c r="E4" s="8" t="s">
        <v>44</v>
      </c>
      <c r="F4" s="8" t="s">
        <v>4</v>
      </c>
      <c r="G4" s="8" t="s">
        <v>45</v>
      </c>
      <c r="H4" s="8" t="s">
        <v>46</v>
      </c>
      <c r="I4" s="8" t="s">
        <v>47</v>
      </c>
      <c r="J4" s="8" t="s">
        <v>48</v>
      </c>
      <c r="K4" s="8" t="s">
        <v>49</v>
      </c>
      <c r="L4" s="8" t="s">
        <v>50</v>
      </c>
      <c r="M4" s="9" t="s">
        <v>51</v>
      </c>
      <c r="N4" s="9" t="s">
        <v>52</v>
      </c>
      <c r="O4" s="9" t="s">
        <v>53</v>
      </c>
      <c r="P4" s="9" t="s">
        <v>54</v>
      </c>
      <c r="Q4" s="9" t="s">
        <v>55</v>
      </c>
      <c r="R4" s="9" t="s">
        <v>56</v>
      </c>
      <c r="S4" s="9" t="s">
        <v>57</v>
      </c>
      <c r="T4" s="9" t="s">
        <v>58</v>
      </c>
      <c r="U4" s="9" t="s">
        <v>59</v>
      </c>
      <c r="V4" s="8" t="s">
        <v>60</v>
      </c>
    </row>
    <row r="5" spans="1:22" ht="22.05" customHeight="1" x14ac:dyDescent="0.3">
      <c r="A5" s="10" t="s">
        <v>61</v>
      </c>
      <c r="B5" s="11">
        <v>45965</v>
      </c>
      <c r="C5" s="12" t="s">
        <v>62</v>
      </c>
      <c r="D5" s="10" t="s">
        <v>63</v>
      </c>
      <c r="E5" s="10" t="s">
        <v>64</v>
      </c>
      <c r="F5" s="10" t="s">
        <v>7</v>
      </c>
      <c r="G5" s="10" t="s">
        <v>65</v>
      </c>
      <c r="H5" s="10" t="s">
        <v>66</v>
      </c>
      <c r="I5" s="12" t="s">
        <v>67</v>
      </c>
      <c r="J5" s="10" t="s">
        <v>68</v>
      </c>
      <c r="K5" s="10" t="s">
        <v>27</v>
      </c>
      <c r="L5" s="10" t="s">
        <v>6</v>
      </c>
      <c r="M5" s="13" t="str">
        <f ca="1">IFERROR(_xludf.MAXIFS(Actividad!$A$5:$A$1000,Actividad!$B$5:$B$1000,$A5),"")</f>
        <v/>
      </c>
      <c r="N5" s="14" t="e">
        <f ca="1">IF(_xludf.MINIFS(Actividad!$H$5:$H$1000,Actividad!$B$5:$B$1000,$A5,Actividad!$H$5:$H$1000,"&gt;="&amp;TODAY())=0,IF(_xludf.MAXIFS(Actividad!$H$5:$H$1000,Actividad!$B$5:$B$1000,$A5)=0,"",_xludf.MAXIFS(Actividad!$H$5:$H$1000,Actividad!$B$5:$B$1000,$A5)),_xludf.MINIFS(Actividad!$H$5:$H$1000,Actividad!$B$5:$B$1000,$A5,Actividad!$H$5:$H$1000,"&gt;="&amp;TODAY()))</f>
        <v>#NAME?</v>
      </c>
      <c r="O5" s="15" t="str">
        <f t="shared" ref="O5:O19" ca="1" si="0">IF($M5="","",TODAY()-$M5)</f>
        <v/>
      </c>
      <c r="P5" s="15" t="e">
        <f t="shared" ref="P5:P19" ca="1" si="1">IF($N5="","Sin fecha",IF($N5&lt;TODAY(),"Vencido",IF($N5&lt;=TODAY()+7,"Esta semana","Planificado")))</f>
        <v>#NAME?</v>
      </c>
      <c r="Q5" s="16">
        <v>18000</v>
      </c>
      <c r="R5" s="17">
        <v>0.85</v>
      </c>
      <c r="S5" s="18">
        <f t="shared" ref="S5:S19" si="2">IF(OR($Q5="",$R5=""),"",ROUND($Q5*$R5,0))</f>
        <v>15300</v>
      </c>
      <c r="T5" s="19" t="e">
        <f t="shared" ref="T5:T19" ca="1" si="3">IF($A5="","",MAX(0,MIN(100,95-IF($O5="",0,$O5*1.2)+IF($L5="Activo",10,0)+IF($L5="En seguimiento",5,0)+IF($L5="En riesgo",-20,0)+IF($P5="Vencido",-15,0)+IF($P5="Sin fecha",-10,0))))</f>
        <v>#NAME?</v>
      </c>
      <c r="U5" s="15" t="e">
        <f t="shared" ref="U5:U19" ca="1" si="4">IF($A5="","",IF(OR($P5="Vencido",$S5&gt;=25000,$L5="En riesgo"),"Alta",IF(OR($P5="Esta semana",$S5&gt;=10000),"Media","Baja")))</f>
        <v>#NAME?</v>
      </c>
      <c r="V5" s="20" t="s">
        <v>69</v>
      </c>
    </row>
    <row r="6" spans="1:22" ht="22.05" customHeight="1" x14ac:dyDescent="0.3">
      <c r="A6" s="10" t="s">
        <v>70</v>
      </c>
      <c r="B6" s="11">
        <v>46009</v>
      </c>
      <c r="C6" s="12" t="s">
        <v>71</v>
      </c>
      <c r="D6" s="10" t="s">
        <v>63</v>
      </c>
      <c r="E6" s="10" t="s">
        <v>72</v>
      </c>
      <c r="F6" s="10" t="s">
        <v>13</v>
      </c>
      <c r="G6" s="10" t="s">
        <v>73</v>
      </c>
      <c r="H6" s="10" t="s">
        <v>66</v>
      </c>
      <c r="I6" s="12" t="s">
        <v>74</v>
      </c>
      <c r="J6" s="10" t="s">
        <v>75</v>
      </c>
      <c r="K6" s="10" t="s">
        <v>30</v>
      </c>
      <c r="L6" s="10" t="s">
        <v>12</v>
      </c>
      <c r="M6" s="13" t="str">
        <f ca="1">IFERROR(_xludf.MAXIFS(Actividad!$A$5:$A$1000,Actividad!$B$5:$B$1000,$A6),"")</f>
        <v/>
      </c>
      <c r="N6" s="14" t="e">
        <f ca="1">IF(_xludf.MINIFS(Actividad!$H$5:$H$1000,Actividad!$B$5:$B$1000,$A6,Actividad!$H$5:$H$1000,"&gt;="&amp;TODAY())=0,IF(_xludf.MAXIFS(Actividad!$H$5:$H$1000,Actividad!$B$5:$B$1000,$A6)=0,"",_xludf.MAXIFS(Actividad!$H$5:$H$1000,Actividad!$B$5:$B$1000,$A6)),_xludf.MINIFS(Actividad!$H$5:$H$1000,Actividad!$B$5:$B$1000,$A6,Actividad!$H$5:$H$1000,"&gt;="&amp;TODAY()))</f>
        <v>#NAME?</v>
      </c>
      <c r="O6" s="15" t="str">
        <f t="shared" ca="1" si="0"/>
        <v/>
      </c>
      <c r="P6" s="15" t="e">
        <f t="shared" ca="1" si="1"/>
        <v>#NAME?</v>
      </c>
      <c r="Q6" s="16">
        <v>9500</v>
      </c>
      <c r="R6" s="17">
        <v>0.55000000000000004</v>
      </c>
      <c r="S6" s="18">
        <f t="shared" si="2"/>
        <v>5225</v>
      </c>
      <c r="T6" s="19" t="e">
        <f t="shared" ca="1" si="3"/>
        <v>#NAME?</v>
      </c>
      <c r="U6" s="15" t="e">
        <f t="shared" ca="1" si="4"/>
        <v>#NAME?</v>
      </c>
      <c r="V6" s="20" t="s">
        <v>76</v>
      </c>
    </row>
    <row r="7" spans="1:22" ht="22.05" customHeight="1" x14ac:dyDescent="0.3">
      <c r="A7" s="10" t="s">
        <v>77</v>
      </c>
      <c r="B7" s="11">
        <v>46029</v>
      </c>
      <c r="C7" s="12" t="s">
        <v>78</v>
      </c>
      <c r="D7" s="10" t="s">
        <v>63</v>
      </c>
      <c r="E7" s="10" t="s">
        <v>79</v>
      </c>
      <c r="F7" s="10" t="s">
        <v>14</v>
      </c>
      <c r="G7" s="10" t="s">
        <v>80</v>
      </c>
      <c r="H7" s="10" t="s">
        <v>66</v>
      </c>
      <c r="I7" s="12" t="s">
        <v>81</v>
      </c>
      <c r="J7" s="10" t="s">
        <v>82</v>
      </c>
      <c r="K7" s="10" t="s">
        <v>28</v>
      </c>
      <c r="L7" s="10" t="s">
        <v>6</v>
      </c>
      <c r="M7" s="13" t="str">
        <f ca="1">IFERROR(_xludf.MAXIFS(Actividad!$A$5:$A$1000,Actividad!$B$5:$B$1000,$A7),"")</f>
        <v/>
      </c>
      <c r="N7" s="14" t="e">
        <f ca="1">IF(_xludf.MINIFS(Actividad!$H$5:$H$1000,Actividad!$B$5:$B$1000,$A7,Actividad!$H$5:$H$1000,"&gt;="&amp;TODAY())=0,IF(_xludf.MAXIFS(Actividad!$H$5:$H$1000,Actividad!$B$5:$B$1000,$A7)=0,"",_xludf.MAXIFS(Actividad!$H$5:$H$1000,Actividad!$B$5:$B$1000,$A7)),_xludf.MINIFS(Actividad!$H$5:$H$1000,Actividad!$B$5:$B$1000,$A7,Actividad!$H$5:$H$1000,"&gt;="&amp;TODAY()))</f>
        <v>#NAME?</v>
      </c>
      <c r="O7" s="15" t="str">
        <f t="shared" ca="1" si="0"/>
        <v/>
      </c>
      <c r="P7" s="15" t="e">
        <f t="shared" ca="1" si="1"/>
        <v>#NAME?</v>
      </c>
      <c r="Q7" s="16">
        <v>24000</v>
      </c>
      <c r="R7" s="17">
        <v>0.92</v>
      </c>
      <c r="S7" s="18">
        <f t="shared" si="2"/>
        <v>22080</v>
      </c>
      <c r="T7" s="19" t="e">
        <f t="shared" ca="1" si="3"/>
        <v>#NAME?</v>
      </c>
      <c r="U7" s="15" t="e">
        <f t="shared" ca="1" si="4"/>
        <v>#NAME?</v>
      </c>
      <c r="V7" s="20" t="s">
        <v>83</v>
      </c>
    </row>
    <row r="8" spans="1:22" ht="22.05" customHeight="1" x14ac:dyDescent="0.3">
      <c r="A8" s="10" t="s">
        <v>84</v>
      </c>
      <c r="B8" s="11">
        <v>45951</v>
      </c>
      <c r="C8" s="12" t="s">
        <v>85</v>
      </c>
      <c r="D8" s="10" t="s">
        <v>86</v>
      </c>
      <c r="E8" s="10" t="s">
        <v>87</v>
      </c>
      <c r="F8" s="10" t="s">
        <v>16</v>
      </c>
      <c r="G8" s="10" t="s">
        <v>88</v>
      </c>
      <c r="H8" s="10" t="s">
        <v>66</v>
      </c>
      <c r="I8" s="12" t="s">
        <v>89</v>
      </c>
      <c r="J8" s="10" t="s">
        <v>90</v>
      </c>
      <c r="K8" s="10" t="s">
        <v>31</v>
      </c>
      <c r="L8" s="10" t="s">
        <v>10</v>
      </c>
      <c r="M8" s="13" t="str">
        <f ca="1">IFERROR(_xludf.MAXIFS(Actividad!$A$5:$A$1000,Actividad!$B$5:$B$1000,$A8),"")</f>
        <v/>
      </c>
      <c r="N8" s="14" t="e">
        <f ca="1">IF(_xludf.MINIFS(Actividad!$H$5:$H$1000,Actividad!$B$5:$B$1000,$A8,Actividad!$H$5:$H$1000,"&gt;="&amp;TODAY())=0,IF(_xludf.MAXIFS(Actividad!$H$5:$H$1000,Actividad!$B$5:$B$1000,$A8)=0,"",_xludf.MAXIFS(Actividad!$H$5:$H$1000,Actividad!$B$5:$B$1000,$A8)),_xludf.MINIFS(Actividad!$H$5:$H$1000,Actividad!$B$5:$B$1000,$A8,Actividad!$H$5:$H$1000,"&gt;="&amp;TODAY()))</f>
        <v>#NAME?</v>
      </c>
      <c r="O8" s="15" t="str">
        <f t="shared" ca="1" si="0"/>
        <v/>
      </c>
      <c r="P8" s="15" t="e">
        <f t="shared" ca="1" si="1"/>
        <v>#NAME?</v>
      </c>
      <c r="Q8" s="16">
        <v>14000</v>
      </c>
      <c r="R8" s="17">
        <v>0.4</v>
      </c>
      <c r="S8" s="18">
        <f t="shared" si="2"/>
        <v>5600</v>
      </c>
      <c r="T8" s="19" t="e">
        <f t="shared" ca="1" si="3"/>
        <v>#NAME?</v>
      </c>
      <c r="U8" s="15" t="e">
        <f t="shared" ca="1" si="4"/>
        <v>#NAME?</v>
      </c>
      <c r="V8" s="20" t="s">
        <v>91</v>
      </c>
    </row>
    <row r="9" spans="1:22" ht="22.05" customHeight="1" x14ac:dyDescent="0.3">
      <c r="A9" s="10" t="s">
        <v>92</v>
      </c>
      <c r="B9" s="11">
        <v>46055</v>
      </c>
      <c r="C9" s="12" t="s">
        <v>93</v>
      </c>
      <c r="D9" s="10" t="s">
        <v>63</v>
      </c>
      <c r="E9" s="10" t="s">
        <v>94</v>
      </c>
      <c r="F9" s="10" t="s">
        <v>21</v>
      </c>
      <c r="G9" s="10" t="s">
        <v>95</v>
      </c>
      <c r="H9" s="10" t="s">
        <v>66</v>
      </c>
      <c r="I9" s="12" t="s">
        <v>96</v>
      </c>
      <c r="J9" s="10" t="s">
        <v>97</v>
      </c>
      <c r="K9" s="10" t="s">
        <v>32</v>
      </c>
      <c r="L9" s="10" t="s">
        <v>12</v>
      </c>
      <c r="M9" s="13" t="str">
        <f ca="1">IFERROR(_xludf.MAXIFS(Actividad!$A$5:$A$1000,Actividad!$B$5:$B$1000,$A9),"")</f>
        <v/>
      </c>
      <c r="N9" s="14" t="e">
        <f ca="1">IF(_xludf.MINIFS(Actividad!$H$5:$H$1000,Actividad!$B$5:$B$1000,$A9,Actividad!$H$5:$H$1000,"&gt;="&amp;TODAY())=0,IF(_xludf.MAXIFS(Actividad!$H$5:$H$1000,Actividad!$B$5:$B$1000,$A9)=0,"",_xludf.MAXIFS(Actividad!$H$5:$H$1000,Actividad!$B$5:$B$1000,$A9)),_xludf.MINIFS(Actividad!$H$5:$H$1000,Actividad!$B$5:$B$1000,$A9,Actividad!$H$5:$H$1000,"&gt;="&amp;TODAY()))</f>
        <v>#NAME?</v>
      </c>
      <c r="O9" s="15" t="str">
        <f t="shared" ca="1" si="0"/>
        <v/>
      </c>
      <c r="P9" s="15" t="e">
        <f t="shared" ca="1" si="1"/>
        <v>#NAME?</v>
      </c>
      <c r="Q9" s="16">
        <v>12000</v>
      </c>
      <c r="R9" s="17">
        <v>0.6</v>
      </c>
      <c r="S9" s="18">
        <f t="shared" si="2"/>
        <v>7200</v>
      </c>
      <c r="T9" s="19" t="e">
        <f t="shared" ca="1" si="3"/>
        <v>#NAME?</v>
      </c>
      <c r="U9" s="15" t="e">
        <f t="shared" ca="1" si="4"/>
        <v>#NAME?</v>
      </c>
      <c r="V9" s="20" t="s">
        <v>98</v>
      </c>
    </row>
    <row r="10" spans="1:22" ht="22.05" customHeight="1" x14ac:dyDescent="0.3">
      <c r="A10" s="10" t="s">
        <v>99</v>
      </c>
      <c r="B10" s="11">
        <v>45915</v>
      </c>
      <c r="C10" s="12" t="s">
        <v>100</v>
      </c>
      <c r="D10" s="10" t="s">
        <v>63</v>
      </c>
      <c r="E10" s="10" t="s">
        <v>79</v>
      </c>
      <c r="F10" s="10" t="s">
        <v>7</v>
      </c>
      <c r="G10" s="10" t="s">
        <v>101</v>
      </c>
      <c r="H10" s="10" t="s">
        <v>66</v>
      </c>
      <c r="I10" s="12" t="s">
        <v>102</v>
      </c>
      <c r="J10" s="10" t="s">
        <v>103</v>
      </c>
      <c r="K10" s="10" t="s">
        <v>33</v>
      </c>
      <c r="L10" s="10" t="s">
        <v>15</v>
      </c>
      <c r="M10" s="13" t="str">
        <f ca="1">IFERROR(_xludf.MAXIFS(Actividad!$A$5:$A$1000,Actividad!$B$5:$B$1000,$A10),"")</f>
        <v/>
      </c>
      <c r="N10" s="14" t="e">
        <f ca="1">IF(_xludf.MINIFS(Actividad!$H$5:$H$1000,Actividad!$B$5:$B$1000,$A10,Actividad!$H$5:$H$1000,"&gt;="&amp;TODAY())=0,IF(_xludf.MAXIFS(Actividad!$H$5:$H$1000,Actividad!$B$5:$B$1000,$A10)=0,"",_xludf.MAXIFS(Actividad!$H$5:$H$1000,Actividad!$B$5:$B$1000,$A10)),_xludf.MINIFS(Actividad!$H$5:$H$1000,Actividad!$B$5:$B$1000,$A10,Actividad!$H$5:$H$1000,"&gt;="&amp;TODAY()))</f>
        <v>#NAME?</v>
      </c>
      <c r="O10" s="15" t="str">
        <f t="shared" ca="1" si="0"/>
        <v/>
      </c>
      <c r="P10" s="15" t="e">
        <f t="shared" ca="1" si="1"/>
        <v>#NAME?</v>
      </c>
      <c r="Q10" s="16">
        <v>7000</v>
      </c>
      <c r="R10" s="17">
        <v>0.25</v>
      </c>
      <c r="S10" s="18">
        <f t="shared" si="2"/>
        <v>1750</v>
      </c>
      <c r="T10" s="19" t="e">
        <f t="shared" ca="1" si="3"/>
        <v>#NAME?</v>
      </c>
      <c r="U10" s="15" t="e">
        <f t="shared" ca="1" si="4"/>
        <v>#NAME?</v>
      </c>
      <c r="V10" s="20" t="s">
        <v>104</v>
      </c>
    </row>
    <row r="11" spans="1:22" ht="22.05" customHeight="1" x14ac:dyDescent="0.3">
      <c r="A11" s="10" t="s">
        <v>105</v>
      </c>
      <c r="B11" s="11">
        <v>46086</v>
      </c>
      <c r="C11" s="12" t="s">
        <v>106</v>
      </c>
      <c r="D11" s="10" t="s">
        <v>63</v>
      </c>
      <c r="E11" s="10" t="s">
        <v>107</v>
      </c>
      <c r="F11" s="10" t="s">
        <v>13</v>
      </c>
      <c r="G11" s="10" t="s">
        <v>108</v>
      </c>
      <c r="H11" s="10" t="s">
        <v>66</v>
      </c>
      <c r="I11" s="12" t="s">
        <v>109</v>
      </c>
      <c r="J11" s="10" t="s">
        <v>110</v>
      </c>
      <c r="K11" s="10" t="s">
        <v>28</v>
      </c>
      <c r="L11" s="10" t="s">
        <v>6</v>
      </c>
      <c r="M11" s="13" t="str">
        <f ca="1">IFERROR(_xludf.MAXIFS(Actividad!$A$5:$A$1000,Actividad!$B$5:$B$1000,$A11),"")</f>
        <v/>
      </c>
      <c r="N11" s="14" t="e">
        <f ca="1">IF(_xludf.MINIFS(Actividad!$H$5:$H$1000,Actividad!$B$5:$B$1000,$A11,Actividad!$H$5:$H$1000,"&gt;="&amp;TODAY())=0,IF(_xludf.MAXIFS(Actividad!$H$5:$H$1000,Actividad!$B$5:$B$1000,$A11)=0,"",_xludf.MAXIFS(Actividad!$H$5:$H$1000,Actividad!$B$5:$B$1000,$A11)),_xludf.MINIFS(Actividad!$H$5:$H$1000,Actividad!$B$5:$B$1000,$A11,Actividad!$H$5:$H$1000,"&gt;="&amp;TODAY()))</f>
        <v>#NAME?</v>
      </c>
      <c r="O11" s="15" t="str">
        <f t="shared" ca="1" si="0"/>
        <v/>
      </c>
      <c r="P11" s="15" t="e">
        <f t="shared" ca="1" si="1"/>
        <v>#NAME?</v>
      </c>
      <c r="Q11" s="16">
        <v>16500</v>
      </c>
      <c r="R11" s="17">
        <v>0.88</v>
      </c>
      <c r="S11" s="18">
        <f t="shared" si="2"/>
        <v>14520</v>
      </c>
      <c r="T11" s="19" t="e">
        <f t="shared" ca="1" si="3"/>
        <v>#NAME?</v>
      </c>
      <c r="U11" s="15" t="e">
        <f t="shared" ca="1" si="4"/>
        <v>#NAME?</v>
      </c>
      <c r="V11" s="20" t="s">
        <v>111</v>
      </c>
    </row>
    <row r="12" spans="1:22" ht="22.05" customHeight="1" x14ac:dyDescent="0.3">
      <c r="A12" s="10" t="s">
        <v>112</v>
      </c>
      <c r="B12" s="11">
        <v>45898</v>
      </c>
      <c r="C12" s="12" t="s">
        <v>113</v>
      </c>
      <c r="D12" s="10" t="s">
        <v>114</v>
      </c>
      <c r="E12" s="10" t="s">
        <v>115</v>
      </c>
      <c r="F12" s="10" t="s">
        <v>14</v>
      </c>
      <c r="G12" s="10" t="s">
        <v>116</v>
      </c>
      <c r="H12" s="10" t="s">
        <v>66</v>
      </c>
      <c r="I12" s="12" t="s">
        <v>117</v>
      </c>
      <c r="J12" s="10" t="s">
        <v>118</v>
      </c>
      <c r="K12" s="10" t="s">
        <v>27</v>
      </c>
      <c r="L12" s="10" t="s">
        <v>20</v>
      </c>
      <c r="M12" s="13" t="str">
        <f ca="1">IFERROR(_xludf.MAXIFS(Actividad!$A$5:$A$1000,Actividad!$B$5:$B$1000,$A12),"")</f>
        <v/>
      </c>
      <c r="N12" s="14" t="e">
        <f ca="1">IF(_xludf.MINIFS(Actividad!$H$5:$H$1000,Actividad!$B$5:$B$1000,$A12,Actividad!$H$5:$H$1000,"&gt;="&amp;TODAY())=0,IF(_xludf.MAXIFS(Actividad!$H$5:$H$1000,Actividad!$B$5:$B$1000,$A12)=0,"",_xludf.MAXIFS(Actividad!$H$5:$H$1000,Actividad!$B$5:$B$1000,$A12)),_xludf.MINIFS(Actividad!$H$5:$H$1000,Actividad!$B$5:$B$1000,$A12,Actividad!$H$5:$H$1000,"&gt;="&amp;TODAY()))</f>
        <v>#NAME?</v>
      </c>
      <c r="O12" s="15" t="str">
        <f t="shared" ca="1" si="0"/>
        <v/>
      </c>
      <c r="P12" s="15" t="e">
        <f t="shared" ca="1" si="1"/>
        <v>#NAME?</v>
      </c>
      <c r="Q12" s="16">
        <v>5000</v>
      </c>
      <c r="R12" s="17">
        <v>0</v>
      </c>
      <c r="S12" s="18">
        <f t="shared" si="2"/>
        <v>0</v>
      </c>
      <c r="T12" s="19" t="e">
        <f t="shared" ca="1" si="3"/>
        <v>#NAME?</v>
      </c>
      <c r="U12" s="15" t="e">
        <f t="shared" ca="1" si="4"/>
        <v>#NAME?</v>
      </c>
      <c r="V12" s="20" t="s">
        <v>119</v>
      </c>
    </row>
    <row r="13" spans="1:22" ht="22.05" customHeight="1" x14ac:dyDescent="0.3">
      <c r="A13" s="10" t="s">
        <v>120</v>
      </c>
      <c r="B13" s="11">
        <v>45989</v>
      </c>
      <c r="C13" s="12" t="s">
        <v>121</v>
      </c>
      <c r="D13" s="10" t="s">
        <v>63</v>
      </c>
      <c r="E13" s="10" t="s">
        <v>122</v>
      </c>
      <c r="F13" s="10" t="s">
        <v>16</v>
      </c>
      <c r="G13" s="10" t="s">
        <v>123</v>
      </c>
      <c r="H13" s="10" t="s">
        <v>66</v>
      </c>
      <c r="I13" s="12" t="s">
        <v>124</v>
      </c>
      <c r="J13" s="10" t="s">
        <v>125</v>
      </c>
      <c r="K13" s="10" t="s">
        <v>30</v>
      </c>
      <c r="L13" s="10" t="s">
        <v>6</v>
      </c>
      <c r="M13" s="13" t="str">
        <f ca="1">IFERROR(_xludf.MAXIFS(Actividad!$A$5:$A$1000,Actividad!$B$5:$B$1000,$A13),"")</f>
        <v/>
      </c>
      <c r="N13" s="14" t="e">
        <f ca="1">IF(_xludf.MINIFS(Actividad!$H$5:$H$1000,Actividad!$B$5:$B$1000,$A13,Actividad!$H$5:$H$1000,"&gt;="&amp;TODAY())=0,IF(_xludf.MAXIFS(Actividad!$H$5:$H$1000,Actividad!$B$5:$B$1000,$A13)=0,"",_xludf.MAXIFS(Actividad!$H$5:$H$1000,Actividad!$B$5:$B$1000,$A13)),_xludf.MINIFS(Actividad!$H$5:$H$1000,Actividad!$B$5:$B$1000,$A13,Actividad!$H$5:$H$1000,"&gt;="&amp;TODAY()))</f>
        <v>#NAME?</v>
      </c>
      <c r="O13" s="15" t="str">
        <f t="shared" ca="1" si="0"/>
        <v/>
      </c>
      <c r="P13" s="15" t="e">
        <f t="shared" ca="1" si="1"/>
        <v>#NAME?</v>
      </c>
      <c r="Q13" s="16">
        <v>21000</v>
      </c>
      <c r="R13" s="17">
        <v>0.78</v>
      </c>
      <c r="S13" s="18">
        <f t="shared" si="2"/>
        <v>16380</v>
      </c>
      <c r="T13" s="19" t="e">
        <f t="shared" ca="1" si="3"/>
        <v>#NAME?</v>
      </c>
      <c r="U13" s="15" t="e">
        <f t="shared" ca="1" si="4"/>
        <v>#NAME?</v>
      </c>
      <c r="V13" s="20" t="s">
        <v>126</v>
      </c>
    </row>
    <row r="14" spans="1:22" ht="22.05" customHeight="1" x14ac:dyDescent="0.3">
      <c r="A14" s="10" t="s">
        <v>127</v>
      </c>
      <c r="B14" s="11">
        <v>46052</v>
      </c>
      <c r="C14" s="12" t="s">
        <v>128</v>
      </c>
      <c r="D14" s="10" t="s">
        <v>33</v>
      </c>
      <c r="E14" s="10" t="s">
        <v>129</v>
      </c>
      <c r="F14" s="10" t="s">
        <v>21</v>
      </c>
      <c r="G14" s="10" t="s">
        <v>130</v>
      </c>
      <c r="H14" s="10" t="s">
        <v>131</v>
      </c>
      <c r="I14" s="12" t="s">
        <v>132</v>
      </c>
      <c r="J14" s="10" t="s">
        <v>133</v>
      </c>
      <c r="K14" s="10" t="s">
        <v>33</v>
      </c>
      <c r="L14" s="10" t="s">
        <v>12</v>
      </c>
      <c r="M14" s="13" t="str">
        <f ca="1">IFERROR(_xludf.MAXIFS(Actividad!$A$5:$A$1000,Actividad!$B$5:$B$1000,$A14),"")</f>
        <v/>
      </c>
      <c r="N14" s="14" t="e">
        <f ca="1">IF(_xludf.MINIFS(Actividad!$H$5:$H$1000,Actividad!$B$5:$B$1000,$A14,Actividad!$H$5:$H$1000,"&gt;="&amp;TODAY())=0,IF(_xludf.MAXIFS(Actividad!$H$5:$H$1000,Actividad!$B$5:$B$1000,$A14)=0,"",_xludf.MAXIFS(Actividad!$H$5:$H$1000,Actividad!$B$5:$B$1000,$A14)),_xludf.MINIFS(Actividad!$H$5:$H$1000,Actividad!$B$5:$B$1000,$A14,Actividad!$H$5:$H$1000,"&gt;="&amp;TODAY()))</f>
        <v>#NAME?</v>
      </c>
      <c r="O14" s="15" t="str">
        <f t="shared" ca="1" si="0"/>
        <v/>
      </c>
      <c r="P14" s="15" t="e">
        <f t="shared" ca="1" si="1"/>
        <v>#NAME?</v>
      </c>
      <c r="Q14" s="16">
        <v>13000</v>
      </c>
      <c r="R14" s="17">
        <v>0.57999999999999996</v>
      </c>
      <c r="S14" s="18">
        <f t="shared" si="2"/>
        <v>7540</v>
      </c>
      <c r="T14" s="19" t="e">
        <f t="shared" ca="1" si="3"/>
        <v>#NAME?</v>
      </c>
      <c r="U14" s="15" t="e">
        <f t="shared" ca="1" si="4"/>
        <v>#NAME?</v>
      </c>
      <c r="V14" s="20" t="s">
        <v>134</v>
      </c>
    </row>
    <row r="15" spans="1:22" ht="22.05" customHeight="1" x14ac:dyDescent="0.3">
      <c r="A15" s="10" t="s">
        <v>135</v>
      </c>
      <c r="B15" s="11">
        <v>45994</v>
      </c>
      <c r="C15" s="12" t="s">
        <v>136</v>
      </c>
      <c r="D15" s="10" t="s">
        <v>63</v>
      </c>
      <c r="E15" s="10" t="s">
        <v>72</v>
      </c>
      <c r="F15" s="10" t="s">
        <v>7</v>
      </c>
      <c r="G15" s="10" t="s">
        <v>137</v>
      </c>
      <c r="H15" s="10" t="s">
        <v>66</v>
      </c>
      <c r="I15" s="12" t="s">
        <v>138</v>
      </c>
      <c r="J15" s="10" t="s">
        <v>139</v>
      </c>
      <c r="K15" s="10" t="s">
        <v>31</v>
      </c>
      <c r="L15" s="10" t="s">
        <v>10</v>
      </c>
      <c r="M15" s="13" t="str">
        <f ca="1">IFERROR(_xludf.MAXIFS(Actividad!$A$5:$A$1000,Actividad!$B$5:$B$1000,$A15),"")</f>
        <v/>
      </c>
      <c r="N15" s="14" t="e">
        <f ca="1">IF(_xludf.MINIFS(Actividad!$H$5:$H$1000,Actividad!$B$5:$B$1000,$A15,Actividad!$H$5:$H$1000,"&gt;="&amp;TODAY())=0,IF(_xludf.MAXIFS(Actividad!$H$5:$H$1000,Actividad!$B$5:$B$1000,$A15)=0,"",_xludf.MAXIFS(Actividad!$H$5:$H$1000,Actividad!$B$5:$B$1000,$A15)),_xludf.MINIFS(Actividad!$H$5:$H$1000,Actividad!$B$5:$B$1000,$A15,Actividad!$H$5:$H$1000,"&gt;="&amp;TODAY()))</f>
        <v>#NAME?</v>
      </c>
      <c r="O15" s="15" t="str">
        <f t="shared" ca="1" si="0"/>
        <v/>
      </c>
      <c r="P15" s="15" t="e">
        <f t="shared" ca="1" si="1"/>
        <v>#NAME?</v>
      </c>
      <c r="Q15" s="16">
        <v>27000</v>
      </c>
      <c r="R15" s="17">
        <v>0.35</v>
      </c>
      <c r="S15" s="18">
        <f t="shared" si="2"/>
        <v>9450</v>
      </c>
      <c r="T15" s="19" t="e">
        <f t="shared" ca="1" si="3"/>
        <v>#NAME?</v>
      </c>
      <c r="U15" s="15" t="e">
        <f t="shared" ca="1" si="4"/>
        <v>#NAME?</v>
      </c>
      <c r="V15" s="20" t="s">
        <v>140</v>
      </c>
    </row>
    <row r="16" spans="1:22" ht="22.05" customHeight="1" x14ac:dyDescent="0.3">
      <c r="A16" s="10" t="s">
        <v>141</v>
      </c>
      <c r="B16" s="11">
        <v>46073</v>
      </c>
      <c r="C16" s="12" t="s">
        <v>142</v>
      </c>
      <c r="D16" s="10" t="s">
        <v>63</v>
      </c>
      <c r="E16" s="10" t="s">
        <v>115</v>
      </c>
      <c r="F16" s="10" t="s">
        <v>13</v>
      </c>
      <c r="G16" s="10" t="s">
        <v>65</v>
      </c>
      <c r="H16" s="10" t="s">
        <v>66</v>
      </c>
      <c r="I16" s="12" t="s">
        <v>143</v>
      </c>
      <c r="J16" s="10" t="s">
        <v>144</v>
      </c>
      <c r="K16" s="10" t="s">
        <v>28</v>
      </c>
      <c r="L16" s="10" t="s">
        <v>6</v>
      </c>
      <c r="M16" s="13" t="str">
        <f ca="1">IFERROR(_xludf.MAXIFS(Actividad!$A$5:$A$1000,Actividad!$B$5:$B$1000,$A16),"")</f>
        <v/>
      </c>
      <c r="N16" s="14" t="e">
        <f ca="1">IF(_xludf.MINIFS(Actividad!$H$5:$H$1000,Actividad!$B$5:$B$1000,$A16,Actividad!$H$5:$H$1000,"&gt;="&amp;TODAY())=0,IF(_xludf.MAXIFS(Actividad!$H$5:$H$1000,Actividad!$B$5:$B$1000,$A16)=0,"",_xludf.MAXIFS(Actividad!$H$5:$H$1000,Actividad!$B$5:$B$1000,$A16)),_xludf.MINIFS(Actividad!$H$5:$H$1000,Actividad!$B$5:$B$1000,$A16,Actividad!$H$5:$H$1000,"&gt;="&amp;TODAY()))</f>
        <v>#NAME?</v>
      </c>
      <c r="O16" s="15" t="str">
        <f t="shared" ca="1" si="0"/>
        <v/>
      </c>
      <c r="P16" s="15" t="e">
        <f t="shared" ca="1" si="1"/>
        <v>#NAME?</v>
      </c>
      <c r="Q16" s="16">
        <v>15500</v>
      </c>
      <c r="R16" s="17">
        <v>0.8</v>
      </c>
      <c r="S16" s="18">
        <f t="shared" si="2"/>
        <v>12400</v>
      </c>
      <c r="T16" s="19" t="e">
        <f t="shared" ca="1" si="3"/>
        <v>#NAME?</v>
      </c>
      <c r="U16" s="15" t="e">
        <f t="shared" ca="1" si="4"/>
        <v>#NAME?</v>
      </c>
      <c r="V16" s="20" t="s">
        <v>145</v>
      </c>
    </row>
    <row r="17" spans="1:22" ht="22.05" customHeight="1" x14ac:dyDescent="0.3">
      <c r="A17" s="10" t="s">
        <v>146</v>
      </c>
      <c r="B17" s="11">
        <v>45939</v>
      </c>
      <c r="C17" s="12" t="s">
        <v>147</v>
      </c>
      <c r="D17" s="10" t="s">
        <v>63</v>
      </c>
      <c r="E17" s="10" t="s">
        <v>129</v>
      </c>
      <c r="F17" s="10" t="s">
        <v>14</v>
      </c>
      <c r="G17" s="10" t="s">
        <v>148</v>
      </c>
      <c r="H17" s="10" t="s">
        <v>66</v>
      </c>
      <c r="I17" s="12" t="s">
        <v>149</v>
      </c>
      <c r="J17" s="10" t="s">
        <v>150</v>
      </c>
      <c r="K17" s="10" t="s">
        <v>27</v>
      </c>
      <c r="L17" s="10" t="s">
        <v>15</v>
      </c>
      <c r="M17" s="13" t="str">
        <f ca="1">IFERROR(_xludf.MAXIFS(Actividad!$A$5:$A$1000,Actividad!$B$5:$B$1000,$A17),"")</f>
        <v/>
      </c>
      <c r="N17" s="14" t="e">
        <f ca="1">IF(_xludf.MINIFS(Actividad!$H$5:$H$1000,Actividad!$B$5:$B$1000,$A17,Actividad!$H$5:$H$1000,"&gt;="&amp;TODAY())=0,IF(_xludf.MAXIFS(Actividad!$H$5:$H$1000,Actividad!$B$5:$B$1000,$A17)=0,"",_xludf.MAXIFS(Actividad!$H$5:$H$1000,Actividad!$B$5:$B$1000,$A17)),_xludf.MINIFS(Actividad!$H$5:$H$1000,Actividad!$B$5:$B$1000,$A17,Actividad!$H$5:$H$1000,"&gt;="&amp;TODAY()))</f>
        <v>#NAME?</v>
      </c>
      <c r="O17" s="15" t="str">
        <f t="shared" ca="1" si="0"/>
        <v/>
      </c>
      <c r="P17" s="15" t="e">
        <f t="shared" ca="1" si="1"/>
        <v>#NAME?</v>
      </c>
      <c r="Q17" s="16">
        <v>8500</v>
      </c>
      <c r="R17" s="17">
        <v>0.2</v>
      </c>
      <c r="S17" s="18">
        <f t="shared" si="2"/>
        <v>1700</v>
      </c>
      <c r="T17" s="19" t="e">
        <f t="shared" ca="1" si="3"/>
        <v>#NAME?</v>
      </c>
      <c r="U17" s="15" t="e">
        <f t="shared" ca="1" si="4"/>
        <v>#NAME?</v>
      </c>
      <c r="V17" s="20" t="s">
        <v>151</v>
      </c>
    </row>
    <row r="18" spans="1:22" ht="22.05" customHeight="1" x14ac:dyDescent="0.3">
      <c r="A18" s="10" t="s">
        <v>152</v>
      </c>
      <c r="B18" s="11">
        <v>46093</v>
      </c>
      <c r="C18" s="12" t="s">
        <v>153</v>
      </c>
      <c r="D18" s="10" t="s">
        <v>63</v>
      </c>
      <c r="E18" s="10" t="s">
        <v>94</v>
      </c>
      <c r="F18" s="10" t="s">
        <v>16</v>
      </c>
      <c r="G18" s="10" t="s">
        <v>154</v>
      </c>
      <c r="H18" s="10" t="s">
        <v>131</v>
      </c>
      <c r="I18" s="12" t="s">
        <v>155</v>
      </c>
      <c r="J18" s="10" t="s">
        <v>156</v>
      </c>
      <c r="K18" s="10" t="s">
        <v>30</v>
      </c>
      <c r="L18" s="10" t="s">
        <v>6</v>
      </c>
      <c r="M18" s="13" t="str">
        <f ca="1">IFERROR(_xludf.MAXIFS(Actividad!$A$5:$A$1000,Actividad!$B$5:$B$1000,$A18),"")</f>
        <v/>
      </c>
      <c r="N18" s="14" t="e">
        <f ca="1">IF(_xludf.MINIFS(Actividad!$H$5:$H$1000,Actividad!$B$5:$B$1000,$A18,Actividad!$H$5:$H$1000,"&gt;="&amp;TODAY())=0,IF(_xludf.MAXIFS(Actividad!$H$5:$H$1000,Actividad!$B$5:$B$1000,$A18)=0,"",_xludf.MAXIFS(Actividad!$H$5:$H$1000,Actividad!$B$5:$B$1000,$A18)),_xludf.MINIFS(Actividad!$H$5:$H$1000,Actividad!$B$5:$B$1000,$A18,Actividad!$H$5:$H$1000,"&gt;="&amp;TODAY()))</f>
        <v>#NAME?</v>
      </c>
      <c r="O18" s="15" t="str">
        <f t="shared" ca="1" si="0"/>
        <v/>
      </c>
      <c r="P18" s="15" t="e">
        <f t="shared" ca="1" si="1"/>
        <v>#NAME?</v>
      </c>
      <c r="Q18" s="16">
        <v>30000</v>
      </c>
      <c r="R18" s="17">
        <v>0.9</v>
      </c>
      <c r="S18" s="18">
        <f t="shared" si="2"/>
        <v>27000</v>
      </c>
      <c r="T18" s="19" t="e">
        <f t="shared" ca="1" si="3"/>
        <v>#NAME?</v>
      </c>
      <c r="U18" s="15" t="e">
        <f t="shared" ca="1" si="4"/>
        <v>#NAME?</v>
      </c>
      <c r="V18" s="20" t="s">
        <v>157</v>
      </c>
    </row>
    <row r="19" spans="1:22" ht="22.05" customHeight="1" x14ac:dyDescent="0.3">
      <c r="A19" s="10" t="s">
        <v>158</v>
      </c>
      <c r="B19" s="11">
        <v>45902</v>
      </c>
      <c r="C19" s="12" t="s">
        <v>159</v>
      </c>
      <c r="D19" s="10" t="s">
        <v>63</v>
      </c>
      <c r="E19" s="10" t="s">
        <v>122</v>
      </c>
      <c r="F19" s="10" t="s">
        <v>21</v>
      </c>
      <c r="G19" s="10" t="s">
        <v>80</v>
      </c>
      <c r="H19" s="10" t="s">
        <v>66</v>
      </c>
      <c r="I19" s="12" t="s">
        <v>160</v>
      </c>
      <c r="J19" s="10" t="s">
        <v>161</v>
      </c>
      <c r="K19" s="10" t="s">
        <v>31</v>
      </c>
      <c r="L19" s="10" t="s">
        <v>12</v>
      </c>
      <c r="M19" s="13" t="str">
        <f ca="1">IFERROR(_xludf.MAXIFS(Actividad!$A$5:$A$1000,Actividad!$B$5:$B$1000,$A19),"")</f>
        <v/>
      </c>
      <c r="N19" s="14" t="e">
        <f ca="1">IF(_xludf.MINIFS(Actividad!$H$5:$H$1000,Actividad!$B$5:$B$1000,$A19,Actividad!$H$5:$H$1000,"&gt;="&amp;TODAY())=0,IF(_xludf.MAXIFS(Actividad!$H$5:$H$1000,Actividad!$B$5:$B$1000,$A19)=0,"",_xludf.MAXIFS(Actividad!$H$5:$H$1000,Actividad!$B$5:$B$1000,$A19)),_xludf.MINIFS(Actividad!$H$5:$H$1000,Actividad!$B$5:$B$1000,$A19,Actividad!$H$5:$H$1000,"&gt;="&amp;TODAY()))</f>
        <v>#NAME?</v>
      </c>
      <c r="O19" s="15" t="str">
        <f t="shared" ca="1" si="0"/>
        <v/>
      </c>
      <c r="P19" s="15" t="e">
        <f t="shared" ca="1" si="1"/>
        <v>#NAME?</v>
      </c>
      <c r="Q19" s="16">
        <v>11000</v>
      </c>
      <c r="R19" s="17">
        <v>0.52</v>
      </c>
      <c r="S19" s="18">
        <f t="shared" si="2"/>
        <v>5720</v>
      </c>
      <c r="T19" s="19" t="e">
        <f t="shared" ca="1" si="3"/>
        <v>#NAME?</v>
      </c>
      <c r="U19" s="15" t="e">
        <f t="shared" ca="1" si="4"/>
        <v>#NAME?</v>
      </c>
      <c r="V19" s="20" t="s">
        <v>162</v>
      </c>
    </row>
  </sheetData>
  <mergeCells count="3">
    <mergeCell ref="A2:V2"/>
    <mergeCell ref="A1:V1"/>
    <mergeCell ref="A3:V3"/>
  </mergeCells>
  <conditionalFormatting sqref="P5:P500">
    <cfRule type="expression" dxfId="8" priority="1">
      <formula>$P5="Vencido"</formula>
    </cfRule>
    <cfRule type="expression" dxfId="7" priority="2">
      <formula>$P5="Esta semana"</formula>
    </cfRule>
    <cfRule type="expression" dxfId="6" priority="3">
      <formula>$P5="Planificado"</formula>
    </cfRule>
  </conditionalFormatting>
  <conditionalFormatting sqref="S5:S500">
    <cfRule type="dataBar" priority="5">
      <dataBar>
        <cfvo type="num" val="0"/>
        <cfvo type="max"/>
        <color rgb="FF5B9BD5"/>
      </dataBar>
    </cfRule>
  </conditionalFormatting>
  <conditionalFormatting sqref="T5:T500">
    <cfRule type="colorScale" priority="4">
      <colorScale>
        <cfvo type="num" val="0"/>
        <cfvo type="num" val="50"/>
        <cfvo type="num" val="100"/>
        <color rgb="FFF8696B"/>
        <color rgb="FFFFEB84"/>
        <color rgb="FF63BE7B"/>
      </colorScale>
    </cfRule>
  </conditionalFormatting>
  <conditionalFormatting sqref="U5:U500">
    <cfRule type="expression" dxfId="5" priority="6">
      <formula>$U5="Alta"</formula>
    </cfRule>
    <cfRule type="expression" dxfId="4" priority="7">
      <formula>$U5="Media"</formula>
    </cfRule>
    <cfRule type="expression" dxfId="3" priority="8">
      <formula>$U5="Baja"</formula>
    </cfRule>
  </conditionalFormatting>
  <dataValidations count="6">
    <dataValidation type="list" allowBlank="1" sqref="D5:D500" xr:uid="{00000000-0002-0000-0100-000000000000}">
      <formula1>ListaTipos</formula1>
    </dataValidation>
    <dataValidation type="list" allowBlank="1" sqref="E5:E500" xr:uid="{00000000-0002-0000-0100-000001000000}">
      <formula1>ListaSectores</formula1>
    </dataValidation>
    <dataValidation type="list" allowBlank="1" sqref="F5:F500" xr:uid="{00000000-0002-0000-0100-000002000000}">
      <formula1>ListaResponsables</formula1>
    </dataValidation>
    <dataValidation type="list" allowBlank="1" sqref="K5:K500" xr:uid="{00000000-0002-0000-0100-000003000000}">
      <formula1>ListaCanalesCaptacion</formula1>
    </dataValidation>
    <dataValidation type="list" allowBlank="1" sqref="L5:L500" xr:uid="{00000000-0002-0000-0100-000004000000}">
      <formula1>ListaEstadosRelacion</formula1>
    </dataValidation>
    <dataValidation type="decimal" allowBlank="1" sqref="R5:R500" xr:uid="{00000000-0002-0000-0100-000005000000}">
      <formula1>0</formula1>
      <formula2>1</formula2>
    </dataValidation>
  </dataValidations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41"/>
  <sheetViews>
    <sheetView showGridLines="0" workbookViewId="0"/>
  </sheetViews>
  <sheetFormatPr baseColWidth="10" defaultColWidth="8.88671875" defaultRowHeight="14.4" x14ac:dyDescent="0.3"/>
  <cols>
    <col min="1" max="1" width="14" customWidth="1"/>
    <col min="2" max="2" width="13" customWidth="1"/>
    <col min="3" max="3" width="22" customWidth="1"/>
    <col min="4" max="4" width="16" customWidth="1"/>
    <col min="5" max="5" width="14" customWidth="1"/>
    <col min="6" max="6" width="13" customWidth="1"/>
    <col min="7" max="7" width="16" customWidth="1"/>
    <col min="8" max="8" width="14" customWidth="1"/>
    <col min="9" max="9" width="26" customWidth="1"/>
    <col min="10" max="10" width="18" customWidth="1"/>
    <col min="11" max="11" width="15" customWidth="1"/>
    <col min="12" max="12" width="14" customWidth="1"/>
    <col min="13" max="13" width="36" customWidth="1"/>
  </cols>
  <sheetData>
    <row r="1" spans="1:13" ht="24" customHeight="1" x14ac:dyDescent="0.3">
      <c r="A1" s="26" t="s">
        <v>163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13" ht="24" customHeight="1" x14ac:dyDescent="0.3">
      <c r="A2" s="33" t="s">
        <v>164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</row>
    <row r="4" spans="1:13" ht="22.05" customHeight="1" x14ac:dyDescent="0.3">
      <c r="A4" s="8" t="s">
        <v>165</v>
      </c>
      <c r="B4" s="8" t="s">
        <v>40</v>
      </c>
      <c r="C4" s="9" t="s">
        <v>166</v>
      </c>
      <c r="D4" s="8" t="s">
        <v>167</v>
      </c>
      <c r="E4" s="8" t="s">
        <v>26</v>
      </c>
      <c r="F4" s="8" t="s">
        <v>4</v>
      </c>
      <c r="G4" s="8" t="s">
        <v>168</v>
      </c>
      <c r="H4" s="8" t="s">
        <v>169</v>
      </c>
      <c r="I4" s="8" t="s">
        <v>170</v>
      </c>
      <c r="J4" s="8" t="s">
        <v>171</v>
      </c>
      <c r="K4" s="8" t="s">
        <v>172</v>
      </c>
      <c r="L4" s="8" t="s">
        <v>173</v>
      </c>
      <c r="M4" s="8" t="s">
        <v>174</v>
      </c>
    </row>
    <row r="5" spans="1:13" ht="22.05" customHeight="1" x14ac:dyDescent="0.3">
      <c r="A5" s="11">
        <v>46122</v>
      </c>
      <c r="B5" s="10" t="s">
        <v>61</v>
      </c>
      <c r="C5" s="21" t="str">
        <f ca="1">IFERROR(_xludf.XLOOKUP($B5,Clientes!$A$5:$A$500,Clientes!$C$5:$C$500,""),"")</f>
        <v/>
      </c>
      <c r="D5" s="10" t="s">
        <v>175</v>
      </c>
      <c r="E5" s="10" t="s">
        <v>176</v>
      </c>
      <c r="F5" s="10" t="s">
        <v>7</v>
      </c>
      <c r="G5" s="10" t="s">
        <v>177</v>
      </c>
      <c r="H5" s="11">
        <v>46130</v>
      </c>
      <c r="I5" s="12" t="s">
        <v>178</v>
      </c>
      <c r="J5" s="16">
        <v>18000</v>
      </c>
      <c r="K5" s="22">
        <f t="shared" ref="K5:K41" ca="1" si="0">IF($H5="","",$H5-TODAY())</f>
        <v>4</v>
      </c>
      <c r="L5" s="15" t="str">
        <f t="shared" ref="L5:L41" ca="1" si="1">IF($H5="","Sin fecha",IF($H5&lt;TODAY(),"Vencida",IF($H5&lt;=TODAY()+7,"Próxima","Planificada")))</f>
        <v>Próxima</v>
      </c>
      <c r="M5" s="20" t="s">
        <v>179</v>
      </c>
    </row>
    <row r="6" spans="1:13" ht="22.05" customHeight="1" x14ac:dyDescent="0.3">
      <c r="A6" s="11">
        <v>46109</v>
      </c>
      <c r="B6" s="10" t="s">
        <v>61</v>
      </c>
      <c r="C6" s="21" t="str">
        <f ca="1">IFERROR(_xludf.XLOOKUP($B6,Clientes!$A$5:$A$500,Clientes!$C$5:$C$500,""),"")</f>
        <v/>
      </c>
      <c r="D6" s="10" t="s">
        <v>47</v>
      </c>
      <c r="E6" s="10" t="s">
        <v>47</v>
      </c>
      <c r="F6" s="10" t="s">
        <v>7</v>
      </c>
      <c r="G6" s="10" t="s">
        <v>180</v>
      </c>
      <c r="H6" s="11">
        <v>46122</v>
      </c>
      <c r="I6" s="12" t="s">
        <v>181</v>
      </c>
      <c r="J6" s="16">
        <v>18000</v>
      </c>
      <c r="K6" s="22">
        <f t="shared" ca="1" si="0"/>
        <v>-4</v>
      </c>
      <c r="L6" s="15" t="str">
        <f t="shared" ca="1" si="1"/>
        <v>Vencida</v>
      </c>
      <c r="M6" s="20" t="s">
        <v>182</v>
      </c>
    </row>
    <row r="7" spans="1:13" ht="22.05" customHeight="1" x14ac:dyDescent="0.3">
      <c r="A7" s="11">
        <v>46115</v>
      </c>
      <c r="B7" s="10" t="s">
        <v>70</v>
      </c>
      <c r="C7" s="21" t="str">
        <f ca="1">IFERROR(_xludf.XLOOKUP($B7,Clientes!$A$5:$A$500,Clientes!$C$5:$C$500,""),"")</f>
        <v/>
      </c>
      <c r="D7" s="10" t="s">
        <v>183</v>
      </c>
      <c r="E7" s="10" t="s">
        <v>48</v>
      </c>
      <c r="F7" s="10" t="s">
        <v>13</v>
      </c>
      <c r="G7" s="10" t="s">
        <v>184</v>
      </c>
      <c r="H7" s="11">
        <v>46128</v>
      </c>
      <c r="I7" s="12" t="s">
        <v>185</v>
      </c>
      <c r="J7" s="16">
        <v>9500</v>
      </c>
      <c r="K7" s="22">
        <f t="shared" ca="1" si="0"/>
        <v>2</v>
      </c>
      <c r="L7" s="15" t="str">
        <f t="shared" ca="1" si="1"/>
        <v>Próxima</v>
      </c>
      <c r="M7" s="20" t="s">
        <v>186</v>
      </c>
    </row>
    <row r="8" spans="1:13" ht="22.05" customHeight="1" x14ac:dyDescent="0.3">
      <c r="A8" s="11">
        <v>46100</v>
      </c>
      <c r="B8" s="10" t="s">
        <v>70</v>
      </c>
      <c r="C8" s="21" t="str">
        <f ca="1">IFERROR(_xludf.XLOOKUP($B8,Clientes!$A$5:$A$500,Clientes!$C$5:$C$500,""),"")</f>
        <v/>
      </c>
      <c r="D8" s="10" t="s">
        <v>47</v>
      </c>
      <c r="E8" s="10" t="s">
        <v>47</v>
      </c>
      <c r="F8" s="10" t="s">
        <v>13</v>
      </c>
      <c r="G8" s="10" t="s">
        <v>187</v>
      </c>
      <c r="H8" s="11">
        <v>46115</v>
      </c>
      <c r="I8" s="12" t="s">
        <v>188</v>
      </c>
      <c r="J8" s="16">
        <v>9500</v>
      </c>
      <c r="K8" s="22">
        <f t="shared" ca="1" si="0"/>
        <v>-11</v>
      </c>
      <c r="L8" s="15" t="str">
        <f t="shared" ca="1" si="1"/>
        <v>Vencida</v>
      </c>
      <c r="M8" s="20" t="s">
        <v>189</v>
      </c>
    </row>
    <row r="9" spans="1:13" ht="22.05" customHeight="1" x14ac:dyDescent="0.3">
      <c r="A9" s="11">
        <v>46124</v>
      </c>
      <c r="B9" s="10" t="s">
        <v>77</v>
      </c>
      <c r="C9" s="21" t="str">
        <f ca="1">IFERROR(_xludf.XLOOKUP($B9,Clientes!$A$5:$A$500,Clientes!$C$5:$C$500,""),"")</f>
        <v/>
      </c>
      <c r="D9" s="10" t="s">
        <v>190</v>
      </c>
      <c r="E9" s="10" t="s">
        <v>176</v>
      </c>
      <c r="F9" s="10" t="s">
        <v>14</v>
      </c>
      <c r="G9" s="10" t="s">
        <v>177</v>
      </c>
      <c r="H9" s="11">
        <v>46134</v>
      </c>
      <c r="I9" s="12" t="s">
        <v>191</v>
      </c>
      <c r="J9" s="16">
        <v>24000</v>
      </c>
      <c r="K9" s="22">
        <f t="shared" ca="1" si="0"/>
        <v>8</v>
      </c>
      <c r="L9" s="15" t="str">
        <f t="shared" ca="1" si="1"/>
        <v>Planificada</v>
      </c>
      <c r="M9" s="20" t="s">
        <v>192</v>
      </c>
    </row>
    <row r="10" spans="1:13" ht="22.05" customHeight="1" x14ac:dyDescent="0.3">
      <c r="A10" s="11">
        <v>46106</v>
      </c>
      <c r="B10" s="10" t="s">
        <v>77</v>
      </c>
      <c r="C10" s="21" t="str">
        <f ca="1">IFERROR(_xludf.XLOOKUP($B10,Clientes!$A$5:$A$500,Clientes!$C$5:$C$500,""),"")</f>
        <v/>
      </c>
      <c r="D10" s="10" t="s">
        <v>47</v>
      </c>
      <c r="E10" s="10" t="s">
        <v>47</v>
      </c>
      <c r="F10" s="10" t="s">
        <v>14</v>
      </c>
      <c r="G10" s="10" t="s">
        <v>180</v>
      </c>
      <c r="H10" s="11">
        <v>46124</v>
      </c>
      <c r="I10" s="12" t="s">
        <v>193</v>
      </c>
      <c r="J10" s="16">
        <v>24000</v>
      </c>
      <c r="K10" s="22">
        <f t="shared" ca="1" si="0"/>
        <v>-2</v>
      </c>
      <c r="L10" s="15" t="str">
        <f t="shared" ca="1" si="1"/>
        <v>Vencida</v>
      </c>
      <c r="M10" s="20" t="s">
        <v>194</v>
      </c>
    </row>
    <row r="11" spans="1:13" ht="22.05" customHeight="1" x14ac:dyDescent="0.3">
      <c r="A11" s="11">
        <v>46113</v>
      </c>
      <c r="B11" s="10" t="s">
        <v>84</v>
      </c>
      <c r="C11" s="21" t="str">
        <f ca="1">IFERROR(_xludf.XLOOKUP($B11,Clientes!$A$5:$A$500,Clientes!$C$5:$C$500,""),"")</f>
        <v/>
      </c>
      <c r="D11" s="10" t="s">
        <v>175</v>
      </c>
      <c r="E11" s="10" t="s">
        <v>195</v>
      </c>
      <c r="F11" s="10" t="s">
        <v>16</v>
      </c>
      <c r="G11" s="10" t="s">
        <v>184</v>
      </c>
      <c r="H11" s="11">
        <v>46120</v>
      </c>
      <c r="I11" s="12" t="s">
        <v>196</v>
      </c>
      <c r="J11" s="16">
        <v>14000</v>
      </c>
      <c r="K11" s="22">
        <f t="shared" ca="1" si="0"/>
        <v>-6</v>
      </c>
      <c r="L11" s="15" t="str">
        <f t="shared" ca="1" si="1"/>
        <v>Vencida</v>
      </c>
      <c r="M11" s="20" t="s">
        <v>197</v>
      </c>
    </row>
    <row r="12" spans="1:13" ht="22.05" customHeight="1" x14ac:dyDescent="0.3">
      <c r="A12" s="11">
        <v>46120</v>
      </c>
      <c r="B12" s="10" t="s">
        <v>84</v>
      </c>
      <c r="C12" s="21" t="str">
        <f ca="1">IFERROR(_xludf.XLOOKUP($B12,Clientes!$A$5:$A$500,Clientes!$C$5:$C$500,""),"")</f>
        <v/>
      </c>
      <c r="D12" s="10" t="s">
        <v>198</v>
      </c>
      <c r="E12" s="10" t="s">
        <v>47</v>
      </c>
      <c r="F12" s="10" t="s">
        <v>16</v>
      </c>
      <c r="G12" s="10" t="s">
        <v>199</v>
      </c>
      <c r="H12" s="11">
        <v>46125</v>
      </c>
      <c r="I12" s="12" t="s">
        <v>200</v>
      </c>
      <c r="J12" s="16">
        <v>14000</v>
      </c>
      <c r="K12" s="22">
        <f t="shared" ca="1" si="0"/>
        <v>-1</v>
      </c>
      <c r="L12" s="15" t="str">
        <f t="shared" ca="1" si="1"/>
        <v>Vencida</v>
      </c>
      <c r="M12" s="20" t="s">
        <v>201</v>
      </c>
    </row>
    <row r="13" spans="1:13" ht="22.05" customHeight="1" x14ac:dyDescent="0.3">
      <c r="A13" s="11">
        <v>46111</v>
      </c>
      <c r="B13" s="10" t="s">
        <v>92</v>
      </c>
      <c r="C13" s="21" t="str">
        <f ca="1">IFERROR(_xludf.XLOOKUP($B13,Clientes!$A$5:$A$500,Clientes!$C$5:$C$500,""),"")</f>
        <v/>
      </c>
      <c r="D13" s="10" t="s">
        <v>202</v>
      </c>
      <c r="E13" s="10" t="s">
        <v>176</v>
      </c>
      <c r="F13" s="10" t="s">
        <v>21</v>
      </c>
      <c r="G13" s="10" t="s">
        <v>177</v>
      </c>
      <c r="H13" s="11">
        <v>46129</v>
      </c>
      <c r="I13" s="12" t="s">
        <v>203</v>
      </c>
      <c r="J13" s="16">
        <v>12000</v>
      </c>
      <c r="K13" s="22">
        <f t="shared" ca="1" si="0"/>
        <v>3</v>
      </c>
      <c r="L13" s="15" t="str">
        <f t="shared" ca="1" si="1"/>
        <v>Próxima</v>
      </c>
      <c r="M13" s="20" t="s">
        <v>204</v>
      </c>
    </row>
    <row r="14" spans="1:13" ht="22.05" customHeight="1" x14ac:dyDescent="0.3">
      <c r="A14" s="11">
        <v>46123</v>
      </c>
      <c r="B14" s="10" t="s">
        <v>92</v>
      </c>
      <c r="C14" s="21" t="str">
        <f ca="1">IFERROR(_xludf.XLOOKUP($B14,Clientes!$A$5:$A$500,Clientes!$C$5:$C$500,""),"")</f>
        <v/>
      </c>
      <c r="D14" s="10" t="s">
        <v>47</v>
      </c>
      <c r="E14" s="10" t="s">
        <v>47</v>
      </c>
      <c r="F14" s="10" t="s">
        <v>21</v>
      </c>
      <c r="G14" s="10" t="s">
        <v>184</v>
      </c>
      <c r="H14" s="11">
        <v>46129</v>
      </c>
      <c r="I14" s="12" t="s">
        <v>205</v>
      </c>
      <c r="J14" s="16">
        <v>12000</v>
      </c>
      <c r="K14" s="22">
        <f t="shared" ca="1" si="0"/>
        <v>3</v>
      </c>
      <c r="L14" s="15" t="str">
        <f t="shared" ca="1" si="1"/>
        <v>Próxima</v>
      </c>
      <c r="M14" s="20" t="s">
        <v>206</v>
      </c>
    </row>
    <row r="15" spans="1:13" ht="22.05" customHeight="1" x14ac:dyDescent="0.3">
      <c r="A15" s="11">
        <v>46067</v>
      </c>
      <c r="B15" s="10" t="s">
        <v>99</v>
      </c>
      <c r="C15" s="21" t="str">
        <f ca="1">IFERROR(_xludf.XLOOKUP($B15,Clientes!$A$5:$A$500,Clientes!$C$5:$C$500,""),"")</f>
        <v/>
      </c>
      <c r="D15" s="10" t="s">
        <v>183</v>
      </c>
      <c r="E15" s="10" t="s">
        <v>48</v>
      </c>
      <c r="F15" s="10" t="s">
        <v>7</v>
      </c>
      <c r="G15" s="10" t="s">
        <v>199</v>
      </c>
      <c r="H15" s="11"/>
      <c r="I15" s="12" t="s">
        <v>207</v>
      </c>
      <c r="J15" s="16">
        <v>7000</v>
      </c>
      <c r="K15" s="22" t="str">
        <f t="shared" ca="1" si="0"/>
        <v/>
      </c>
      <c r="L15" s="15" t="str">
        <f t="shared" ca="1" si="1"/>
        <v>Sin fecha</v>
      </c>
      <c r="M15" s="20" t="s">
        <v>208</v>
      </c>
    </row>
    <row r="16" spans="1:13" ht="22.05" customHeight="1" x14ac:dyDescent="0.3">
      <c r="A16" s="11">
        <v>46053</v>
      </c>
      <c r="B16" s="10" t="s">
        <v>99</v>
      </c>
      <c r="C16" s="21" t="str">
        <f ca="1">IFERROR(_xludf.XLOOKUP($B16,Clientes!$A$5:$A$500,Clientes!$C$5:$C$500,""),"")</f>
        <v/>
      </c>
      <c r="D16" s="10" t="s">
        <v>47</v>
      </c>
      <c r="E16" s="10" t="s">
        <v>47</v>
      </c>
      <c r="F16" s="10" t="s">
        <v>7</v>
      </c>
      <c r="G16" s="10" t="s">
        <v>184</v>
      </c>
      <c r="H16" s="11">
        <v>46067</v>
      </c>
      <c r="I16" s="12" t="s">
        <v>209</v>
      </c>
      <c r="J16" s="16">
        <v>7000</v>
      </c>
      <c r="K16" s="22">
        <f t="shared" ca="1" si="0"/>
        <v>-59</v>
      </c>
      <c r="L16" s="15" t="str">
        <f t="shared" ca="1" si="1"/>
        <v>Vencida</v>
      </c>
      <c r="M16" s="20" t="s">
        <v>210</v>
      </c>
    </row>
    <row r="17" spans="1:13" ht="22.05" customHeight="1" x14ac:dyDescent="0.3">
      <c r="A17" s="11">
        <v>46125</v>
      </c>
      <c r="B17" s="10" t="s">
        <v>105</v>
      </c>
      <c r="C17" s="21" t="str">
        <f ca="1">IFERROR(_xludf.XLOOKUP($B17,Clientes!$A$5:$A$500,Clientes!$C$5:$C$500,""),"")</f>
        <v/>
      </c>
      <c r="D17" s="10" t="s">
        <v>175</v>
      </c>
      <c r="E17" s="10" t="s">
        <v>195</v>
      </c>
      <c r="F17" s="10" t="s">
        <v>13</v>
      </c>
      <c r="G17" s="10" t="s">
        <v>177</v>
      </c>
      <c r="H17" s="11">
        <v>46133</v>
      </c>
      <c r="I17" s="12" t="s">
        <v>211</v>
      </c>
      <c r="J17" s="16">
        <v>16500</v>
      </c>
      <c r="K17" s="22">
        <f t="shared" ca="1" si="0"/>
        <v>7</v>
      </c>
      <c r="L17" s="15" t="str">
        <f t="shared" ca="1" si="1"/>
        <v>Próxima</v>
      </c>
      <c r="M17" s="20" t="s">
        <v>212</v>
      </c>
    </row>
    <row r="18" spans="1:13" ht="22.05" customHeight="1" x14ac:dyDescent="0.3">
      <c r="A18" s="11">
        <v>46114</v>
      </c>
      <c r="B18" s="10" t="s">
        <v>105</v>
      </c>
      <c r="C18" s="21" t="str">
        <f ca="1">IFERROR(_xludf.XLOOKUP($B18,Clientes!$A$5:$A$500,Clientes!$C$5:$C$500,""),"")</f>
        <v/>
      </c>
      <c r="D18" s="10" t="s">
        <v>47</v>
      </c>
      <c r="E18" s="10" t="s">
        <v>47</v>
      </c>
      <c r="F18" s="10" t="s">
        <v>13</v>
      </c>
      <c r="G18" s="10" t="s">
        <v>180</v>
      </c>
      <c r="H18" s="11">
        <v>46125</v>
      </c>
      <c r="I18" s="12" t="s">
        <v>213</v>
      </c>
      <c r="J18" s="16">
        <v>16500</v>
      </c>
      <c r="K18" s="22">
        <f t="shared" ca="1" si="0"/>
        <v>-1</v>
      </c>
      <c r="L18" s="15" t="str">
        <f t="shared" ca="1" si="1"/>
        <v>Vencida</v>
      </c>
      <c r="M18" s="20" t="s">
        <v>214</v>
      </c>
    </row>
    <row r="19" spans="1:13" ht="22.05" customHeight="1" x14ac:dyDescent="0.3">
      <c r="A19" s="11">
        <v>46010</v>
      </c>
      <c r="B19" s="10" t="s">
        <v>112</v>
      </c>
      <c r="C19" s="21" t="str">
        <f ca="1">IFERROR(_xludf.XLOOKUP($B19,Clientes!$A$5:$A$500,Clientes!$C$5:$C$500,""),"")</f>
        <v/>
      </c>
      <c r="D19" s="10" t="s">
        <v>215</v>
      </c>
      <c r="E19" s="10" t="s">
        <v>47</v>
      </c>
      <c r="F19" s="10" t="s">
        <v>14</v>
      </c>
      <c r="G19" s="10" t="s">
        <v>216</v>
      </c>
      <c r="H19" s="11"/>
      <c r="I19" s="12" t="s">
        <v>217</v>
      </c>
      <c r="J19" s="16">
        <v>0</v>
      </c>
      <c r="K19" s="22" t="str">
        <f t="shared" ca="1" si="0"/>
        <v/>
      </c>
      <c r="L19" s="15" t="str">
        <f t="shared" ca="1" si="1"/>
        <v>Sin fecha</v>
      </c>
      <c r="M19" s="20" t="s">
        <v>218</v>
      </c>
    </row>
    <row r="20" spans="1:13" ht="22.05" customHeight="1" x14ac:dyDescent="0.3">
      <c r="A20" s="11">
        <v>45991</v>
      </c>
      <c r="B20" s="10" t="s">
        <v>112</v>
      </c>
      <c r="C20" s="21" t="str">
        <f ca="1">IFERROR(_xludf.XLOOKUP($B20,Clientes!$A$5:$A$500,Clientes!$C$5:$C$500,""),"")</f>
        <v/>
      </c>
      <c r="D20" s="10" t="s">
        <v>183</v>
      </c>
      <c r="E20" s="10" t="s">
        <v>48</v>
      </c>
      <c r="F20" s="10" t="s">
        <v>14</v>
      </c>
      <c r="G20" s="10" t="s">
        <v>20</v>
      </c>
      <c r="H20" s="11">
        <v>46010</v>
      </c>
      <c r="I20" s="12" t="s">
        <v>219</v>
      </c>
      <c r="J20" s="16">
        <v>5000</v>
      </c>
      <c r="K20" s="22">
        <f t="shared" ca="1" si="0"/>
        <v>-116</v>
      </c>
      <c r="L20" s="15" t="str">
        <f t="shared" ca="1" si="1"/>
        <v>Vencida</v>
      </c>
      <c r="M20" s="20" t="s">
        <v>220</v>
      </c>
    </row>
    <row r="21" spans="1:13" ht="22.05" customHeight="1" x14ac:dyDescent="0.3">
      <c r="A21" s="11">
        <v>46121</v>
      </c>
      <c r="B21" s="10" t="s">
        <v>120</v>
      </c>
      <c r="C21" s="21" t="str">
        <f ca="1">IFERROR(_xludf.XLOOKUP($B21,Clientes!$A$5:$A$500,Clientes!$C$5:$C$500,""),"")</f>
        <v/>
      </c>
      <c r="D21" s="10" t="s">
        <v>175</v>
      </c>
      <c r="E21" s="10" t="s">
        <v>176</v>
      </c>
      <c r="F21" s="10" t="s">
        <v>16</v>
      </c>
      <c r="G21" s="10" t="s">
        <v>177</v>
      </c>
      <c r="H21" s="11">
        <v>46132</v>
      </c>
      <c r="I21" s="12" t="s">
        <v>221</v>
      </c>
      <c r="J21" s="16">
        <v>21000</v>
      </c>
      <c r="K21" s="22">
        <f t="shared" ca="1" si="0"/>
        <v>6</v>
      </c>
      <c r="L21" s="15" t="str">
        <f t="shared" ca="1" si="1"/>
        <v>Próxima</v>
      </c>
      <c r="M21" s="20" t="s">
        <v>222</v>
      </c>
    </row>
    <row r="22" spans="1:13" ht="22.05" customHeight="1" x14ac:dyDescent="0.3">
      <c r="A22" s="11">
        <v>46099</v>
      </c>
      <c r="B22" s="10" t="s">
        <v>120</v>
      </c>
      <c r="C22" s="21" t="str">
        <f ca="1">IFERROR(_xludf.XLOOKUP($B22,Clientes!$A$5:$A$500,Clientes!$C$5:$C$500,""),"")</f>
        <v/>
      </c>
      <c r="D22" s="10" t="s">
        <v>47</v>
      </c>
      <c r="E22" s="10" t="s">
        <v>47</v>
      </c>
      <c r="F22" s="10" t="s">
        <v>16</v>
      </c>
      <c r="G22" s="10" t="s">
        <v>184</v>
      </c>
      <c r="H22" s="11">
        <v>46121</v>
      </c>
      <c r="I22" s="12" t="s">
        <v>223</v>
      </c>
      <c r="J22" s="16">
        <v>21000</v>
      </c>
      <c r="K22" s="22">
        <f t="shared" ca="1" si="0"/>
        <v>-5</v>
      </c>
      <c r="L22" s="15" t="str">
        <f t="shared" ca="1" si="1"/>
        <v>Vencida</v>
      </c>
      <c r="M22" s="20" t="s">
        <v>224</v>
      </c>
    </row>
    <row r="23" spans="1:13" ht="22.05" customHeight="1" x14ac:dyDescent="0.3">
      <c r="A23" s="11">
        <v>46119</v>
      </c>
      <c r="B23" s="10" t="s">
        <v>127</v>
      </c>
      <c r="C23" s="21" t="str">
        <f ca="1">IFERROR(_xludf.XLOOKUP($B23,Clientes!$A$5:$A$500,Clientes!$C$5:$C$500,""),"")</f>
        <v/>
      </c>
      <c r="D23" s="10" t="s">
        <v>198</v>
      </c>
      <c r="E23" s="10" t="s">
        <v>47</v>
      </c>
      <c r="F23" s="10" t="s">
        <v>21</v>
      </c>
      <c r="G23" s="10" t="s">
        <v>184</v>
      </c>
      <c r="H23" s="11">
        <v>46136</v>
      </c>
      <c r="I23" s="12" t="s">
        <v>225</v>
      </c>
      <c r="J23" s="16">
        <v>13000</v>
      </c>
      <c r="K23" s="22">
        <f t="shared" ca="1" si="0"/>
        <v>10</v>
      </c>
      <c r="L23" s="15" t="str">
        <f t="shared" ca="1" si="1"/>
        <v>Planificada</v>
      </c>
      <c r="M23" s="20" t="s">
        <v>226</v>
      </c>
    </row>
    <row r="24" spans="1:13" ht="22.05" customHeight="1" x14ac:dyDescent="0.3">
      <c r="A24" s="11">
        <v>46108</v>
      </c>
      <c r="B24" s="10" t="s">
        <v>127</v>
      </c>
      <c r="C24" s="21" t="str">
        <f ca="1">IFERROR(_xludf.XLOOKUP($B24,Clientes!$A$5:$A$500,Clientes!$C$5:$C$500,""),"")</f>
        <v/>
      </c>
      <c r="D24" s="10" t="s">
        <v>183</v>
      </c>
      <c r="E24" s="10" t="s">
        <v>48</v>
      </c>
      <c r="F24" s="10" t="s">
        <v>21</v>
      </c>
      <c r="G24" s="10" t="s">
        <v>177</v>
      </c>
      <c r="H24" s="11">
        <v>46119</v>
      </c>
      <c r="I24" s="12" t="s">
        <v>227</v>
      </c>
      <c r="J24" s="16">
        <v>13000</v>
      </c>
      <c r="K24" s="22">
        <f t="shared" ca="1" si="0"/>
        <v>-7</v>
      </c>
      <c r="L24" s="15" t="str">
        <f t="shared" ca="1" si="1"/>
        <v>Vencida</v>
      </c>
      <c r="M24" s="20" t="s">
        <v>228</v>
      </c>
    </row>
    <row r="25" spans="1:13" ht="22.05" customHeight="1" x14ac:dyDescent="0.3">
      <c r="A25" s="11">
        <v>46116</v>
      </c>
      <c r="B25" s="10" t="s">
        <v>135</v>
      </c>
      <c r="C25" s="21" t="str">
        <f ca="1">IFERROR(_xludf.XLOOKUP($B25,Clientes!$A$5:$A$500,Clientes!$C$5:$C$500,""),"")</f>
        <v/>
      </c>
      <c r="D25" s="10" t="s">
        <v>175</v>
      </c>
      <c r="E25" s="10" t="s">
        <v>195</v>
      </c>
      <c r="F25" s="10" t="s">
        <v>7</v>
      </c>
      <c r="G25" s="10" t="s">
        <v>184</v>
      </c>
      <c r="H25" s="11">
        <v>46123</v>
      </c>
      <c r="I25" s="12" t="s">
        <v>229</v>
      </c>
      <c r="J25" s="16">
        <v>27000</v>
      </c>
      <c r="K25" s="22">
        <f t="shared" ca="1" si="0"/>
        <v>-3</v>
      </c>
      <c r="L25" s="15" t="str">
        <f t="shared" ca="1" si="1"/>
        <v>Vencida</v>
      </c>
      <c r="M25" s="20" t="s">
        <v>230</v>
      </c>
    </row>
    <row r="26" spans="1:13" ht="22.05" customHeight="1" x14ac:dyDescent="0.3">
      <c r="A26" s="11">
        <v>46123</v>
      </c>
      <c r="B26" s="10" t="s">
        <v>135</v>
      </c>
      <c r="C26" s="21" t="str">
        <f ca="1">IFERROR(_xludf.XLOOKUP($B26,Clientes!$A$5:$A$500,Clientes!$C$5:$C$500,""),"")</f>
        <v/>
      </c>
      <c r="D26" s="10" t="s">
        <v>47</v>
      </c>
      <c r="E26" s="10" t="s">
        <v>47</v>
      </c>
      <c r="F26" s="10" t="s">
        <v>7</v>
      </c>
      <c r="G26" s="10" t="s">
        <v>199</v>
      </c>
      <c r="H26" s="11">
        <v>46126</v>
      </c>
      <c r="I26" s="12" t="s">
        <v>231</v>
      </c>
      <c r="J26" s="16">
        <v>27000</v>
      </c>
      <c r="K26" s="22">
        <f t="shared" ca="1" si="0"/>
        <v>0</v>
      </c>
      <c r="L26" s="15" t="str">
        <f t="shared" ca="1" si="1"/>
        <v>Próxima</v>
      </c>
      <c r="M26" s="20" t="s">
        <v>232</v>
      </c>
    </row>
    <row r="27" spans="1:13" ht="22.05" customHeight="1" x14ac:dyDescent="0.3">
      <c r="A27" s="11">
        <v>46126</v>
      </c>
      <c r="B27" s="10" t="s">
        <v>141</v>
      </c>
      <c r="C27" s="21" t="str">
        <f ca="1">IFERROR(_xludf.XLOOKUP($B27,Clientes!$A$5:$A$500,Clientes!$C$5:$C$500,""),"")</f>
        <v/>
      </c>
      <c r="D27" s="10" t="s">
        <v>190</v>
      </c>
      <c r="E27" s="10" t="s">
        <v>176</v>
      </c>
      <c r="F27" s="10" t="s">
        <v>13</v>
      </c>
      <c r="G27" s="10" t="s">
        <v>177</v>
      </c>
      <c r="H27" s="11">
        <v>46140</v>
      </c>
      <c r="I27" s="12" t="s">
        <v>233</v>
      </c>
      <c r="J27" s="16">
        <v>15500</v>
      </c>
      <c r="K27" s="22">
        <f t="shared" ca="1" si="0"/>
        <v>14</v>
      </c>
      <c r="L27" s="15" t="str">
        <f t="shared" ca="1" si="1"/>
        <v>Planificada</v>
      </c>
      <c r="M27" s="20" t="s">
        <v>234</v>
      </c>
    </row>
    <row r="28" spans="1:13" ht="22.05" customHeight="1" x14ac:dyDescent="0.3">
      <c r="A28" s="11">
        <v>46103</v>
      </c>
      <c r="B28" s="10" t="s">
        <v>141</v>
      </c>
      <c r="C28" s="21" t="str">
        <f ca="1">IFERROR(_xludf.XLOOKUP($B28,Clientes!$A$5:$A$500,Clientes!$C$5:$C$500,""),"")</f>
        <v/>
      </c>
      <c r="D28" s="10" t="s">
        <v>47</v>
      </c>
      <c r="E28" s="10" t="s">
        <v>47</v>
      </c>
      <c r="F28" s="10" t="s">
        <v>13</v>
      </c>
      <c r="G28" s="10" t="s">
        <v>184</v>
      </c>
      <c r="H28" s="11">
        <v>46126</v>
      </c>
      <c r="I28" s="12" t="s">
        <v>235</v>
      </c>
      <c r="J28" s="16">
        <v>15500</v>
      </c>
      <c r="K28" s="22">
        <f t="shared" ca="1" si="0"/>
        <v>0</v>
      </c>
      <c r="L28" s="15" t="str">
        <f t="shared" ca="1" si="1"/>
        <v>Próxima</v>
      </c>
      <c r="M28" s="20" t="s">
        <v>236</v>
      </c>
    </row>
    <row r="29" spans="1:13" ht="22.05" customHeight="1" x14ac:dyDescent="0.3">
      <c r="A29" s="11">
        <v>46042</v>
      </c>
      <c r="B29" s="10" t="s">
        <v>146</v>
      </c>
      <c r="C29" s="21" t="str">
        <f ca="1">IFERROR(_xludf.XLOOKUP($B29,Clientes!$A$5:$A$500,Clientes!$C$5:$C$500,""),"")</f>
        <v/>
      </c>
      <c r="D29" s="10" t="s">
        <v>183</v>
      </c>
      <c r="E29" s="10" t="s">
        <v>48</v>
      </c>
      <c r="F29" s="10" t="s">
        <v>14</v>
      </c>
      <c r="G29" s="10" t="s">
        <v>199</v>
      </c>
      <c r="H29" s="11"/>
      <c r="I29" s="12" t="s">
        <v>237</v>
      </c>
      <c r="J29" s="16">
        <v>8500</v>
      </c>
      <c r="K29" s="22" t="str">
        <f t="shared" ca="1" si="0"/>
        <v/>
      </c>
      <c r="L29" s="15" t="str">
        <f t="shared" ca="1" si="1"/>
        <v>Sin fecha</v>
      </c>
      <c r="M29" s="20" t="s">
        <v>238</v>
      </c>
    </row>
    <row r="30" spans="1:13" ht="22.05" customHeight="1" x14ac:dyDescent="0.3">
      <c r="A30" s="11">
        <v>46003</v>
      </c>
      <c r="B30" s="10" t="s">
        <v>146</v>
      </c>
      <c r="C30" s="21" t="str">
        <f ca="1">IFERROR(_xludf.XLOOKUP($B30,Clientes!$A$5:$A$500,Clientes!$C$5:$C$500,""),"")</f>
        <v/>
      </c>
      <c r="D30" s="10" t="s">
        <v>47</v>
      </c>
      <c r="E30" s="10" t="s">
        <v>47</v>
      </c>
      <c r="F30" s="10" t="s">
        <v>14</v>
      </c>
      <c r="G30" s="10" t="s">
        <v>184</v>
      </c>
      <c r="H30" s="11">
        <v>46042</v>
      </c>
      <c r="I30" s="12" t="s">
        <v>239</v>
      </c>
      <c r="J30" s="16">
        <v>8500</v>
      </c>
      <c r="K30" s="22">
        <f t="shared" ca="1" si="0"/>
        <v>-84</v>
      </c>
      <c r="L30" s="15" t="str">
        <f t="shared" ca="1" si="1"/>
        <v>Vencida</v>
      </c>
      <c r="M30" s="20" t="s">
        <v>240</v>
      </c>
    </row>
    <row r="31" spans="1:13" ht="22.05" customHeight="1" x14ac:dyDescent="0.3">
      <c r="A31" s="11">
        <v>46124</v>
      </c>
      <c r="B31" s="10" t="s">
        <v>152</v>
      </c>
      <c r="C31" s="21" t="str">
        <f ca="1">IFERROR(_xludf.XLOOKUP($B31,Clientes!$A$5:$A$500,Clientes!$C$5:$C$500,""),"")</f>
        <v/>
      </c>
      <c r="D31" s="10" t="s">
        <v>175</v>
      </c>
      <c r="E31" s="10" t="s">
        <v>195</v>
      </c>
      <c r="F31" s="10" t="s">
        <v>16</v>
      </c>
      <c r="G31" s="10" t="s">
        <v>177</v>
      </c>
      <c r="H31" s="11">
        <v>46131</v>
      </c>
      <c r="I31" s="12" t="s">
        <v>241</v>
      </c>
      <c r="J31" s="16">
        <v>30000</v>
      </c>
      <c r="K31" s="22">
        <f t="shared" ca="1" si="0"/>
        <v>5</v>
      </c>
      <c r="L31" s="15" t="str">
        <f t="shared" ca="1" si="1"/>
        <v>Próxima</v>
      </c>
      <c r="M31" s="20" t="s">
        <v>242</v>
      </c>
    </row>
    <row r="32" spans="1:13" ht="22.05" customHeight="1" x14ac:dyDescent="0.3">
      <c r="A32" s="11">
        <v>46117</v>
      </c>
      <c r="B32" s="10" t="s">
        <v>152</v>
      </c>
      <c r="C32" s="21" t="str">
        <f ca="1">IFERROR(_xludf.XLOOKUP($B32,Clientes!$A$5:$A$500,Clientes!$C$5:$C$500,""),"")</f>
        <v/>
      </c>
      <c r="D32" s="10" t="s">
        <v>47</v>
      </c>
      <c r="E32" s="10" t="s">
        <v>47</v>
      </c>
      <c r="F32" s="10" t="s">
        <v>16</v>
      </c>
      <c r="G32" s="10" t="s">
        <v>180</v>
      </c>
      <c r="H32" s="11">
        <v>46124</v>
      </c>
      <c r="I32" s="12" t="s">
        <v>243</v>
      </c>
      <c r="J32" s="16">
        <v>30000</v>
      </c>
      <c r="K32" s="22">
        <f t="shared" ca="1" si="0"/>
        <v>-2</v>
      </c>
      <c r="L32" s="15" t="str">
        <f t="shared" ca="1" si="1"/>
        <v>Vencida</v>
      </c>
      <c r="M32" s="20" t="s">
        <v>244</v>
      </c>
    </row>
    <row r="33" spans="1:13" ht="22.05" customHeight="1" x14ac:dyDescent="0.3">
      <c r="A33" s="11">
        <v>46118</v>
      </c>
      <c r="B33" s="10" t="s">
        <v>158</v>
      </c>
      <c r="C33" s="21" t="str">
        <f ca="1">IFERROR(_xludf.XLOOKUP($B33,Clientes!$A$5:$A$500,Clientes!$C$5:$C$500,""),"")</f>
        <v/>
      </c>
      <c r="D33" s="10" t="s">
        <v>183</v>
      </c>
      <c r="E33" s="10" t="s">
        <v>48</v>
      </c>
      <c r="F33" s="10" t="s">
        <v>21</v>
      </c>
      <c r="G33" s="10" t="s">
        <v>187</v>
      </c>
      <c r="H33" s="11">
        <v>46135</v>
      </c>
      <c r="I33" s="12" t="s">
        <v>245</v>
      </c>
      <c r="J33" s="16">
        <v>11000</v>
      </c>
      <c r="K33" s="22">
        <f t="shared" ca="1" si="0"/>
        <v>9</v>
      </c>
      <c r="L33" s="15" t="str">
        <f t="shared" ca="1" si="1"/>
        <v>Planificada</v>
      </c>
      <c r="M33" s="20" t="s">
        <v>246</v>
      </c>
    </row>
    <row r="34" spans="1:13" ht="22.05" customHeight="1" x14ac:dyDescent="0.3">
      <c r="A34" s="11">
        <v>46097</v>
      </c>
      <c r="B34" s="10" t="s">
        <v>158</v>
      </c>
      <c r="C34" s="21" t="str">
        <f ca="1">IFERROR(_xludf.XLOOKUP($B34,Clientes!$A$5:$A$500,Clientes!$C$5:$C$500,""),"")</f>
        <v/>
      </c>
      <c r="D34" s="10" t="s">
        <v>47</v>
      </c>
      <c r="E34" s="10" t="s">
        <v>47</v>
      </c>
      <c r="F34" s="10" t="s">
        <v>21</v>
      </c>
      <c r="G34" s="10" t="s">
        <v>184</v>
      </c>
      <c r="H34" s="11">
        <v>46118</v>
      </c>
      <c r="I34" s="12" t="s">
        <v>247</v>
      </c>
      <c r="J34" s="16">
        <v>11000</v>
      </c>
      <c r="K34" s="22">
        <f t="shared" ca="1" si="0"/>
        <v>-8</v>
      </c>
      <c r="L34" s="15" t="str">
        <f t="shared" ca="1" si="1"/>
        <v>Vencida</v>
      </c>
      <c r="M34" s="20" t="s">
        <v>248</v>
      </c>
    </row>
    <row r="35" spans="1:13" ht="22.05" customHeight="1" x14ac:dyDescent="0.3">
      <c r="A35" s="11">
        <v>46080</v>
      </c>
      <c r="B35" s="10" t="s">
        <v>77</v>
      </c>
      <c r="C35" s="21" t="str">
        <f ca="1">IFERROR(_xludf.XLOOKUP($B35,Clientes!$A$5:$A$500,Clientes!$C$5:$C$500,""),"")</f>
        <v/>
      </c>
      <c r="D35" s="10" t="s">
        <v>183</v>
      </c>
      <c r="E35" s="10" t="s">
        <v>48</v>
      </c>
      <c r="F35" s="10" t="s">
        <v>14</v>
      </c>
      <c r="G35" s="10" t="s">
        <v>177</v>
      </c>
      <c r="H35" s="11">
        <v>46106</v>
      </c>
      <c r="I35" s="12" t="s">
        <v>249</v>
      </c>
      <c r="J35" s="16">
        <v>24000</v>
      </c>
      <c r="K35" s="22">
        <f t="shared" ca="1" si="0"/>
        <v>-20</v>
      </c>
      <c r="L35" s="15" t="str">
        <f t="shared" ca="1" si="1"/>
        <v>Vencida</v>
      </c>
      <c r="M35" s="20" t="s">
        <v>250</v>
      </c>
    </row>
    <row r="36" spans="1:13" ht="22.05" customHeight="1" x14ac:dyDescent="0.3">
      <c r="A36" s="11">
        <v>46086</v>
      </c>
      <c r="B36" s="10" t="s">
        <v>61</v>
      </c>
      <c r="C36" s="21" t="str">
        <f ca="1">IFERROR(_xludf.XLOOKUP($B36,Clientes!$A$5:$A$500,Clientes!$C$5:$C$500,""),"")</f>
        <v/>
      </c>
      <c r="D36" s="10" t="s">
        <v>198</v>
      </c>
      <c r="E36" s="10" t="s">
        <v>251</v>
      </c>
      <c r="F36" s="10" t="s">
        <v>7</v>
      </c>
      <c r="G36" s="10" t="s">
        <v>177</v>
      </c>
      <c r="H36" s="11">
        <v>46109</v>
      </c>
      <c r="I36" s="12" t="s">
        <v>252</v>
      </c>
      <c r="J36" s="16">
        <v>18000</v>
      </c>
      <c r="K36" s="22">
        <f t="shared" ca="1" si="0"/>
        <v>-17</v>
      </c>
      <c r="L36" s="15" t="str">
        <f t="shared" ca="1" si="1"/>
        <v>Vencida</v>
      </c>
      <c r="M36" s="20" t="s">
        <v>253</v>
      </c>
    </row>
    <row r="37" spans="1:13" ht="22.05" customHeight="1" x14ac:dyDescent="0.3">
      <c r="A37" s="11">
        <v>46071</v>
      </c>
      <c r="B37" s="10" t="s">
        <v>84</v>
      </c>
      <c r="C37" s="21" t="str">
        <f ca="1">IFERROR(_xludf.XLOOKUP($B37,Clientes!$A$5:$A$500,Clientes!$C$5:$C$500,""),"")</f>
        <v/>
      </c>
      <c r="D37" s="10" t="s">
        <v>47</v>
      </c>
      <c r="E37" s="10" t="s">
        <v>47</v>
      </c>
      <c r="F37" s="10" t="s">
        <v>16</v>
      </c>
      <c r="G37" s="10" t="s">
        <v>180</v>
      </c>
      <c r="H37" s="11">
        <v>46113</v>
      </c>
      <c r="I37" s="12" t="s">
        <v>254</v>
      </c>
      <c r="J37" s="16">
        <v>14000</v>
      </c>
      <c r="K37" s="22">
        <f t="shared" ca="1" si="0"/>
        <v>-13</v>
      </c>
      <c r="L37" s="15" t="str">
        <f t="shared" ca="1" si="1"/>
        <v>Vencida</v>
      </c>
      <c r="M37" s="20" t="s">
        <v>255</v>
      </c>
    </row>
    <row r="38" spans="1:13" ht="22.05" customHeight="1" x14ac:dyDescent="0.3">
      <c r="A38" s="11">
        <v>46092</v>
      </c>
      <c r="B38" s="10" t="s">
        <v>120</v>
      </c>
      <c r="C38" s="21" t="str">
        <f ca="1">IFERROR(_xludf.XLOOKUP($B38,Clientes!$A$5:$A$500,Clientes!$C$5:$C$500,""),"")</f>
        <v/>
      </c>
      <c r="D38" s="10" t="s">
        <v>183</v>
      </c>
      <c r="E38" s="10" t="s">
        <v>48</v>
      </c>
      <c r="F38" s="10" t="s">
        <v>16</v>
      </c>
      <c r="G38" s="10" t="s">
        <v>177</v>
      </c>
      <c r="H38" s="11">
        <v>46099</v>
      </c>
      <c r="I38" s="12" t="s">
        <v>256</v>
      </c>
      <c r="J38" s="16">
        <v>21000</v>
      </c>
      <c r="K38" s="22">
        <f t="shared" ca="1" si="0"/>
        <v>-27</v>
      </c>
      <c r="L38" s="15" t="str">
        <f t="shared" ca="1" si="1"/>
        <v>Vencida</v>
      </c>
      <c r="M38" s="20" t="s">
        <v>257</v>
      </c>
    </row>
    <row r="39" spans="1:13" ht="22.05" customHeight="1" x14ac:dyDescent="0.3">
      <c r="A39" s="11">
        <v>46078</v>
      </c>
      <c r="B39" s="10" t="s">
        <v>135</v>
      </c>
      <c r="C39" s="21" t="str">
        <f ca="1">IFERROR(_xludf.XLOOKUP($B39,Clientes!$A$5:$A$500,Clientes!$C$5:$C$500,""),"")</f>
        <v/>
      </c>
      <c r="D39" s="10" t="s">
        <v>47</v>
      </c>
      <c r="E39" s="10" t="s">
        <v>47</v>
      </c>
      <c r="F39" s="10" t="s">
        <v>7</v>
      </c>
      <c r="G39" s="10" t="s">
        <v>184</v>
      </c>
      <c r="H39" s="11">
        <v>46116</v>
      </c>
      <c r="I39" s="12" t="s">
        <v>258</v>
      </c>
      <c r="J39" s="16">
        <v>27000</v>
      </c>
      <c r="K39" s="22">
        <f t="shared" ca="1" si="0"/>
        <v>-10</v>
      </c>
      <c r="L39" s="15" t="str">
        <f t="shared" ca="1" si="1"/>
        <v>Vencida</v>
      </c>
      <c r="M39" s="20" t="s">
        <v>259</v>
      </c>
    </row>
    <row r="40" spans="1:13" ht="22.05" customHeight="1" x14ac:dyDescent="0.3">
      <c r="A40" s="11">
        <v>46088</v>
      </c>
      <c r="B40" s="10" t="s">
        <v>127</v>
      </c>
      <c r="C40" s="21" t="str">
        <f ca="1">IFERROR(_xludf.XLOOKUP($B40,Clientes!$A$5:$A$500,Clientes!$C$5:$C$500,""),"")</f>
        <v/>
      </c>
      <c r="D40" s="10" t="s">
        <v>175</v>
      </c>
      <c r="E40" s="10" t="s">
        <v>176</v>
      </c>
      <c r="F40" s="10" t="s">
        <v>21</v>
      </c>
      <c r="G40" s="10" t="s">
        <v>177</v>
      </c>
      <c r="H40" s="11">
        <v>46108</v>
      </c>
      <c r="I40" s="12" t="s">
        <v>260</v>
      </c>
      <c r="J40" s="16">
        <v>13000</v>
      </c>
      <c r="K40" s="22">
        <f t="shared" ca="1" si="0"/>
        <v>-18</v>
      </c>
      <c r="L40" s="15" t="str">
        <f t="shared" ca="1" si="1"/>
        <v>Vencida</v>
      </c>
      <c r="M40" s="20" t="s">
        <v>261</v>
      </c>
    </row>
    <row r="41" spans="1:13" ht="22.05" customHeight="1" x14ac:dyDescent="0.3">
      <c r="A41" s="11">
        <v>46069</v>
      </c>
      <c r="B41" s="10" t="s">
        <v>141</v>
      </c>
      <c r="C41" s="21" t="str">
        <f ca="1">IFERROR(_xludf.XLOOKUP($B41,Clientes!$A$5:$A$500,Clientes!$C$5:$C$500,""),"")</f>
        <v/>
      </c>
      <c r="D41" s="10" t="s">
        <v>47</v>
      </c>
      <c r="E41" s="10" t="s">
        <v>47</v>
      </c>
      <c r="F41" s="10" t="s">
        <v>13</v>
      </c>
      <c r="G41" s="10" t="s">
        <v>177</v>
      </c>
      <c r="H41" s="11">
        <v>46103</v>
      </c>
      <c r="I41" s="12" t="s">
        <v>262</v>
      </c>
      <c r="J41" s="16">
        <v>15500</v>
      </c>
      <c r="K41" s="22">
        <f t="shared" ca="1" si="0"/>
        <v>-23</v>
      </c>
      <c r="L41" s="15" t="str">
        <f t="shared" ca="1" si="1"/>
        <v>Vencida</v>
      </c>
      <c r="M41" s="20" t="s">
        <v>263</v>
      </c>
    </row>
  </sheetData>
  <mergeCells count="2">
    <mergeCell ref="A2:M2"/>
    <mergeCell ref="A1:M1"/>
  </mergeCells>
  <conditionalFormatting sqref="J5:J1000">
    <cfRule type="dataBar" priority="4">
      <dataBar>
        <cfvo type="num" val="0"/>
        <cfvo type="max"/>
        <color rgb="FF5B9BD5"/>
      </dataBar>
    </cfRule>
  </conditionalFormatting>
  <conditionalFormatting sqref="L5:L1000">
    <cfRule type="expression" dxfId="2" priority="1">
      <formula>$L5="Vencida"</formula>
    </cfRule>
    <cfRule type="expression" dxfId="1" priority="2">
      <formula>$L5="Próxima"</formula>
    </cfRule>
    <cfRule type="expression" dxfId="0" priority="3">
      <formula>$L5="Planificada"</formula>
    </cfRule>
  </conditionalFormatting>
  <dataValidations count="5">
    <dataValidation type="list" allowBlank="1" sqref="B5:B1000" xr:uid="{00000000-0002-0000-0200-000000000000}">
      <formula1>IDsClientes</formula1>
    </dataValidation>
    <dataValidation type="list" allowBlank="1" sqref="D5:D1000" xr:uid="{00000000-0002-0000-0200-000001000000}">
      <formula1>ListaTiposInteraccion</formula1>
    </dataValidation>
    <dataValidation type="list" allowBlank="1" sqref="E5:E1000" xr:uid="{00000000-0002-0000-0200-000002000000}">
      <formula1>ListaCanalesInteraccion</formula1>
    </dataValidation>
    <dataValidation type="list" allowBlank="1" sqref="F5:F1000" xr:uid="{00000000-0002-0000-0200-000003000000}">
      <formula1>ListaResponsables</formula1>
    </dataValidation>
    <dataValidation type="list" allowBlank="1" sqref="G5:G1000" xr:uid="{00000000-0002-0000-0200-000004000000}">
      <formula1>ListaResultados</formula1>
    </dataValidation>
  </dataValidations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0"/>
  <sheetViews>
    <sheetView workbookViewId="0"/>
  </sheetViews>
  <sheetFormatPr baseColWidth="10" defaultColWidth="8.88671875" defaultRowHeight="14.4" x14ac:dyDescent="0.3"/>
  <cols>
    <col min="1" max="8" width="18" customWidth="1"/>
  </cols>
  <sheetData>
    <row r="1" spans="1:8" x14ac:dyDescent="0.3">
      <c r="A1" t="s">
        <v>264</v>
      </c>
      <c r="B1" t="s">
        <v>265</v>
      </c>
      <c r="C1" t="s">
        <v>266</v>
      </c>
      <c r="D1" t="s">
        <v>267</v>
      </c>
      <c r="E1" t="s">
        <v>268</v>
      </c>
      <c r="F1" t="s">
        <v>269</v>
      </c>
      <c r="G1" t="s">
        <v>270</v>
      </c>
      <c r="H1" t="s">
        <v>271</v>
      </c>
    </row>
    <row r="2" spans="1:8" x14ac:dyDescent="0.3">
      <c r="A2" t="s">
        <v>63</v>
      </c>
      <c r="B2" t="s">
        <v>94</v>
      </c>
      <c r="C2" t="s">
        <v>7</v>
      </c>
      <c r="D2" t="s">
        <v>27</v>
      </c>
      <c r="E2" t="s">
        <v>6</v>
      </c>
      <c r="F2" t="s">
        <v>183</v>
      </c>
      <c r="G2" t="s">
        <v>48</v>
      </c>
      <c r="H2" t="s">
        <v>177</v>
      </c>
    </row>
    <row r="3" spans="1:8" x14ac:dyDescent="0.3">
      <c r="A3" t="s">
        <v>114</v>
      </c>
      <c r="B3" t="s">
        <v>79</v>
      </c>
      <c r="C3" t="s">
        <v>13</v>
      </c>
      <c r="D3" t="s">
        <v>28</v>
      </c>
      <c r="E3" t="s">
        <v>12</v>
      </c>
      <c r="F3" t="s">
        <v>47</v>
      </c>
      <c r="G3" t="s">
        <v>47</v>
      </c>
      <c r="H3" t="s">
        <v>184</v>
      </c>
    </row>
    <row r="4" spans="1:8" x14ac:dyDescent="0.3">
      <c r="A4" t="s">
        <v>86</v>
      </c>
      <c r="B4" t="s">
        <v>129</v>
      </c>
      <c r="C4" t="s">
        <v>14</v>
      </c>
      <c r="D4" t="s">
        <v>30</v>
      </c>
      <c r="E4" t="s">
        <v>10</v>
      </c>
      <c r="F4" t="s">
        <v>175</v>
      </c>
      <c r="G4" t="s">
        <v>176</v>
      </c>
      <c r="H4" t="s">
        <v>187</v>
      </c>
    </row>
    <row r="5" spans="1:8" x14ac:dyDescent="0.3">
      <c r="A5" t="s">
        <v>33</v>
      </c>
      <c r="B5" t="s">
        <v>107</v>
      </c>
      <c r="C5" t="s">
        <v>16</v>
      </c>
      <c r="D5" t="s">
        <v>31</v>
      </c>
      <c r="E5" t="s">
        <v>15</v>
      </c>
      <c r="F5" t="s">
        <v>202</v>
      </c>
      <c r="G5" t="s">
        <v>195</v>
      </c>
      <c r="H5" t="s">
        <v>199</v>
      </c>
    </row>
    <row r="6" spans="1:8" x14ac:dyDescent="0.3">
      <c r="B6" t="s">
        <v>72</v>
      </c>
      <c r="C6" t="s">
        <v>21</v>
      </c>
      <c r="D6" t="s">
        <v>32</v>
      </c>
      <c r="E6" t="s">
        <v>20</v>
      </c>
      <c r="F6" t="s">
        <v>272</v>
      </c>
      <c r="G6" t="s">
        <v>251</v>
      </c>
      <c r="H6" t="s">
        <v>180</v>
      </c>
    </row>
    <row r="7" spans="1:8" x14ac:dyDescent="0.3">
      <c r="B7" t="s">
        <v>115</v>
      </c>
      <c r="D7" t="s">
        <v>33</v>
      </c>
      <c r="F7" t="s">
        <v>215</v>
      </c>
      <c r="H7" t="s">
        <v>20</v>
      </c>
    </row>
    <row r="8" spans="1:8" x14ac:dyDescent="0.3">
      <c r="B8" t="s">
        <v>122</v>
      </c>
      <c r="F8" t="s">
        <v>190</v>
      </c>
      <c r="H8" t="s">
        <v>216</v>
      </c>
    </row>
    <row r="9" spans="1:8" x14ac:dyDescent="0.3">
      <c r="B9" t="s">
        <v>87</v>
      </c>
      <c r="F9" t="s">
        <v>198</v>
      </c>
    </row>
    <row r="10" spans="1:8" x14ac:dyDescent="0.3">
      <c r="B10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Resumen</vt:lpstr>
      <vt:lpstr>Clientes</vt:lpstr>
      <vt:lpstr>Actividad</vt:lpstr>
      <vt:lpstr>Listas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modified xsi:type="dcterms:W3CDTF">2026-04-14T07:17:00Z</dcterms:modified>
</cp:coreProperties>
</file>