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 de negocio plantilla\"/>
    </mc:Choice>
  </mc:AlternateContent>
  <xr:revisionPtr revIDLastSave="0" documentId="13_ncr:1_{253D6630-E999-420F-A9A7-4C735A09EA18}" xr6:coauthVersionLast="47" xr6:coauthVersionMax="47" xr10:uidLastSave="{00000000-0000-0000-0000-000000000000}"/>
  <bookViews>
    <workbookView xWindow="-120" yWindow="-120" windowWidth="29040" windowHeight="15720" tabRatio="500" activeTab="3" xr2:uid="{00000000-000D-0000-FFFF-FFFF00000000}"/>
  </bookViews>
  <sheets>
    <sheet name="00_Inicio" sheetId="1" r:id="rId1"/>
    <sheet name="01_Plan" sheetId="2" r:id="rId2"/>
    <sheet name="02_Modelo" sheetId="3" r:id="rId3"/>
    <sheet name="03_Finanzas" sheetId="4" r:id="rId4"/>
    <sheet name="Listas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" i="2" l="1"/>
  <c r="E16" i="4"/>
  <c r="D16" i="4"/>
  <c r="C16" i="4"/>
  <c r="AJ78" i="3"/>
  <c r="AF78" i="3"/>
  <c r="G78" i="3"/>
  <c r="AI77" i="3"/>
  <c r="AG77" i="3"/>
  <c r="AF77" i="3"/>
  <c r="F77" i="3"/>
  <c r="AN76" i="3"/>
  <c r="AN77" i="3" s="1"/>
  <c r="AM76" i="3"/>
  <c r="AM77" i="3" s="1"/>
  <c r="AL76" i="3"/>
  <c r="AL77" i="3" s="1"/>
  <c r="AK76" i="3"/>
  <c r="AJ76" i="3"/>
  <c r="AJ77" i="3" s="1"/>
  <c r="AI76" i="3"/>
  <c r="AH76" i="3"/>
  <c r="AG76" i="3"/>
  <c r="AF76" i="3"/>
  <c r="AE76" i="3"/>
  <c r="AD76" i="3"/>
  <c r="AC76" i="3"/>
  <c r="AB76" i="3"/>
  <c r="AA76" i="3"/>
  <c r="Z76" i="3"/>
  <c r="Y76" i="3"/>
  <c r="X76" i="3"/>
  <c r="W76" i="3"/>
  <c r="V76" i="3"/>
  <c r="U76" i="3"/>
  <c r="T76" i="3"/>
  <c r="S76" i="3"/>
  <c r="R76" i="3"/>
  <c r="Q76" i="3"/>
  <c r="P76" i="3"/>
  <c r="O76" i="3"/>
  <c r="N76" i="3"/>
  <c r="M76" i="3"/>
  <c r="L76" i="3"/>
  <c r="K76" i="3"/>
  <c r="J76" i="3"/>
  <c r="I76" i="3"/>
  <c r="H76" i="3"/>
  <c r="G76" i="3"/>
  <c r="G77" i="3" s="1"/>
  <c r="F76" i="3"/>
  <c r="F78" i="3" s="1"/>
  <c r="E76" i="3"/>
  <c r="E78" i="3" s="1"/>
  <c r="E75" i="3"/>
  <c r="E79" i="3" s="1"/>
  <c r="G17" i="4" s="1"/>
  <c r="AN74" i="3"/>
  <c r="AM74" i="3"/>
  <c r="AL74" i="3"/>
  <c r="AK74" i="3"/>
  <c r="AJ74" i="3"/>
  <c r="AI74" i="3"/>
  <c r="AH74" i="3"/>
  <c r="AG74" i="3"/>
  <c r="AF74" i="3"/>
  <c r="AE74" i="3"/>
  <c r="AD74" i="3"/>
  <c r="AC74" i="3"/>
  <c r="AB74" i="3"/>
  <c r="AA74" i="3"/>
  <c r="Z74" i="3"/>
  <c r="Y74" i="3"/>
  <c r="X74" i="3"/>
  <c r="W74" i="3"/>
  <c r="V74" i="3"/>
  <c r="U74" i="3"/>
  <c r="T74" i="3"/>
  <c r="S74" i="3"/>
  <c r="R74" i="3"/>
  <c r="Q74" i="3"/>
  <c r="P74" i="3"/>
  <c r="O74" i="3"/>
  <c r="N74" i="3"/>
  <c r="M74" i="3"/>
  <c r="L74" i="3"/>
  <c r="K74" i="3"/>
  <c r="J74" i="3"/>
  <c r="I74" i="3"/>
  <c r="H74" i="3"/>
  <c r="G74" i="3"/>
  <c r="F74" i="3"/>
  <c r="E74" i="3"/>
  <c r="AN73" i="3"/>
  <c r="AM73" i="3"/>
  <c r="AL73" i="3"/>
  <c r="AK73" i="3"/>
  <c r="AJ73" i="3"/>
  <c r="AI73" i="3"/>
  <c r="AH73" i="3"/>
  <c r="AG73" i="3"/>
  <c r="AF73" i="3"/>
  <c r="AF82" i="3" s="1"/>
  <c r="AE73" i="3"/>
  <c r="AD73" i="3"/>
  <c r="AC73" i="3"/>
  <c r="AB73" i="3"/>
  <c r="AA73" i="3"/>
  <c r="Z73" i="3"/>
  <c r="Z82" i="3" s="1"/>
  <c r="Y73" i="3"/>
  <c r="Y82" i="3" s="1"/>
  <c r="X73" i="3"/>
  <c r="W73" i="3"/>
  <c r="V73" i="3"/>
  <c r="U73" i="3"/>
  <c r="T73" i="3"/>
  <c r="S73" i="3"/>
  <c r="R73" i="3"/>
  <c r="Q73" i="3"/>
  <c r="P73" i="3"/>
  <c r="O73" i="3"/>
  <c r="O82" i="3" s="1"/>
  <c r="N73" i="3"/>
  <c r="M73" i="3"/>
  <c r="L73" i="3"/>
  <c r="L82" i="3" s="1"/>
  <c r="K73" i="3"/>
  <c r="J73" i="3"/>
  <c r="I73" i="3"/>
  <c r="H73" i="3"/>
  <c r="G73" i="3"/>
  <c r="F73" i="3"/>
  <c r="E73" i="3"/>
  <c r="E62" i="3"/>
  <c r="E56" i="3"/>
  <c r="AM44" i="3"/>
  <c r="AL44" i="3"/>
  <c r="AK44" i="3"/>
  <c r="AJ44" i="3"/>
  <c r="AI44" i="3"/>
  <c r="AH44" i="3"/>
  <c r="AF44" i="3"/>
  <c r="V44" i="3"/>
  <c r="O44" i="3"/>
  <c r="M44" i="3"/>
  <c r="L44" i="3"/>
  <c r="J44" i="3"/>
  <c r="I44" i="3"/>
  <c r="AN42" i="3"/>
  <c r="AL42" i="3"/>
  <c r="AH42" i="3"/>
  <c r="AG42" i="3"/>
  <c r="T42" i="3"/>
  <c r="P42" i="3"/>
  <c r="N42" i="3"/>
  <c r="L42" i="3"/>
  <c r="K42" i="3"/>
  <c r="J42" i="3"/>
  <c r="I42" i="3"/>
  <c r="AM40" i="3"/>
  <c r="AL40" i="3"/>
  <c r="V40" i="3"/>
  <c r="T40" i="3"/>
  <c r="S40" i="3"/>
  <c r="Q40" i="3"/>
  <c r="P40" i="3"/>
  <c r="O40" i="3"/>
  <c r="N40" i="3"/>
  <c r="M40" i="3"/>
  <c r="L40" i="3"/>
  <c r="AB36" i="3"/>
  <c r="W32" i="3"/>
  <c r="T28" i="3"/>
  <c r="B13" i="3"/>
  <c r="B12" i="3"/>
  <c r="I36" i="3" s="1"/>
  <c r="B11" i="3"/>
  <c r="V35" i="3" s="1"/>
  <c r="E4" i="3"/>
  <c r="F4" i="3" s="1"/>
  <c r="G56" i="2"/>
  <c r="G55" i="2"/>
  <c r="G54" i="2"/>
  <c r="G53" i="2"/>
  <c r="G52" i="2"/>
  <c r="G51" i="2"/>
  <c r="H46" i="2"/>
  <c r="F46" i="2"/>
  <c r="D46" i="2"/>
  <c r="B46" i="2"/>
  <c r="A14" i="1"/>
  <c r="A13" i="1"/>
  <c r="E77" i="3" l="1"/>
  <c r="P82" i="3"/>
  <c r="AJ82" i="3"/>
  <c r="AL82" i="3"/>
  <c r="E55" i="3"/>
  <c r="AN82" i="3"/>
  <c r="V82" i="3"/>
  <c r="X82" i="3"/>
  <c r="AB82" i="3"/>
  <c r="AM78" i="3"/>
  <c r="E63" i="3"/>
  <c r="W82" i="3"/>
  <c r="E65" i="3"/>
  <c r="AH82" i="3"/>
  <c r="V45" i="3"/>
  <c r="AA28" i="3"/>
  <c r="AM25" i="3"/>
  <c r="AC36" i="3"/>
  <c r="Q28" i="3"/>
  <c r="G32" i="3"/>
  <c r="P36" i="3"/>
  <c r="AK77" i="3"/>
  <c r="AK78" i="3"/>
  <c r="AN25" i="3"/>
  <c r="R28" i="3"/>
  <c r="I32" i="3"/>
  <c r="Y36" i="3"/>
  <c r="AN78" i="3"/>
  <c r="S28" i="3"/>
  <c r="V32" i="3"/>
  <c r="Z36" i="3"/>
  <c r="S82" i="3"/>
  <c r="AD28" i="3"/>
  <c r="AE28" i="3"/>
  <c r="F25" i="3"/>
  <c r="AG28" i="3"/>
  <c r="P31" i="3"/>
  <c r="AC32" i="3"/>
  <c r="U35" i="3"/>
  <c r="G25" i="3"/>
  <c r="AN28" i="3"/>
  <c r="Q31" i="3"/>
  <c r="AD32" i="3"/>
  <c r="AI35" i="3"/>
  <c r="O35" i="3"/>
  <c r="AG35" i="3"/>
  <c r="M35" i="3"/>
  <c r="AE35" i="3"/>
  <c r="K35" i="3"/>
  <c r="AK35" i="3"/>
  <c r="L35" i="3"/>
  <c r="AH31" i="3"/>
  <c r="N31" i="3"/>
  <c r="AL25" i="3"/>
  <c r="R25" i="3"/>
  <c r="AJ35" i="3"/>
  <c r="J35" i="3"/>
  <c r="AG31" i="3"/>
  <c r="M31" i="3"/>
  <c r="AK25" i="3"/>
  <c r="Q25" i="3"/>
  <c r="P25" i="3"/>
  <c r="AH35" i="3"/>
  <c r="I35" i="3"/>
  <c r="AF31" i="3"/>
  <c r="L31" i="3"/>
  <c r="AJ25" i="3"/>
  <c r="AF35" i="3"/>
  <c r="H35" i="3"/>
  <c r="AE31" i="3"/>
  <c r="K31" i="3"/>
  <c r="AI25" i="3"/>
  <c r="O25" i="3"/>
  <c r="AD35" i="3"/>
  <c r="G35" i="3"/>
  <c r="AD31" i="3"/>
  <c r="J31" i="3"/>
  <c r="AH25" i="3"/>
  <c r="N25" i="3"/>
  <c r="AC35" i="3"/>
  <c r="F35" i="3"/>
  <c r="AC31" i="3"/>
  <c r="I31" i="3"/>
  <c r="AG25" i="3"/>
  <c r="M25" i="3"/>
  <c r="N35" i="3"/>
  <c r="Y31" i="3"/>
  <c r="AA25" i="3"/>
  <c r="T31" i="3"/>
  <c r="E35" i="3"/>
  <c r="X31" i="3"/>
  <c r="Z25" i="3"/>
  <c r="AM35" i="3"/>
  <c r="V25" i="3"/>
  <c r="W31" i="3"/>
  <c r="Y25" i="3"/>
  <c r="V31" i="3"/>
  <c r="X25" i="3"/>
  <c r="AN35" i="3"/>
  <c r="U31" i="3"/>
  <c r="W25" i="3"/>
  <c r="AB35" i="3"/>
  <c r="R31" i="3"/>
  <c r="T25" i="3"/>
  <c r="Y35" i="3"/>
  <c r="O31" i="3"/>
  <c r="K25" i="3"/>
  <c r="R35" i="3"/>
  <c r="AB31" i="3"/>
  <c r="AD25" i="3"/>
  <c r="E31" i="3"/>
  <c r="S35" i="3"/>
  <c r="AM32" i="3"/>
  <c r="AA32" i="3"/>
  <c r="E25" i="3"/>
  <c r="E27" i="3" s="1"/>
  <c r="H25" i="3"/>
  <c r="S31" i="3"/>
  <c r="AA31" i="3"/>
  <c r="R82" i="3"/>
  <c r="S25" i="3"/>
  <c r="AJ31" i="3"/>
  <c r="AL35" i="3"/>
  <c r="Z32" i="3"/>
  <c r="AB32" i="3"/>
  <c r="AF32" i="3"/>
  <c r="Q82" i="3"/>
  <c r="AK82" i="3"/>
  <c r="P35" i="3"/>
  <c r="I25" i="3"/>
  <c r="Z35" i="3"/>
  <c r="AI31" i="3"/>
  <c r="F75" i="3"/>
  <c r="F79" i="3" s="1"/>
  <c r="AM82" i="3"/>
  <c r="AM36" i="3"/>
  <c r="S36" i="3"/>
  <c r="AK36" i="3"/>
  <c r="Q36" i="3"/>
  <c r="AI36" i="3"/>
  <c r="O36" i="3"/>
  <c r="X36" i="3"/>
  <c r="AL32" i="3"/>
  <c r="R32" i="3"/>
  <c r="Z28" i="3"/>
  <c r="F28" i="3"/>
  <c r="W36" i="3"/>
  <c r="AK32" i="3"/>
  <c r="Q32" i="3"/>
  <c r="Y28" i="3"/>
  <c r="E28" i="3"/>
  <c r="V36" i="3"/>
  <c r="V37" i="3" s="1"/>
  <c r="AJ32" i="3"/>
  <c r="P32" i="3"/>
  <c r="X28" i="3"/>
  <c r="U36" i="3"/>
  <c r="AI32" i="3"/>
  <c r="O32" i="3"/>
  <c r="W28" i="3"/>
  <c r="T36" i="3"/>
  <c r="AH32" i="3"/>
  <c r="N32" i="3"/>
  <c r="V28" i="3"/>
  <c r="R36" i="3"/>
  <c r="AG32" i="3"/>
  <c r="M32" i="3"/>
  <c r="U28" i="3"/>
  <c r="AN36" i="3"/>
  <c r="H36" i="3"/>
  <c r="U32" i="3"/>
  <c r="AM28" i="3"/>
  <c r="M28" i="3"/>
  <c r="H28" i="3"/>
  <c r="AL36" i="3"/>
  <c r="G36" i="3"/>
  <c r="T32" i="3"/>
  <c r="AL28" i="3"/>
  <c r="L28" i="3"/>
  <c r="AJ36" i="3"/>
  <c r="F36" i="3"/>
  <c r="S32" i="3"/>
  <c r="AK28" i="3"/>
  <c r="K28" i="3"/>
  <c r="AF36" i="3"/>
  <c r="AH36" i="3"/>
  <c r="E36" i="3"/>
  <c r="L32" i="3"/>
  <c r="AJ28" i="3"/>
  <c r="J28" i="3"/>
  <c r="J32" i="3"/>
  <c r="AG36" i="3"/>
  <c r="K32" i="3"/>
  <c r="AI28" i="3"/>
  <c r="I28" i="3"/>
  <c r="AH28" i="3"/>
  <c r="AD36" i="3"/>
  <c r="AN32" i="3"/>
  <c r="H32" i="3"/>
  <c r="AF28" i="3"/>
  <c r="AA36" i="3"/>
  <c r="AE32" i="3"/>
  <c r="E32" i="3"/>
  <c r="AC28" i="3"/>
  <c r="K36" i="3"/>
  <c r="X32" i="3"/>
  <c r="P28" i="3"/>
  <c r="AB28" i="3"/>
  <c r="Q35" i="3"/>
  <c r="T35" i="3"/>
  <c r="W35" i="3"/>
  <c r="H9" i="4"/>
  <c r="F66" i="3"/>
  <c r="F53" i="3"/>
  <c r="F64" i="3"/>
  <c r="F54" i="3"/>
  <c r="F63" i="3"/>
  <c r="F56" i="3"/>
  <c r="G4" i="3"/>
  <c r="F65" i="3"/>
  <c r="F62" i="3"/>
  <c r="F55" i="3"/>
  <c r="X35" i="3"/>
  <c r="J25" i="3"/>
  <c r="AB25" i="3"/>
  <c r="J36" i="3"/>
  <c r="AC25" i="3"/>
  <c r="G28" i="3"/>
  <c r="AM31" i="3"/>
  <c r="L36" i="3"/>
  <c r="N82" i="3"/>
  <c r="AH78" i="3"/>
  <c r="AH77" i="3"/>
  <c r="Y32" i="3"/>
  <c r="F31" i="3"/>
  <c r="AE36" i="3"/>
  <c r="G31" i="3"/>
  <c r="H31" i="3"/>
  <c r="Z31" i="3"/>
  <c r="L25" i="3"/>
  <c r="AA35" i="3"/>
  <c r="AK31" i="3"/>
  <c r="AE25" i="3"/>
  <c r="N28" i="3"/>
  <c r="AN31" i="3"/>
  <c r="M36" i="3"/>
  <c r="T82" i="3"/>
  <c r="AI78" i="3"/>
  <c r="AI82" i="3"/>
  <c r="U25" i="3"/>
  <c r="AL31" i="3"/>
  <c r="AF25" i="3"/>
  <c r="O28" i="3"/>
  <c r="F32" i="3"/>
  <c r="N36" i="3"/>
  <c r="F57" i="3"/>
  <c r="U82" i="3"/>
  <c r="AL78" i="3"/>
  <c r="AA44" i="3"/>
  <c r="G44" i="3"/>
  <c r="AM42" i="3"/>
  <c r="S42" i="3"/>
  <c r="AE40" i="3"/>
  <c r="K40" i="3"/>
  <c r="Y44" i="3"/>
  <c r="E44" i="3"/>
  <c r="AK42" i="3"/>
  <c r="Q42" i="3"/>
  <c r="AC40" i="3"/>
  <c r="I40" i="3"/>
  <c r="W44" i="3"/>
  <c r="AI42" i="3"/>
  <c r="O42" i="3"/>
  <c r="AA40" i="3"/>
  <c r="G40" i="3"/>
  <c r="AE44" i="3"/>
  <c r="H44" i="3"/>
  <c r="AE42" i="3"/>
  <c r="H42" i="3"/>
  <c r="AH40" i="3"/>
  <c r="J40" i="3"/>
  <c r="AD44" i="3"/>
  <c r="F44" i="3"/>
  <c r="AD42" i="3"/>
  <c r="G42" i="3"/>
  <c r="AG40" i="3"/>
  <c r="H40" i="3"/>
  <c r="AC44" i="3"/>
  <c r="AC42" i="3"/>
  <c r="F42" i="3"/>
  <c r="AF40" i="3"/>
  <c r="F40" i="3"/>
  <c r="AB44" i="3"/>
  <c r="AB42" i="3"/>
  <c r="E42" i="3"/>
  <c r="AD40" i="3"/>
  <c r="E40" i="3"/>
  <c r="Z44" i="3"/>
  <c r="AA42" i="3"/>
  <c r="AB40" i="3"/>
  <c r="X44" i="3"/>
  <c r="Z42" i="3"/>
  <c r="Z40" i="3"/>
  <c r="AN40" i="3"/>
  <c r="AJ42" i="3"/>
  <c r="AG44" i="3"/>
  <c r="R40" i="3"/>
  <c r="M42" i="3"/>
  <c r="K44" i="3"/>
  <c r="AN44" i="3"/>
  <c r="E57" i="3"/>
  <c r="U40" i="3"/>
  <c r="R42" i="3"/>
  <c r="N44" i="3"/>
  <c r="W40" i="3"/>
  <c r="X40" i="3"/>
  <c r="V42" i="3"/>
  <c r="Q44" i="3"/>
  <c r="E82" i="3"/>
  <c r="U42" i="3"/>
  <c r="Y40" i="3"/>
  <c r="W42" i="3"/>
  <c r="R44" i="3"/>
  <c r="F82" i="3"/>
  <c r="P44" i="3"/>
  <c r="AI40" i="3"/>
  <c r="X42" i="3"/>
  <c r="S44" i="3"/>
  <c r="G9" i="4"/>
  <c r="E66" i="3"/>
  <c r="E53" i="3"/>
  <c r="E64" i="3"/>
  <c r="E54" i="3"/>
  <c r="AJ40" i="3"/>
  <c r="Y42" i="3"/>
  <c r="T44" i="3"/>
  <c r="H82" i="3"/>
  <c r="AK40" i="3"/>
  <c r="AF42" i="3"/>
  <c r="U44" i="3"/>
  <c r="M82" i="3"/>
  <c r="AG78" i="3"/>
  <c r="AG82" i="3"/>
  <c r="G82" i="3"/>
  <c r="AA82" i="3"/>
  <c r="I82" i="3"/>
  <c r="AC82" i="3"/>
  <c r="J82" i="3"/>
  <c r="AD82" i="3"/>
  <c r="K82" i="3"/>
  <c r="AE82" i="3"/>
  <c r="F68" i="3" l="1"/>
  <c r="H13" i="4" s="1"/>
  <c r="E68" i="3"/>
  <c r="E58" i="3"/>
  <c r="G13" i="4"/>
  <c r="Y45" i="3"/>
  <c r="Y37" i="3"/>
  <c r="AF33" i="3"/>
  <c r="AF43" i="3"/>
  <c r="O45" i="3"/>
  <c r="O37" i="3"/>
  <c r="L33" i="3"/>
  <c r="L43" i="3"/>
  <c r="Z43" i="3"/>
  <c r="Z33" i="3"/>
  <c r="AL45" i="3"/>
  <c r="AL37" i="3"/>
  <c r="R43" i="3"/>
  <c r="R33" i="3"/>
  <c r="I33" i="3"/>
  <c r="I43" i="3"/>
  <c r="AH37" i="3"/>
  <c r="AH45" i="3"/>
  <c r="I45" i="3"/>
  <c r="I37" i="3"/>
  <c r="Q43" i="3"/>
  <c r="Q33" i="3"/>
  <c r="AN45" i="3"/>
  <c r="AN37" i="3"/>
  <c r="U37" i="3"/>
  <c r="U45" i="3"/>
  <c r="AL43" i="3"/>
  <c r="AL33" i="3"/>
  <c r="AJ45" i="3"/>
  <c r="AJ37" i="3"/>
  <c r="F58" i="3"/>
  <c r="H12" i="4" s="1"/>
  <c r="G75" i="3"/>
  <c r="G79" i="3" s="1"/>
  <c r="H17" i="4"/>
  <c r="AM37" i="3"/>
  <c r="AM45" i="3"/>
  <c r="N43" i="3"/>
  <c r="N33" i="3"/>
  <c r="AI33" i="3"/>
  <c r="AI43" i="3"/>
  <c r="S37" i="3"/>
  <c r="S45" i="3"/>
  <c r="AH43" i="3"/>
  <c r="AH33" i="3"/>
  <c r="G12" i="4"/>
  <c r="U43" i="3"/>
  <c r="U33" i="3"/>
  <c r="E29" i="3"/>
  <c r="E41" i="3"/>
  <c r="F27" i="3"/>
  <c r="X33" i="3"/>
  <c r="X43" i="3"/>
  <c r="N45" i="3"/>
  <c r="N37" i="3"/>
  <c r="AB37" i="3"/>
  <c r="AB45" i="3"/>
  <c r="H33" i="3"/>
  <c r="H43" i="3"/>
  <c r="F33" i="3"/>
  <c r="F43" i="3"/>
  <c r="AD43" i="3"/>
  <c r="AD33" i="3"/>
  <c r="G45" i="3"/>
  <c r="G37" i="3"/>
  <c r="AD37" i="3"/>
  <c r="AD45" i="3"/>
  <c r="AK43" i="3"/>
  <c r="AK33" i="3"/>
  <c r="O43" i="3"/>
  <c r="O33" i="3"/>
  <c r="X45" i="3"/>
  <c r="X37" i="3"/>
  <c r="G33" i="3"/>
  <c r="G43" i="3"/>
  <c r="AA33" i="3"/>
  <c r="AA43" i="3"/>
  <c r="AG43" i="3"/>
  <c r="AG33" i="3"/>
  <c r="V33" i="3"/>
  <c r="V43" i="3"/>
  <c r="P43" i="3"/>
  <c r="P33" i="3"/>
  <c r="Z37" i="3"/>
  <c r="Z45" i="3"/>
  <c r="K33" i="3"/>
  <c r="K43" i="3"/>
  <c r="W37" i="3"/>
  <c r="W45" i="3"/>
  <c r="B29" i="4"/>
  <c r="E45" i="3"/>
  <c r="E37" i="3"/>
  <c r="AE33" i="3"/>
  <c r="AE43" i="3"/>
  <c r="AK45" i="3"/>
  <c r="AK37" i="3"/>
  <c r="AN43" i="3"/>
  <c r="AN33" i="3"/>
  <c r="T45" i="3"/>
  <c r="T37" i="3"/>
  <c r="P45" i="3"/>
  <c r="P37" i="3"/>
  <c r="AB43" i="3"/>
  <c r="AB33" i="3"/>
  <c r="T33" i="3"/>
  <c r="T43" i="3"/>
  <c r="H37" i="3"/>
  <c r="H45" i="3"/>
  <c r="K45" i="3"/>
  <c r="K37" i="3"/>
  <c r="AG37" i="3"/>
  <c r="AG45" i="3"/>
  <c r="AA45" i="3"/>
  <c r="AA37" i="3"/>
  <c r="AJ43" i="3"/>
  <c r="AJ33" i="3"/>
  <c r="AC45" i="3"/>
  <c r="AC37" i="3"/>
  <c r="M43" i="3"/>
  <c r="M33" i="3"/>
  <c r="AI37" i="3"/>
  <c r="AI45" i="3"/>
  <c r="AC33" i="3"/>
  <c r="AC43" i="3"/>
  <c r="F37" i="3"/>
  <c r="F45" i="3"/>
  <c r="I9" i="4"/>
  <c r="G66" i="3"/>
  <c r="G53" i="3"/>
  <c r="G62" i="3"/>
  <c r="G54" i="3"/>
  <c r="G64" i="3"/>
  <c r="G56" i="3"/>
  <c r="H4" i="3"/>
  <c r="G63" i="3"/>
  <c r="G57" i="3"/>
  <c r="G55" i="3"/>
  <c r="G65" i="3"/>
  <c r="S43" i="3"/>
  <c r="S33" i="3"/>
  <c r="J33" i="3"/>
  <c r="J43" i="3"/>
  <c r="J37" i="3"/>
  <c r="J45" i="3"/>
  <c r="W43" i="3"/>
  <c r="W33" i="3"/>
  <c r="E33" i="3"/>
  <c r="E43" i="3"/>
  <c r="L45" i="3"/>
  <c r="L37" i="3"/>
  <c r="AM43" i="3"/>
  <c r="AM33" i="3"/>
  <c r="R45" i="3"/>
  <c r="R37" i="3"/>
  <c r="AF37" i="3"/>
  <c r="AF45" i="3"/>
  <c r="AE45" i="3"/>
  <c r="AE37" i="3"/>
  <c r="Q45" i="3"/>
  <c r="Q37" i="3"/>
  <c r="Y43" i="3"/>
  <c r="Y33" i="3"/>
  <c r="M45" i="3"/>
  <c r="M37" i="3"/>
  <c r="E46" i="3" l="1"/>
  <c r="I17" i="4"/>
  <c r="H75" i="3"/>
  <c r="G68" i="3"/>
  <c r="E38" i="3"/>
  <c r="B37" i="4"/>
  <c r="H64" i="3"/>
  <c r="H54" i="3"/>
  <c r="H66" i="3"/>
  <c r="H56" i="3"/>
  <c r="I4" i="3"/>
  <c r="H65" i="3"/>
  <c r="H63" i="3"/>
  <c r="H55" i="3"/>
  <c r="H57" i="3"/>
  <c r="H53" i="3"/>
  <c r="H58" i="3" s="1"/>
  <c r="J12" i="4" s="1"/>
  <c r="J9" i="4"/>
  <c r="H62" i="3"/>
  <c r="H68" i="3" s="1"/>
  <c r="J13" i="4" s="1"/>
  <c r="F29" i="3"/>
  <c r="F38" i="3" s="1"/>
  <c r="G27" i="3"/>
  <c r="F41" i="3"/>
  <c r="F46" i="3" s="1"/>
  <c r="G58" i="3"/>
  <c r="I12" i="4" s="1"/>
  <c r="B38" i="4"/>
  <c r="I62" i="3" l="1"/>
  <c r="I54" i="3"/>
  <c r="I66" i="3"/>
  <c r="I56" i="3"/>
  <c r="I63" i="3"/>
  <c r="I65" i="3"/>
  <c r="I55" i="3"/>
  <c r="I53" i="3"/>
  <c r="K9" i="4"/>
  <c r="J4" i="3"/>
  <c r="I64" i="3"/>
  <c r="I57" i="3"/>
  <c r="G10" i="4"/>
  <c r="E47" i="3"/>
  <c r="E48" i="3" s="1"/>
  <c r="H77" i="3"/>
  <c r="H78" i="3" s="1"/>
  <c r="H79" i="3" s="1"/>
  <c r="G29" i="3"/>
  <c r="H27" i="3"/>
  <c r="G41" i="3"/>
  <c r="G46" i="3" s="1"/>
  <c r="I13" i="4"/>
  <c r="H10" i="4"/>
  <c r="F47" i="3"/>
  <c r="I75" i="3" l="1"/>
  <c r="J17" i="4"/>
  <c r="G38" i="3"/>
  <c r="G11" i="4"/>
  <c r="E80" i="3"/>
  <c r="I58" i="3"/>
  <c r="J62" i="3"/>
  <c r="J54" i="3"/>
  <c r="J66" i="3"/>
  <c r="J56" i="3"/>
  <c r="J63" i="3"/>
  <c r="J53" i="3"/>
  <c r="J65" i="3"/>
  <c r="J55" i="3"/>
  <c r="J64" i="3"/>
  <c r="J57" i="3"/>
  <c r="L9" i="4"/>
  <c r="K4" i="3"/>
  <c r="F80" i="3"/>
  <c r="H11" i="4"/>
  <c r="F48" i="3"/>
  <c r="H29" i="3"/>
  <c r="H38" i="3" s="1"/>
  <c r="I27" i="3"/>
  <c r="H41" i="3"/>
  <c r="H46" i="3" s="1"/>
  <c r="I68" i="3"/>
  <c r="K13" i="4" l="1"/>
  <c r="I10" i="4"/>
  <c r="G47" i="3"/>
  <c r="J58" i="3"/>
  <c r="L12" i="4" s="1"/>
  <c r="K12" i="4"/>
  <c r="I29" i="3"/>
  <c r="I38" i="3" s="1"/>
  <c r="J27" i="3"/>
  <c r="I41" i="3"/>
  <c r="I46" i="3" s="1"/>
  <c r="K62" i="3"/>
  <c r="K54" i="3"/>
  <c r="K63" i="3"/>
  <c r="K55" i="3"/>
  <c r="K66" i="3"/>
  <c r="K56" i="3"/>
  <c r="L4" i="3"/>
  <c r="K65" i="3"/>
  <c r="K64" i="3"/>
  <c r="K57" i="3"/>
  <c r="K53" i="3"/>
  <c r="M9" i="4"/>
  <c r="J68" i="3"/>
  <c r="L13" i="4" s="1"/>
  <c r="E81" i="3"/>
  <c r="E83" i="3" s="1"/>
  <c r="E85" i="3"/>
  <c r="G14" i="4"/>
  <c r="J10" i="4"/>
  <c r="H47" i="3"/>
  <c r="F81" i="3"/>
  <c r="F83" i="3" s="1"/>
  <c r="H15" i="4" s="1"/>
  <c r="H14" i="4"/>
  <c r="F85" i="3"/>
  <c r="I77" i="3"/>
  <c r="I78" i="3" s="1"/>
  <c r="I79" i="3" s="1"/>
  <c r="J75" i="3" l="1"/>
  <c r="K17" i="4"/>
  <c r="J11" i="4"/>
  <c r="H80" i="3"/>
  <c r="I11" i="4"/>
  <c r="G80" i="3"/>
  <c r="G48" i="3"/>
  <c r="H48" i="3"/>
  <c r="K10" i="4"/>
  <c r="I47" i="3"/>
  <c r="I48" i="3"/>
  <c r="K68" i="3"/>
  <c r="M13" i="4" s="1"/>
  <c r="J29" i="3"/>
  <c r="K27" i="3"/>
  <c r="J41" i="3"/>
  <c r="J46" i="3" s="1"/>
  <c r="G15" i="4"/>
  <c r="E84" i="3"/>
  <c r="K58" i="3"/>
  <c r="M12" i="4" s="1"/>
  <c r="L66" i="3"/>
  <c r="L56" i="3"/>
  <c r="L54" i="3"/>
  <c r="M4" i="3"/>
  <c r="L63" i="3"/>
  <c r="L65" i="3"/>
  <c r="L55" i="3"/>
  <c r="L62" i="3"/>
  <c r="L64" i="3"/>
  <c r="L57" i="3"/>
  <c r="L53" i="3"/>
  <c r="N9" i="4"/>
  <c r="L58" i="3" l="1"/>
  <c r="N12" i="4" s="1"/>
  <c r="K41" i="3"/>
  <c r="K46" i="3" s="1"/>
  <c r="L27" i="3"/>
  <c r="K29" i="3"/>
  <c r="K38" i="3" s="1"/>
  <c r="J38" i="3"/>
  <c r="K11" i="4"/>
  <c r="I80" i="3"/>
  <c r="G81" i="3"/>
  <c r="G83" i="3" s="1"/>
  <c r="I15" i="4" s="1"/>
  <c r="I14" i="4"/>
  <c r="G85" i="3"/>
  <c r="L68" i="3"/>
  <c r="N13" i="4" s="1"/>
  <c r="E86" i="3"/>
  <c r="G16" i="4"/>
  <c r="F84" i="3"/>
  <c r="M63" i="3"/>
  <c r="M55" i="3"/>
  <c r="N4" i="3"/>
  <c r="M65" i="3"/>
  <c r="O9" i="4"/>
  <c r="M64" i="3"/>
  <c r="M57" i="3"/>
  <c r="M53" i="3"/>
  <c r="M66" i="3"/>
  <c r="M62" i="3"/>
  <c r="M56" i="3"/>
  <c r="M54" i="3"/>
  <c r="J14" i="4"/>
  <c r="H85" i="3"/>
  <c r="H81" i="3"/>
  <c r="H83" i="3" s="1"/>
  <c r="J15" i="4" s="1"/>
  <c r="J77" i="3"/>
  <c r="J78" i="3" s="1"/>
  <c r="J79" i="3" s="1"/>
  <c r="K75" i="3" l="1"/>
  <c r="L17" i="4"/>
  <c r="K14" i="4"/>
  <c r="I85" i="3"/>
  <c r="I81" i="3"/>
  <c r="I83" i="3" s="1"/>
  <c r="K15" i="4" s="1"/>
  <c r="L10" i="4"/>
  <c r="J47" i="3"/>
  <c r="J48" i="3"/>
  <c r="M10" i="4"/>
  <c r="K47" i="3"/>
  <c r="K48" i="3"/>
  <c r="M68" i="3"/>
  <c r="O13" i="4" s="1"/>
  <c r="M58" i="3"/>
  <c r="O12" i="4" s="1"/>
  <c r="M27" i="3"/>
  <c r="L41" i="3"/>
  <c r="L46" i="3" s="1"/>
  <c r="L29" i="3"/>
  <c r="F86" i="3"/>
  <c r="H16" i="4"/>
  <c r="G84" i="3"/>
  <c r="N63" i="3"/>
  <c r="N55" i="3"/>
  <c r="N57" i="3"/>
  <c r="N54" i="3"/>
  <c r="N64" i="3"/>
  <c r="N53" i="3"/>
  <c r="N66" i="3"/>
  <c r="N62" i="3"/>
  <c r="N56" i="3"/>
  <c r="P9" i="4"/>
  <c r="O4" i="3"/>
  <c r="N65" i="3"/>
  <c r="N68" i="3" l="1"/>
  <c r="P13" i="4" s="1"/>
  <c r="L38" i="3"/>
  <c r="O63" i="3"/>
  <c r="O55" i="3"/>
  <c r="O64" i="3"/>
  <c r="O56" i="3"/>
  <c r="P4" i="3"/>
  <c r="O65" i="3"/>
  <c r="O53" i="3"/>
  <c r="O57" i="3"/>
  <c r="O66" i="3"/>
  <c r="O62" i="3"/>
  <c r="O68" i="3" s="1"/>
  <c r="Q13" i="4" s="1"/>
  <c r="Q9" i="4"/>
  <c r="O54" i="3"/>
  <c r="M41" i="3"/>
  <c r="M46" i="3" s="1"/>
  <c r="N27" i="3"/>
  <c r="M29" i="3"/>
  <c r="M38" i="3" s="1"/>
  <c r="N58" i="3"/>
  <c r="P12" i="4" s="1"/>
  <c r="G86" i="3"/>
  <c r="I16" i="4"/>
  <c r="H84" i="3"/>
  <c r="K77" i="3"/>
  <c r="K78" i="3" s="1"/>
  <c r="K79" i="3" s="1"/>
  <c r="M11" i="4"/>
  <c r="K80" i="3"/>
  <c r="L11" i="4"/>
  <c r="J80" i="3"/>
  <c r="M17" i="4" l="1"/>
  <c r="L75" i="3"/>
  <c r="O58" i="3"/>
  <c r="Q12" i="4" s="1"/>
  <c r="L14" i="4"/>
  <c r="J85" i="3"/>
  <c r="J81" i="3"/>
  <c r="J83" i="3" s="1"/>
  <c r="L15" i="4" s="1"/>
  <c r="M14" i="4"/>
  <c r="K85" i="3"/>
  <c r="K81" i="3"/>
  <c r="K83" i="3" s="1"/>
  <c r="M15" i="4" s="1"/>
  <c r="O10" i="4"/>
  <c r="M47" i="3"/>
  <c r="M48" i="3"/>
  <c r="Q4" i="3"/>
  <c r="P65" i="3"/>
  <c r="P63" i="3"/>
  <c r="P53" i="3"/>
  <c r="P58" i="3" s="1"/>
  <c r="P64" i="3"/>
  <c r="P66" i="3"/>
  <c r="P62" i="3"/>
  <c r="P55" i="3"/>
  <c r="R9" i="4"/>
  <c r="P56" i="3"/>
  <c r="P54" i="3"/>
  <c r="P57" i="3"/>
  <c r="J16" i="4"/>
  <c r="I84" i="3"/>
  <c r="H86" i="3"/>
  <c r="N10" i="4"/>
  <c r="L47" i="3"/>
  <c r="L48" i="3"/>
  <c r="O27" i="3"/>
  <c r="N29" i="3"/>
  <c r="N38" i="3" s="1"/>
  <c r="N41" i="3"/>
  <c r="N46" i="3" s="1"/>
  <c r="Q64" i="3" l="1"/>
  <c r="Q56" i="3"/>
  <c r="Q65" i="3"/>
  <c r="Q63" i="3"/>
  <c r="Q53" i="3"/>
  <c r="Q66" i="3"/>
  <c r="Q62" i="3"/>
  <c r="Q68" i="3" s="1"/>
  <c r="Q55" i="3"/>
  <c r="S9" i="4"/>
  <c r="Q54" i="3"/>
  <c r="R4" i="3"/>
  <c r="Q57" i="3"/>
  <c r="N11" i="4"/>
  <c r="L80" i="3"/>
  <c r="K16" i="4"/>
  <c r="J84" i="3"/>
  <c r="I86" i="3"/>
  <c r="R12" i="4"/>
  <c r="C13" i="4"/>
  <c r="L77" i="3"/>
  <c r="L78" i="3" s="1"/>
  <c r="L79" i="3" s="1"/>
  <c r="O41" i="3"/>
  <c r="O46" i="3" s="1"/>
  <c r="P27" i="3"/>
  <c r="O29" i="3"/>
  <c r="O38" i="3" s="1"/>
  <c r="P10" i="4"/>
  <c r="N47" i="3"/>
  <c r="N48" i="3"/>
  <c r="O11" i="4"/>
  <c r="M80" i="3"/>
  <c r="P68" i="3"/>
  <c r="N17" i="4" l="1"/>
  <c r="M75" i="3"/>
  <c r="N14" i="4"/>
  <c r="L85" i="3"/>
  <c r="L81" i="3"/>
  <c r="L83" i="3" s="1"/>
  <c r="N15" i="4" s="1"/>
  <c r="O14" i="4"/>
  <c r="M85" i="3"/>
  <c r="M81" i="3"/>
  <c r="M83" i="3" s="1"/>
  <c r="O15" i="4" s="1"/>
  <c r="L16" i="4"/>
  <c r="K84" i="3"/>
  <c r="J86" i="3"/>
  <c r="R13" i="4"/>
  <c r="C14" i="4"/>
  <c r="S13" i="4"/>
  <c r="P41" i="3"/>
  <c r="P46" i="3" s="1"/>
  <c r="Q27" i="3"/>
  <c r="P29" i="3"/>
  <c r="B28" i="4"/>
  <c r="R64" i="3"/>
  <c r="R56" i="3"/>
  <c r="R65" i="3"/>
  <c r="R63" i="3"/>
  <c r="R53" i="3"/>
  <c r="T9" i="4"/>
  <c r="R54" i="3"/>
  <c r="R57" i="3"/>
  <c r="S4" i="3"/>
  <c r="R66" i="3"/>
  <c r="R62" i="3"/>
  <c r="R55" i="3"/>
  <c r="P11" i="4"/>
  <c r="N80" i="3"/>
  <c r="O47" i="3"/>
  <c r="O48" i="3" s="1"/>
  <c r="Q10" i="4"/>
  <c r="Q58" i="3"/>
  <c r="B27" i="4"/>
  <c r="R68" i="3" l="1"/>
  <c r="T13" i="4" s="1"/>
  <c r="P38" i="3"/>
  <c r="B36" i="4"/>
  <c r="N85" i="3"/>
  <c r="N81" i="3"/>
  <c r="N83" i="3" s="1"/>
  <c r="P15" i="4" s="1"/>
  <c r="P14" i="4"/>
  <c r="Q41" i="3"/>
  <c r="Q46" i="3" s="1"/>
  <c r="R27" i="3"/>
  <c r="Q29" i="3"/>
  <c r="Q38" i="3" s="1"/>
  <c r="S64" i="3"/>
  <c r="S56" i="3"/>
  <c r="S65" i="3"/>
  <c r="S57" i="3"/>
  <c r="S63" i="3"/>
  <c r="S53" i="3"/>
  <c r="S58" i="3" s="1"/>
  <c r="U12" i="4" s="1"/>
  <c r="S55" i="3"/>
  <c r="S54" i="3"/>
  <c r="U9" i="4"/>
  <c r="T4" i="3"/>
  <c r="S66" i="3"/>
  <c r="S62" i="3"/>
  <c r="M77" i="3"/>
  <c r="M78" i="3" s="1"/>
  <c r="M79" i="3" s="1"/>
  <c r="S12" i="4"/>
  <c r="O80" i="3"/>
  <c r="Q11" i="4"/>
  <c r="M16" i="4"/>
  <c r="L84" i="3"/>
  <c r="K86" i="3"/>
  <c r="R58" i="3"/>
  <c r="T12" i="4" s="1"/>
  <c r="O17" i="4" l="1"/>
  <c r="N75" i="3"/>
  <c r="Q47" i="3"/>
  <c r="Q48" i="3"/>
  <c r="S10" i="4"/>
  <c r="N16" i="4"/>
  <c r="M84" i="3"/>
  <c r="L86" i="3"/>
  <c r="O85" i="3"/>
  <c r="O81" i="3"/>
  <c r="O83" i="3" s="1"/>
  <c r="Q15" i="4" s="1"/>
  <c r="Q14" i="4"/>
  <c r="T63" i="3"/>
  <c r="T53" i="3"/>
  <c r="T65" i="3"/>
  <c r="T55" i="3"/>
  <c r="V9" i="4"/>
  <c r="T57" i="3"/>
  <c r="T56" i="3"/>
  <c r="T66" i="3"/>
  <c r="T62" i="3"/>
  <c r="U4" i="3"/>
  <c r="T54" i="3"/>
  <c r="T64" i="3"/>
  <c r="R41" i="3"/>
  <c r="R46" i="3" s="1"/>
  <c r="S27" i="3"/>
  <c r="R29" i="3"/>
  <c r="R38" i="3" s="1"/>
  <c r="S68" i="3"/>
  <c r="P47" i="3"/>
  <c r="P48" i="3"/>
  <c r="R10" i="4"/>
  <c r="C10" i="4"/>
  <c r="T58" i="3" l="1"/>
  <c r="V12" i="4" s="1"/>
  <c r="R11" i="4"/>
  <c r="P80" i="3"/>
  <c r="C11" i="4"/>
  <c r="D17" i="1" s="1"/>
  <c r="U13" i="4"/>
  <c r="O16" i="4"/>
  <c r="M86" i="3"/>
  <c r="N84" i="3"/>
  <c r="R47" i="3"/>
  <c r="T10" i="4"/>
  <c r="R48" i="3"/>
  <c r="B4" i="4"/>
  <c r="B26" i="4"/>
  <c r="B30" i="4" s="1"/>
  <c r="A17" i="1"/>
  <c r="C12" i="4"/>
  <c r="B6" i="4" s="1"/>
  <c r="S41" i="3"/>
  <c r="S46" i="3" s="1"/>
  <c r="T27" i="3"/>
  <c r="S29" i="3"/>
  <c r="S38" i="3" s="1"/>
  <c r="U65" i="3"/>
  <c r="U57" i="3"/>
  <c r="U55" i="3"/>
  <c r="W9" i="4"/>
  <c r="U63" i="3"/>
  <c r="U56" i="3"/>
  <c r="U53" i="3"/>
  <c r="V4" i="3"/>
  <c r="U64" i="3"/>
  <c r="U66" i="3"/>
  <c r="U54" i="3"/>
  <c r="U62" i="3"/>
  <c r="Q80" i="3"/>
  <c r="S11" i="4"/>
  <c r="T68" i="3"/>
  <c r="V13" i="4" s="1"/>
  <c r="N77" i="3"/>
  <c r="N78" i="3" s="1"/>
  <c r="N79" i="3" s="1"/>
  <c r="P17" i="4" l="1"/>
  <c r="O75" i="3"/>
  <c r="T41" i="3"/>
  <c r="T46" i="3" s="1"/>
  <c r="U27" i="3"/>
  <c r="T29" i="3"/>
  <c r="T38" i="3" s="1"/>
  <c r="G20" i="1"/>
  <c r="B31" i="4"/>
  <c r="V65" i="3"/>
  <c r="V57" i="3"/>
  <c r="V55" i="3"/>
  <c r="X9" i="4"/>
  <c r="V64" i="3"/>
  <c r="V54" i="3"/>
  <c r="V63" i="3"/>
  <c r="V53" i="3"/>
  <c r="V62" i="3"/>
  <c r="V56" i="3"/>
  <c r="V66" i="3"/>
  <c r="W4" i="3"/>
  <c r="P16" i="4"/>
  <c r="O84" i="3"/>
  <c r="N86" i="3"/>
  <c r="P81" i="3"/>
  <c r="P83" i="3" s="1"/>
  <c r="R15" i="4" s="1"/>
  <c r="P85" i="3"/>
  <c r="R14" i="4"/>
  <c r="C15" i="4"/>
  <c r="S47" i="3"/>
  <c r="S48" i="3"/>
  <c r="U10" i="4"/>
  <c r="Q81" i="3"/>
  <c r="Q83" i="3" s="1"/>
  <c r="S15" i="4" s="1"/>
  <c r="Q85" i="3"/>
  <c r="S14" i="4"/>
  <c r="U68" i="3"/>
  <c r="W13" i="4" s="1"/>
  <c r="T11" i="4"/>
  <c r="R80" i="3"/>
  <c r="U58" i="3"/>
  <c r="W12" i="4" l="1"/>
  <c r="R81" i="3"/>
  <c r="R83" i="3" s="1"/>
  <c r="T15" i="4" s="1"/>
  <c r="R85" i="3"/>
  <c r="T14" i="4"/>
  <c r="G17" i="1"/>
  <c r="B5" i="4"/>
  <c r="U41" i="3"/>
  <c r="U46" i="3" s="1"/>
  <c r="V27" i="3"/>
  <c r="U29" i="3"/>
  <c r="U38" i="3" s="1"/>
  <c r="W65" i="3"/>
  <c r="W57" i="3"/>
  <c r="Y9" i="4"/>
  <c r="W66" i="3"/>
  <c r="W53" i="3"/>
  <c r="W55" i="3"/>
  <c r="W62" i="3"/>
  <c r="W68" i="3" s="1"/>
  <c r="Y13" i="4" s="1"/>
  <c r="X4" i="3"/>
  <c r="W54" i="3"/>
  <c r="W64" i="3"/>
  <c r="W63" i="3"/>
  <c r="W56" i="3"/>
  <c r="V58" i="3"/>
  <c r="X12" i="4" s="1"/>
  <c r="S80" i="3"/>
  <c r="U11" i="4"/>
  <c r="O86" i="3"/>
  <c r="P84" i="3"/>
  <c r="Q16" i="4"/>
  <c r="O77" i="3"/>
  <c r="O78" i="3" s="1"/>
  <c r="O79" i="3" s="1"/>
  <c r="V68" i="3"/>
  <c r="X13" i="4" s="1"/>
  <c r="T47" i="3"/>
  <c r="V10" i="4"/>
  <c r="Q17" i="4" l="1"/>
  <c r="P75" i="3"/>
  <c r="W27" i="3"/>
  <c r="V29" i="3"/>
  <c r="V38" i="3" s="1"/>
  <c r="V41" i="3"/>
  <c r="V46" i="3" s="1"/>
  <c r="V11" i="4"/>
  <c r="T80" i="3"/>
  <c r="T48" i="3"/>
  <c r="W58" i="3"/>
  <c r="Y12" i="4" s="1"/>
  <c r="U47" i="3"/>
  <c r="W10" i="4"/>
  <c r="X65" i="3"/>
  <c r="X55" i="3"/>
  <c r="Z9" i="4"/>
  <c r="X62" i="3"/>
  <c r="X57" i="3"/>
  <c r="X63" i="3"/>
  <c r="X56" i="3"/>
  <c r="X53" i="3"/>
  <c r="X64" i="3"/>
  <c r="X54" i="3"/>
  <c r="X66" i="3"/>
  <c r="Y4" i="3"/>
  <c r="Q84" i="3"/>
  <c r="P86" i="3"/>
  <c r="C17" i="4"/>
  <c r="R16" i="4"/>
  <c r="S85" i="3"/>
  <c r="S81" i="3"/>
  <c r="S83" i="3" s="1"/>
  <c r="U15" i="4" s="1"/>
  <c r="U14" i="4"/>
  <c r="W41" i="3" l="1"/>
  <c r="W46" i="3" s="1"/>
  <c r="W29" i="3"/>
  <c r="W38" i="3" s="1"/>
  <c r="X27" i="3"/>
  <c r="U80" i="3"/>
  <c r="W11" i="4"/>
  <c r="T81" i="3"/>
  <c r="T83" i="3" s="1"/>
  <c r="V15" i="4" s="1"/>
  <c r="T85" i="3"/>
  <c r="V14" i="4"/>
  <c r="U48" i="3"/>
  <c r="AA9" i="4"/>
  <c r="Y66" i="3"/>
  <c r="Y53" i="3"/>
  <c r="Y62" i="3"/>
  <c r="Y57" i="3"/>
  <c r="Y64" i="3"/>
  <c r="Y65" i="3"/>
  <c r="Y63" i="3"/>
  <c r="Y56" i="3"/>
  <c r="Y54" i="3"/>
  <c r="Z4" i="3"/>
  <c r="Y55" i="3"/>
  <c r="V47" i="3"/>
  <c r="X10" i="4"/>
  <c r="P77" i="3"/>
  <c r="P78" i="3" s="1"/>
  <c r="P79" i="3" s="1"/>
  <c r="X68" i="3"/>
  <c r="Z13" i="4" s="1"/>
  <c r="R84" i="3"/>
  <c r="Q86" i="3"/>
  <c r="S16" i="4"/>
  <c r="X58" i="3"/>
  <c r="Z12" i="4" s="1"/>
  <c r="Q75" i="3" l="1"/>
  <c r="C18" i="4"/>
  <c r="R17" i="4"/>
  <c r="Y58" i="3"/>
  <c r="AA12" i="4" s="1"/>
  <c r="V80" i="3"/>
  <c r="X11" i="4"/>
  <c r="U85" i="3"/>
  <c r="U81" i="3"/>
  <c r="U83" i="3" s="1"/>
  <c r="W15" i="4" s="1"/>
  <c r="W14" i="4"/>
  <c r="S84" i="3"/>
  <c r="T16" i="4"/>
  <c r="R86" i="3"/>
  <c r="X29" i="3"/>
  <c r="X38" i="3" s="1"/>
  <c r="X41" i="3"/>
  <c r="X46" i="3" s="1"/>
  <c r="Y27" i="3"/>
  <c r="Y68" i="3"/>
  <c r="AA13" i="4" s="1"/>
  <c r="W47" i="3"/>
  <c r="Y10" i="4"/>
  <c r="V48" i="3"/>
  <c r="AB9" i="4"/>
  <c r="Z66" i="3"/>
  <c r="Z53" i="3"/>
  <c r="Z62" i="3"/>
  <c r="Z57" i="3"/>
  <c r="AA4" i="3"/>
  <c r="Z65" i="3"/>
  <c r="Z55" i="3"/>
  <c r="Z63" i="3"/>
  <c r="Z56" i="3"/>
  <c r="Z54" i="3"/>
  <c r="Z64" i="3"/>
  <c r="S86" i="3" l="1"/>
  <c r="T84" i="3"/>
  <c r="U16" i="4"/>
  <c r="W80" i="3"/>
  <c r="Y11" i="4"/>
  <c r="Y29" i="3"/>
  <c r="Y38" i="3" s="1"/>
  <c r="Y41" i="3"/>
  <c r="Y46" i="3" s="1"/>
  <c r="Z27" i="3"/>
  <c r="AC9" i="4"/>
  <c r="AA66" i="3"/>
  <c r="AA53" i="3"/>
  <c r="AA62" i="3"/>
  <c r="AA54" i="3"/>
  <c r="AA57" i="3"/>
  <c r="AA64" i="3"/>
  <c r="AB4" i="3"/>
  <c r="AA63" i="3"/>
  <c r="AA65" i="3"/>
  <c r="AA56" i="3"/>
  <c r="AA55" i="3"/>
  <c r="W48" i="3"/>
  <c r="V85" i="3"/>
  <c r="V81" i="3"/>
  <c r="V83" i="3" s="1"/>
  <c r="X15" i="4" s="1"/>
  <c r="X14" i="4"/>
  <c r="Z10" i="4"/>
  <c r="X47" i="3"/>
  <c r="Z68" i="3"/>
  <c r="AB13" i="4" s="1"/>
  <c r="Z58" i="3"/>
  <c r="AB12" i="4" s="1"/>
  <c r="Q77" i="3"/>
  <c r="Q78" i="3" s="1"/>
  <c r="Q79" i="3" s="1"/>
  <c r="R75" i="3" l="1"/>
  <c r="S17" i="4"/>
  <c r="AA58" i="3"/>
  <c r="AC12" i="4" s="1"/>
  <c r="X80" i="3"/>
  <c r="Z11" i="4"/>
  <c r="W85" i="3"/>
  <c r="W81" i="3"/>
  <c r="W83" i="3" s="1"/>
  <c r="Y15" i="4" s="1"/>
  <c r="Y14" i="4"/>
  <c r="Y47" i="3"/>
  <c r="AA10" i="4"/>
  <c r="Y48" i="3"/>
  <c r="Z29" i="3"/>
  <c r="Z38" i="3" s="1"/>
  <c r="Z41" i="3"/>
  <c r="Z46" i="3" s="1"/>
  <c r="AA27" i="3"/>
  <c r="X48" i="3"/>
  <c r="T86" i="3"/>
  <c r="U84" i="3"/>
  <c r="V16" i="4"/>
  <c r="AB57" i="3"/>
  <c r="AD9" i="4"/>
  <c r="AB62" i="3"/>
  <c r="AB64" i="3"/>
  <c r="AB54" i="3"/>
  <c r="AC4" i="3"/>
  <c r="AB53" i="3"/>
  <c r="AB56" i="3"/>
  <c r="AB63" i="3"/>
  <c r="AB65" i="3"/>
  <c r="AB66" i="3"/>
  <c r="AB55" i="3"/>
  <c r="AA68" i="3"/>
  <c r="AC13" i="4" s="1"/>
  <c r="AA29" i="3" l="1"/>
  <c r="AA38" i="3" s="1"/>
  <c r="AA41" i="3"/>
  <c r="AA46" i="3" s="1"/>
  <c r="AB27" i="3"/>
  <c r="X85" i="3"/>
  <c r="X81" i="3"/>
  <c r="X83" i="3" s="1"/>
  <c r="Z15" i="4" s="1"/>
  <c r="Z14" i="4"/>
  <c r="U86" i="3"/>
  <c r="V84" i="3"/>
  <c r="W16" i="4"/>
  <c r="AA11" i="4"/>
  <c r="Y80" i="3"/>
  <c r="AB58" i="3"/>
  <c r="AB10" i="4"/>
  <c r="Z47" i="3"/>
  <c r="Z48" i="3" s="1"/>
  <c r="AC62" i="3"/>
  <c r="AC54" i="3"/>
  <c r="AE9" i="4"/>
  <c r="AC64" i="3"/>
  <c r="AD4" i="3"/>
  <c r="AC63" i="3"/>
  <c r="AC57" i="3"/>
  <c r="AC65" i="3"/>
  <c r="AC56" i="3"/>
  <c r="AC55" i="3"/>
  <c r="AC66" i="3"/>
  <c r="AC53" i="3"/>
  <c r="AB68" i="3"/>
  <c r="R77" i="3"/>
  <c r="R78" i="3" s="1"/>
  <c r="R79" i="3" s="1"/>
  <c r="S75" i="3" l="1"/>
  <c r="T17" i="4"/>
  <c r="AC68" i="3"/>
  <c r="AC58" i="3"/>
  <c r="AD13" i="4"/>
  <c r="D14" i="4"/>
  <c r="AB29" i="3"/>
  <c r="AB38" i="3" s="1"/>
  <c r="AB41" i="3"/>
  <c r="AB46" i="3" s="1"/>
  <c r="AC27" i="3"/>
  <c r="AD62" i="3"/>
  <c r="AD54" i="3"/>
  <c r="AD64" i="3"/>
  <c r="AE4" i="3"/>
  <c r="AF9" i="4"/>
  <c r="AD63" i="3"/>
  <c r="AD65" i="3"/>
  <c r="AD56" i="3"/>
  <c r="AD55" i="3"/>
  <c r="AD57" i="3"/>
  <c r="AD66" i="3"/>
  <c r="AD53" i="3"/>
  <c r="Z80" i="3"/>
  <c r="AB11" i="4"/>
  <c r="AD12" i="4"/>
  <c r="D13" i="4"/>
  <c r="V86" i="3"/>
  <c r="W84" i="3"/>
  <c r="X16" i="4"/>
  <c r="Y81" i="3"/>
  <c r="Y83" i="3" s="1"/>
  <c r="AA15" i="4" s="1"/>
  <c r="Y85" i="3"/>
  <c r="AA14" i="4"/>
  <c r="AC10" i="4"/>
  <c r="AA47" i="3"/>
  <c r="AC11" i="4" l="1"/>
  <c r="AA80" i="3"/>
  <c r="AA48" i="3"/>
  <c r="W86" i="3"/>
  <c r="X84" i="3"/>
  <c r="Y16" i="4"/>
  <c r="AE13" i="4"/>
  <c r="AE62" i="3"/>
  <c r="AE54" i="3"/>
  <c r="AE63" i="3"/>
  <c r="AE55" i="3"/>
  <c r="AE64" i="3"/>
  <c r="AE66" i="3"/>
  <c r="AE56" i="3"/>
  <c r="AF4" i="3"/>
  <c r="AG9" i="4"/>
  <c r="AE65" i="3"/>
  <c r="AE57" i="3"/>
  <c r="AE53" i="3"/>
  <c r="AE58" i="3" s="1"/>
  <c r="AG12" i="4" s="1"/>
  <c r="AC29" i="3"/>
  <c r="AC38" i="3" s="1"/>
  <c r="AC41" i="3"/>
  <c r="AC46" i="3" s="1"/>
  <c r="AD27" i="3"/>
  <c r="AD10" i="4"/>
  <c r="AB47" i="3"/>
  <c r="AB48" i="3" s="1"/>
  <c r="D10" i="4"/>
  <c r="Z81" i="3"/>
  <c r="Z83" i="3" s="1"/>
  <c r="AB15" i="4" s="1"/>
  <c r="Z85" i="3"/>
  <c r="AB14" i="4"/>
  <c r="AD68" i="3"/>
  <c r="AF13" i="4" s="1"/>
  <c r="AE12" i="4"/>
  <c r="AD58" i="3"/>
  <c r="AF12" i="4" s="1"/>
  <c r="S77" i="3"/>
  <c r="S78" i="3" s="1"/>
  <c r="S79" i="3" s="1"/>
  <c r="T75" i="3" l="1"/>
  <c r="U17" i="4"/>
  <c r="AF64" i="3"/>
  <c r="AF62" i="3"/>
  <c r="AF66" i="3"/>
  <c r="AF56" i="3"/>
  <c r="AF54" i="3"/>
  <c r="AG4" i="3"/>
  <c r="AF63" i="3"/>
  <c r="AF55" i="3"/>
  <c r="AF53" i="3"/>
  <c r="AF57" i="3"/>
  <c r="AH9" i="4"/>
  <c r="AF65" i="3"/>
  <c r="D12" i="4"/>
  <c r="X86" i="3"/>
  <c r="Y84" i="3"/>
  <c r="Z16" i="4"/>
  <c r="AD11" i="4"/>
  <c r="AB80" i="3"/>
  <c r="D11" i="4"/>
  <c r="AD29" i="3"/>
  <c r="AD38" i="3" s="1"/>
  <c r="AD41" i="3"/>
  <c r="AD46" i="3" s="1"/>
  <c r="AE27" i="3"/>
  <c r="AE68" i="3"/>
  <c r="AG13" i="4" s="1"/>
  <c r="AA81" i="3"/>
  <c r="AA83" i="3" s="1"/>
  <c r="AC15" i="4" s="1"/>
  <c r="AA85" i="3"/>
  <c r="AC14" i="4"/>
  <c r="AE10" i="4"/>
  <c r="AC47" i="3"/>
  <c r="AC48" i="3" s="1"/>
  <c r="Y86" i="3" l="1"/>
  <c r="Z84" i="3"/>
  <c r="AA16" i="4"/>
  <c r="AG63" i="3"/>
  <c r="AG55" i="3"/>
  <c r="AG66" i="3"/>
  <c r="AG56" i="3"/>
  <c r="AG54" i="3"/>
  <c r="AH4" i="3"/>
  <c r="AG65" i="3"/>
  <c r="AG57" i="3"/>
  <c r="AG53" i="3"/>
  <c r="AG62" i="3"/>
  <c r="AG64" i="3"/>
  <c r="AI9" i="4"/>
  <c r="AD14" i="4"/>
  <c r="AB85" i="3"/>
  <c r="AB81" i="3"/>
  <c r="AB83" i="3" s="1"/>
  <c r="AD15" i="4" s="1"/>
  <c r="D15" i="4"/>
  <c r="AF58" i="3"/>
  <c r="AE11" i="4"/>
  <c r="AC80" i="3"/>
  <c r="AE41" i="3"/>
  <c r="AE46" i="3" s="1"/>
  <c r="AE29" i="3"/>
  <c r="AE38" i="3" s="1"/>
  <c r="AF27" i="3"/>
  <c r="AF68" i="3"/>
  <c r="AH13" i="4" s="1"/>
  <c r="AF10" i="4"/>
  <c r="AD47" i="3"/>
  <c r="T77" i="3"/>
  <c r="T78" i="3" s="1"/>
  <c r="T79" i="3" s="1"/>
  <c r="AG68" i="3" l="1"/>
  <c r="AI13" i="4" s="1"/>
  <c r="AG58" i="3"/>
  <c r="AI12" i="4" s="1"/>
  <c r="U75" i="3"/>
  <c r="V17" i="4"/>
  <c r="AH12" i="4"/>
  <c r="AH63" i="3"/>
  <c r="AH55" i="3"/>
  <c r="AI4" i="3"/>
  <c r="AH66" i="3"/>
  <c r="AH56" i="3"/>
  <c r="AH54" i="3"/>
  <c r="AH53" i="3"/>
  <c r="AH62" i="3"/>
  <c r="AH64" i="3"/>
  <c r="AH57" i="3"/>
  <c r="AJ9" i="4"/>
  <c r="AH65" i="3"/>
  <c r="AE14" i="4"/>
  <c r="AC85" i="3"/>
  <c r="AC81" i="3"/>
  <c r="AC83" i="3" s="1"/>
  <c r="AE15" i="4" s="1"/>
  <c r="AD80" i="3"/>
  <c r="AF11" i="4"/>
  <c r="AD48" i="3"/>
  <c r="Z86" i="3"/>
  <c r="AA84" i="3"/>
  <c r="AB16" i="4"/>
  <c r="AF29" i="3"/>
  <c r="AF38" i="3" s="1"/>
  <c r="AG27" i="3"/>
  <c r="AF41" i="3"/>
  <c r="AF46" i="3" s="1"/>
  <c r="AG10" i="4"/>
  <c r="AE47" i="3"/>
  <c r="AE48" i="3" s="1"/>
  <c r="AH68" i="3" l="1"/>
  <c r="AH58" i="3"/>
  <c r="AH10" i="4"/>
  <c r="AF47" i="3"/>
  <c r="AF48" i="3" s="1"/>
  <c r="AG41" i="3"/>
  <c r="AG46" i="3" s="1"/>
  <c r="AG29" i="3"/>
  <c r="AG38" i="3" s="1"/>
  <c r="AH27" i="3"/>
  <c r="AE80" i="3"/>
  <c r="AG11" i="4"/>
  <c r="AA86" i="3"/>
  <c r="AC16" i="4"/>
  <c r="AB84" i="3"/>
  <c r="AI63" i="3"/>
  <c r="AI55" i="3"/>
  <c r="AI64" i="3"/>
  <c r="AI56" i="3"/>
  <c r="AI66" i="3"/>
  <c r="AI54" i="3"/>
  <c r="AJ4" i="3"/>
  <c r="AI65" i="3"/>
  <c r="AI57" i="3"/>
  <c r="AI53" i="3"/>
  <c r="AK9" i="4"/>
  <c r="AI62" i="3"/>
  <c r="AF14" i="4"/>
  <c r="AD85" i="3"/>
  <c r="AD81" i="3"/>
  <c r="AD83" i="3" s="1"/>
  <c r="AF15" i="4" s="1"/>
  <c r="U77" i="3"/>
  <c r="U78" i="3" s="1"/>
  <c r="U79" i="3" s="1"/>
  <c r="V75" i="3" l="1"/>
  <c r="W17" i="4"/>
  <c r="AG14" i="4"/>
  <c r="AE81" i="3"/>
  <c r="AE83" i="3" s="1"/>
  <c r="AG15" i="4" s="1"/>
  <c r="AE85" i="3"/>
  <c r="AH29" i="3"/>
  <c r="AH38" i="3" s="1"/>
  <c r="AI27" i="3"/>
  <c r="AH41" i="3"/>
  <c r="AH46" i="3" s="1"/>
  <c r="AI58" i="3"/>
  <c r="AK12" i="4" s="1"/>
  <c r="AB86" i="3"/>
  <c r="D17" i="4"/>
  <c r="AD16" i="4"/>
  <c r="AC84" i="3"/>
  <c r="AI10" i="4"/>
  <c r="AG47" i="3"/>
  <c r="AG48" i="3"/>
  <c r="AF80" i="3"/>
  <c r="AH11" i="4"/>
  <c r="AJ12" i="4"/>
  <c r="AI68" i="3"/>
  <c r="AK13" i="4" s="1"/>
  <c r="AJ66" i="3"/>
  <c r="AJ54" i="3"/>
  <c r="AK4" i="3"/>
  <c r="AJ56" i="3"/>
  <c r="AJ65" i="3"/>
  <c r="AJ64" i="3"/>
  <c r="AJ55" i="3"/>
  <c r="AL9" i="4"/>
  <c r="AJ53" i="3"/>
  <c r="AJ62" i="3"/>
  <c r="AJ57" i="3"/>
  <c r="AJ63" i="3"/>
  <c r="AJ13" i="4"/>
  <c r="AH14" i="4" l="1"/>
  <c r="AF81" i="3"/>
  <c r="AF83" i="3" s="1"/>
  <c r="AH15" i="4" s="1"/>
  <c r="AF85" i="3"/>
  <c r="AI41" i="3"/>
  <c r="AI46" i="3" s="1"/>
  <c r="AI29" i="3"/>
  <c r="AI38" i="3" s="1"/>
  <c r="AJ27" i="3"/>
  <c r="AJ68" i="3"/>
  <c r="AL13" i="4" s="1"/>
  <c r="AJ58" i="3"/>
  <c r="AL12" i="4" s="1"/>
  <c r="AJ10" i="4"/>
  <c r="AH47" i="3"/>
  <c r="AG80" i="3"/>
  <c r="AI11" i="4"/>
  <c r="AE16" i="4"/>
  <c r="AD84" i="3"/>
  <c r="AC86" i="3"/>
  <c r="AK64" i="3"/>
  <c r="AK56" i="3"/>
  <c r="AL4" i="3"/>
  <c r="AK63" i="3"/>
  <c r="AK57" i="3"/>
  <c r="AK66" i="3"/>
  <c r="AK62" i="3"/>
  <c r="AK55" i="3"/>
  <c r="AM9" i="4"/>
  <c r="AK53" i="3"/>
  <c r="AK54" i="3"/>
  <c r="AK65" i="3"/>
  <c r="V77" i="3"/>
  <c r="V78" i="3" s="1"/>
  <c r="V79" i="3" s="1"/>
  <c r="W75" i="3" l="1"/>
  <c r="X17" i="4"/>
  <c r="AI14" i="4"/>
  <c r="AG85" i="3"/>
  <c r="AG81" i="3"/>
  <c r="AG83" i="3" s="1"/>
  <c r="AI15" i="4" s="1"/>
  <c r="AF16" i="4"/>
  <c r="AD86" i="3"/>
  <c r="AE84" i="3"/>
  <c r="AK27" i="3"/>
  <c r="AJ41" i="3"/>
  <c r="AJ46" i="3" s="1"/>
  <c r="AJ29" i="3"/>
  <c r="AJ38" i="3" s="1"/>
  <c r="AJ11" i="4"/>
  <c r="AH80" i="3"/>
  <c r="AH48" i="3"/>
  <c r="AI47" i="3"/>
  <c r="AI48" i="3" s="1"/>
  <c r="AK10" i="4"/>
  <c r="AK58" i="3"/>
  <c r="AM12" i="4" s="1"/>
  <c r="AK68" i="3"/>
  <c r="AM13" i="4" s="1"/>
  <c r="AL64" i="3"/>
  <c r="AL56" i="3"/>
  <c r="AM4" i="3"/>
  <c r="AL65" i="3"/>
  <c r="AL63" i="3"/>
  <c r="AL57" i="3"/>
  <c r="AL53" i="3"/>
  <c r="AN9" i="4"/>
  <c r="AL54" i="3"/>
  <c r="AL66" i="3"/>
  <c r="AL62" i="3"/>
  <c r="AL55" i="3"/>
  <c r="AL68" i="3" l="1"/>
  <c r="AN13" i="4" s="1"/>
  <c r="AL58" i="3"/>
  <c r="AN12" i="4" s="1"/>
  <c r="AL27" i="3"/>
  <c r="AK41" i="3"/>
  <c r="AK46" i="3" s="1"/>
  <c r="AK29" i="3"/>
  <c r="AK38" i="3" s="1"/>
  <c r="AJ14" i="4"/>
  <c r="AH81" i="3"/>
  <c r="AH83" i="3" s="1"/>
  <c r="AJ15" i="4" s="1"/>
  <c r="AH85" i="3"/>
  <c r="AI80" i="3"/>
  <c r="AK11" i="4"/>
  <c r="AG16" i="4"/>
  <c r="AF84" i="3"/>
  <c r="AE86" i="3"/>
  <c r="AL10" i="4"/>
  <c r="AJ47" i="3"/>
  <c r="AJ48" i="3"/>
  <c r="AM64" i="3"/>
  <c r="AM56" i="3"/>
  <c r="AM65" i="3"/>
  <c r="AM57" i="3"/>
  <c r="AM63" i="3"/>
  <c r="AM53" i="3"/>
  <c r="AN4" i="3"/>
  <c r="AM66" i="3"/>
  <c r="AM62" i="3"/>
  <c r="AM54" i="3"/>
  <c r="AM55" i="3"/>
  <c r="AO9" i="4"/>
  <c r="W77" i="3"/>
  <c r="W78" i="3" s="1"/>
  <c r="W79" i="3" s="1"/>
  <c r="X75" i="3" l="1"/>
  <c r="Y17" i="4"/>
  <c r="AM68" i="3"/>
  <c r="AO13" i="4" s="1"/>
  <c r="AK47" i="3"/>
  <c r="AM10" i="4"/>
  <c r="AK48" i="3"/>
  <c r="AL11" i="4"/>
  <c r="AJ80" i="3"/>
  <c r="AM58" i="3"/>
  <c r="AO12" i="4" s="1"/>
  <c r="AH16" i="4"/>
  <c r="AG84" i="3"/>
  <c r="AF86" i="3"/>
  <c r="AM27" i="3"/>
  <c r="AL29" i="3"/>
  <c r="AL38" i="3" s="1"/>
  <c r="AL41" i="3"/>
  <c r="AL46" i="3" s="1"/>
  <c r="AK14" i="4"/>
  <c r="AI81" i="3"/>
  <c r="AI83" i="3" s="1"/>
  <c r="AK15" i="4" s="1"/>
  <c r="AI85" i="3"/>
  <c r="AN56" i="3"/>
  <c r="AN63" i="3"/>
  <c r="AN53" i="3"/>
  <c r="AN65" i="3"/>
  <c r="AN66" i="3"/>
  <c r="AN62" i="3"/>
  <c r="AN55" i="3"/>
  <c r="AP9" i="4"/>
  <c r="AN57" i="3"/>
  <c r="AN64" i="3"/>
  <c r="AN54" i="3"/>
  <c r="AI16" i="4" l="1"/>
  <c r="AH84" i="3"/>
  <c r="AG86" i="3"/>
  <c r="AN68" i="3"/>
  <c r="AN27" i="3"/>
  <c r="AM41" i="3"/>
  <c r="AM46" i="3" s="1"/>
  <c r="AM29" i="3"/>
  <c r="AM38" i="3" s="1"/>
  <c r="AL47" i="3"/>
  <c r="AN10" i="4"/>
  <c r="AL48" i="3"/>
  <c r="AL14" i="4"/>
  <c r="AJ85" i="3"/>
  <c r="AJ81" i="3"/>
  <c r="AJ83" i="3" s="1"/>
  <c r="AL15" i="4" s="1"/>
  <c r="AM11" i="4"/>
  <c r="AK80" i="3"/>
  <c r="AN58" i="3"/>
  <c r="X77" i="3"/>
  <c r="X78" i="3" s="1"/>
  <c r="X79" i="3" s="1"/>
  <c r="Z17" i="4" l="1"/>
  <c r="Y75" i="3"/>
  <c r="AM14" i="4"/>
  <c r="AK85" i="3"/>
  <c r="AK81" i="3"/>
  <c r="AK83" i="3" s="1"/>
  <c r="AM15" i="4" s="1"/>
  <c r="AP12" i="4"/>
  <c r="E13" i="4"/>
  <c r="AM47" i="3"/>
  <c r="AM48" i="3" s="1"/>
  <c r="AO10" i="4"/>
  <c r="AL80" i="3"/>
  <c r="AN11" i="4"/>
  <c r="AP13" i="4"/>
  <c r="E14" i="4"/>
  <c r="AN41" i="3"/>
  <c r="AN46" i="3" s="1"/>
  <c r="AN29" i="3"/>
  <c r="AN38" i="3" s="1"/>
  <c r="AJ16" i="4"/>
  <c r="AI84" i="3"/>
  <c r="AH86" i="3"/>
  <c r="AJ84" i="3" l="1"/>
  <c r="AK16" i="4"/>
  <c r="AI86" i="3"/>
  <c r="AN47" i="3"/>
  <c r="AP10" i="4"/>
  <c r="E10" i="4"/>
  <c r="AM80" i="3"/>
  <c r="AO11" i="4"/>
  <c r="Y77" i="3"/>
  <c r="Y78" i="3" s="1"/>
  <c r="Y79" i="3"/>
  <c r="AL81" i="3"/>
  <c r="AL83" i="3" s="1"/>
  <c r="AN15" i="4" s="1"/>
  <c r="AL85" i="3"/>
  <c r="AN14" i="4"/>
  <c r="AP11" i="4" l="1"/>
  <c r="AN80" i="3"/>
  <c r="E11" i="4"/>
  <c r="E12" i="4" s="1"/>
  <c r="AA17" i="4"/>
  <c r="Z75" i="3"/>
  <c r="AM85" i="3"/>
  <c r="AO14" i="4"/>
  <c r="AM81" i="3"/>
  <c r="AM83" i="3" s="1"/>
  <c r="AO15" i="4" s="1"/>
  <c r="AN48" i="3"/>
  <c r="AK84" i="3"/>
  <c r="AL16" i="4"/>
  <c r="AJ86" i="3"/>
  <c r="Z77" i="3" l="1"/>
  <c r="Z78" i="3" s="1"/>
  <c r="Z79" i="3" s="1"/>
  <c r="AL84" i="3"/>
  <c r="AM16" i="4"/>
  <c r="AK86" i="3"/>
  <c r="AN81" i="3"/>
  <c r="AN83" i="3" s="1"/>
  <c r="AP15" i="4" s="1"/>
  <c r="AP14" i="4"/>
  <c r="AN85" i="3"/>
  <c r="B22" i="4" s="1"/>
  <c r="D20" i="1" s="1"/>
  <c r="E15" i="4"/>
  <c r="AA75" i="3" l="1"/>
  <c r="AB17" i="4"/>
  <c r="AM84" i="3"/>
  <c r="AN16" i="4"/>
  <c r="AL86" i="3"/>
  <c r="AO16" i="4" l="1"/>
  <c r="AN84" i="3"/>
  <c r="AM86" i="3"/>
  <c r="AA77" i="3"/>
  <c r="AA78" i="3" s="1"/>
  <c r="AA79" i="3" s="1"/>
  <c r="AC17" i="4" l="1"/>
  <c r="AB75" i="3"/>
  <c r="AN86" i="3"/>
  <c r="B23" i="4" s="1"/>
  <c r="E17" i="4"/>
  <c r="AP16" i="4"/>
  <c r="B21" i="4"/>
  <c r="B7" i="4" l="1"/>
  <c r="A20" i="1"/>
  <c r="AB79" i="3"/>
  <c r="AB77" i="3"/>
  <c r="AB78" i="3" s="1"/>
  <c r="D18" i="4" l="1"/>
  <c r="AD17" i="4"/>
  <c r="AC75" i="3"/>
  <c r="AC77" i="3" l="1"/>
  <c r="AC78" i="3" s="1"/>
  <c r="AC79" i="3" s="1"/>
  <c r="AE17" i="4" l="1"/>
  <c r="AD75" i="3"/>
  <c r="AD77" i="3" l="1"/>
  <c r="AD78" i="3" s="1"/>
  <c r="AD79" i="3" s="1"/>
  <c r="AF17" i="4" l="1"/>
  <c r="AE75" i="3"/>
  <c r="AE77" i="3" l="1"/>
  <c r="AE78" i="3" s="1"/>
  <c r="AE79" i="3" s="1"/>
  <c r="AG17" i="4" l="1"/>
  <c r="AF75" i="3"/>
  <c r="AF79" i="3" s="1"/>
  <c r="AH17" i="4" l="1"/>
  <c r="AG75" i="3"/>
  <c r="AG79" i="3" s="1"/>
  <c r="AI17" i="4" l="1"/>
  <c r="AH75" i="3"/>
  <c r="AH79" i="3" s="1"/>
  <c r="AJ17" i="4" l="1"/>
  <c r="AI75" i="3"/>
  <c r="AI79" i="3" s="1"/>
  <c r="AK17" i="4" l="1"/>
  <c r="AJ75" i="3"/>
  <c r="AJ79" i="3" s="1"/>
  <c r="AK75" i="3" l="1"/>
  <c r="AK79" i="3" s="1"/>
  <c r="AL17" i="4"/>
  <c r="AM17" i="4" l="1"/>
  <c r="AL75" i="3"/>
  <c r="AL79" i="3" s="1"/>
  <c r="AM75" i="3" l="1"/>
  <c r="AM79" i="3" s="1"/>
  <c r="AN17" i="4"/>
  <c r="AN75" i="3" l="1"/>
  <c r="AN79" i="3" s="1"/>
  <c r="AO17" i="4"/>
  <c r="E18" i="4" l="1"/>
  <c r="AP1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4" authorId="0" shapeId="0" xr:uid="{00000000-0006-0000-0200-000001000000}">
      <text>
        <r>
          <rPr>
            <sz val="10"/>
            <rFont val="Arial"/>
            <family val="2"/>
          </rPr>
          <t>Conservador reduce captación y ticket; Ambicioso los aumenta y mejora eficiencia.</t>
        </r>
      </text>
    </comment>
    <comment ref="B14" authorId="0" shapeId="0" xr:uid="{00000000-0006-0000-0200-000002000000}">
      <text>
        <r>
          <rPr>
            <sz val="10"/>
            <rFont val="Arial"/>
            <family val="2"/>
          </rPr>
          <t>Ejemplo: aportación inicial de socios al arrancar.</t>
        </r>
      </text>
    </comment>
    <comment ref="B15" authorId="0" shapeId="0" xr:uid="{00000000-0006-0000-0200-000003000000}">
      <text>
        <r>
          <rPr>
            <sz val="10"/>
            <rFont val="Arial"/>
            <family val="2"/>
          </rPr>
          <t>Ejemplo: préstamo bancario o ENISA. Ajusta importe, tipo y plazo.</t>
        </r>
      </text>
    </comment>
  </commentList>
</comments>
</file>

<file path=xl/sharedStrings.xml><?xml version="1.0" encoding="utf-8"?>
<sst xmlns="http://schemas.openxmlformats.org/spreadsheetml/2006/main" count="271" uniqueCount="224">
  <si>
    <t>Plantilla funcional, en español, con ejemplo ficticio y fórmulas editables.</t>
  </si>
  <si>
    <t>Datos generales</t>
  </si>
  <si>
    <t>Cómo usar la plantilla</t>
  </si>
  <si>
    <t>Empresa</t>
  </si>
  <si>
    <t>Raíz Urbana Office</t>
  </si>
  <si>
    <t>1. Edita solo celdas en verde agua.</t>
  </si>
  <si>
    <t>Actividad</t>
  </si>
  <si>
    <t>Jardines interiores por suscripción para oficinas</t>
  </si>
  <si>
    <t>2. Ajusta el contenido estratégico en 01_Plan.</t>
  </si>
  <si>
    <t>Ciudad base</t>
  </si>
  <si>
    <t>Madrid</t>
  </si>
  <si>
    <t>3. Cambia supuestos y entradas mensuales en 02_Modelo.</t>
  </si>
  <si>
    <t>Fecha inicio del modelo</t>
  </si>
  <si>
    <t>4. Valida caja, EBITDA y equilibrio en 03_Finanzas.</t>
  </si>
  <si>
    <t>Moneda</t>
  </si>
  <si>
    <t>EUR</t>
  </si>
  <si>
    <t>5. El ejemplo es ficticio y sirve solo como guía.</t>
  </si>
  <si>
    <t>Estado del documento</t>
  </si>
  <si>
    <t>Ejemplo editable</t>
  </si>
  <si>
    <t>Resumen automático</t>
  </si>
  <si>
    <t>Ingresos año 1</t>
  </si>
  <si>
    <t>Margen bruto año 1</t>
  </si>
  <si>
    <t>EBITDA año 1</t>
  </si>
  <si>
    <t>Caja mínima</t>
  </si>
  <si>
    <t>Mes EBITDA positivo</t>
  </si>
  <si>
    <t>Ingresos equilibrio/mes</t>
  </si>
  <si>
    <t>Resumen ejecutivo</t>
  </si>
  <si>
    <t>Propuesta de valor</t>
  </si>
  <si>
    <t>Raíz Urbana Office instala y mantiene jardines interiores para oficinas que quieren mejorar bienestar, imagen y experiencia del empleado sin asumir carga operativa.</t>
  </si>
  <si>
    <t>Servicio llave en mano: diseño biofílico, instalación, mantenimiento, reposición y talleres. El cliente compra resultado visible y continuidad.</t>
  </si>
  <si>
    <t>Problema del cliente</t>
  </si>
  <si>
    <t>Solución</t>
  </si>
  <si>
    <t>Comprar plantas de forma puntual suele derivar en mala selección, falta de mantenimiento y espacios poco coherentes. Eso destruye la percepción del proyecto.</t>
  </si>
  <si>
    <t>Paquetes de instalación + suscripción mensual por sede. Incluye visitas técnicas, reposición preventiva y soporte en 48h.</t>
  </si>
  <si>
    <t>Cliente ideal</t>
  </si>
  <si>
    <t>Canales de adquisición</t>
  </si>
  <si>
    <t>Oficinas y coworkings de 25 a 250 empleados con foco en HR, facilities y marca. Ticket objetivo: 250 € a 700 € mensuales por ubicación.</t>
  </si>
  <si>
    <t>Outbound B2B, LinkedIn Ads, acuerdos con interioristas, coworkings como canal y referidos de clientes.</t>
  </si>
  <si>
    <t>Ventaja competitiva</t>
  </si>
  <si>
    <t>Tres motores de ingreso: instalación, recurrencia y talleres. Eso reduce volatilidad y mejora el payback comercial. Además, la oferta es fácil de explicar y de escalar por sede.</t>
  </si>
  <si>
    <t>Competencia y posicionamiento (ejemplo ficticio)</t>
  </si>
  <si>
    <t>Enfoque</t>
  </si>
  <si>
    <t>Ticket mensual</t>
  </si>
  <si>
    <t>Instalación</t>
  </si>
  <si>
    <t>Tiempo</t>
  </si>
  <si>
    <t>Sostenibilidad</t>
  </si>
  <si>
    <t>Talleres</t>
  </si>
  <si>
    <t>Observación</t>
  </si>
  <si>
    <t>Integral B2B</t>
  </si>
  <si>
    <t>Sí</t>
  </si>
  <si>
    <t>7-10 días</t>
  </si>
  <si>
    <t>Equilibrio entre precio y valor</t>
  </si>
  <si>
    <t>FloraDesk</t>
  </si>
  <si>
    <t>Mantenimiento básico</t>
  </si>
  <si>
    <t>No</t>
  </si>
  <si>
    <t>14 días</t>
  </si>
  <si>
    <t>Compite por precio</t>
  </si>
  <si>
    <t>GreenCorner Pro</t>
  </si>
  <si>
    <t>Diseño premium</t>
  </si>
  <si>
    <t>21 días</t>
  </si>
  <si>
    <t>Más lento y más caro</t>
  </si>
  <si>
    <t>DecoPlanta Empresas</t>
  </si>
  <si>
    <t>Compra puntual</t>
  </si>
  <si>
    <t>10 días</t>
  </si>
  <si>
    <t>Sin recurrencia</t>
  </si>
  <si>
    <t>Matriz estratégica</t>
  </si>
  <si>
    <t>Fortalezas</t>
  </si>
  <si>
    <t>Debilidades</t>
  </si>
  <si>
    <t>Oportunidades</t>
  </si>
  <si>
    <t>Amenazas</t>
  </si>
  <si>
    <t>Modelo recurrente</t>
  </si>
  <si>
    <t>Marca joven</t>
  </si>
  <si>
    <t>Oficinas buscan bienestar</t>
  </si>
  <si>
    <t>Presión por precio</t>
  </si>
  <si>
    <t>Servicio llave en mano</t>
  </si>
  <si>
    <t>Capital circulante</t>
  </si>
  <si>
    <t>Partners de interiorismo</t>
  </si>
  <si>
    <t>Rotación de sedes</t>
  </si>
  <si>
    <t>Talleres con margen</t>
  </si>
  <si>
    <t>Operación intensiva</t>
  </si>
  <si>
    <t>Coworkings como canal</t>
  </si>
  <si>
    <t>Low cost local</t>
  </si>
  <si>
    <t>Total</t>
  </si>
  <si>
    <t>Plan de acción 90 días</t>
  </si>
  <si>
    <t>Acción</t>
  </si>
  <si>
    <t>Responsable</t>
  </si>
  <si>
    <t>Inicio</t>
  </si>
  <si>
    <t>Fin</t>
  </si>
  <si>
    <t>Estado</t>
  </si>
  <si>
    <t>% avance</t>
  </si>
  <si>
    <t>Días restantes</t>
  </si>
  <si>
    <t>Prioridad</t>
  </si>
  <si>
    <t>Definir catálogo y pricing</t>
  </si>
  <si>
    <t>Dirección</t>
  </si>
  <si>
    <t>Completada</t>
  </si>
  <si>
    <t>Alta</t>
  </si>
  <si>
    <t>Crear dossier comercial</t>
  </si>
  <si>
    <t>Marketing</t>
  </si>
  <si>
    <t>En curso</t>
  </si>
  <si>
    <t>Cerrar 3 partners</t>
  </si>
  <si>
    <t>Comercial</t>
  </si>
  <si>
    <t>Pilotar 2 oficinas</t>
  </si>
  <si>
    <t>Operaciones</t>
  </si>
  <si>
    <t>Pendiente</t>
  </si>
  <si>
    <t>Lanzar campaña LinkedIn Ads</t>
  </si>
  <si>
    <t>Media</t>
  </si>
  <si>
    <t>Montar cuadro de mandos</t>
  </si>
  <si>
    <t>Finanzas</t>
  </si>
  <si>
    <t>02 · Modelo operativo y financiero (36 meses)</t>
  </si>
  <si>
    <t>Edita supuestos y entradas mensuales. Las celdas blancas calculan automáticamente.</t>
  </si>
  <si>
    <t>Escenario</t>
  </si>
  <si>
    <t>Base</t>
  </si>
  <si>
    <t>Caja inicial (€)</t>
  </si>
  <si>
    <t>Cuota suscripción inicial (€ / cliente / mes)</t>
  </si>
  <si>
    <t>Ticket instalación medio (€ / proyecto)</t>
  </si>
  <si>
    <t>Precio por taller (€)</t>
  </si>
  <si>
    <t>Incremento anual de precios</t>
  </si>
  <si>
    <t>Inflación anual de costes</t>
  </si>
  <si>
    <t>Factor captación (auto)</t>
  </si>
  <si>
    <t>Factor ticket (auto)</t>
  </si>
  <si>
    <t>Factor coste variable (auto)</t>
  </si>
  <si>
    <t>Capital propio inicial (€)</t>
  </si>
  <si>
    <t>Préstamo inicial (€)</t>
  </si>
  <si>
    <t>Tasa anual préstamo</t>
  </si>
  <si>
    <t>Plazo préstamo (meses)</t>
  </si>
  <si>
    <t>Primer pago (nº mes)</t>
  </si>
  <si>
    <t>Coste variable suscripción / cliente</t>
  </si>
  <si>
    <t>Coste variable instalación / proyecto</t>
  </si>
  <si>
    <t>Coste variable taller</t>
  </si>
  <si>
    <t>Impulsores comerciales</t>
  </si>
  <si>
    <t>Nuevos clientes suscripción (base)</t>
  </si>
  <si>
    <t>Nuevos clientes suscripción (ajustado)</t>
  </si>
  <si>
    <t>Churn mensual</t>
  </si>
  <si>
    <t>Clientes activos</t>
  </si>
  <si>
    <t>Cuota media mensual</t>
  </si>
  <si>
    <t>Ingresos suscripción</t>
  </si>
  <si>
    <t>Proyectos instalación (base)</t>
  </si>
  <si>
    <t>Proyectos instalación (ajustado)</t>
  </si>
  <si>
    <t>Ticket instalación</t>
  </si>
  <si>
    <t>Ingresos instalación</t>
  </si>
  <si>
    <t>Talleres corporativos (base)</t>
  </si>
  <si>
    <t>Talleres corporativos (ajustado)</t>
  </si>
  <si>
    <t>Precio por taller</t>
  </si>
  <si>
    <t>Ingresos talleres</t>
  </si>
  <si>
    <t>Ingresos totales</t>
  </si>
  <si>
    <t>Costes variables</t>
  </si>
  <si>
    <t>Coste variable / cliente</t>
  </si>
  <si>
    <t>Coste suscripción total</t>
  </si>
  <si>
    <t>Coste variable / instalación</t>
  </si>
  <si>
    <t>Coste instalaciones total</t>
  </si>
  <si>
    <t>Coste variable / taller</t>
  </si>
  <si>
    <t>Coste talleres total</t>
  </si>
  <si>
    <t>Coste variable total</t>
  </si>
  <si>
    <t>Margen bruto</t>
  </si>
  <si>
    <t>Margen bruto %</t>
  </si>
  <si>
    <t>Equipo</t>
  </si>
  <si>
    <t>Rol</t>
  </si>
  <si>
    <t>FTE</t>
  </si>
  <si>
    <t>Salario mensual</t>
  </si>
  <si>
    <t>Dirección general</t>
  </si>
  <si>
    <t>Operaciones y compras</t>
  </si>
  <si>
    <t>Comercial B2B</t>
  </si>
  <si>
    <t>Técnico mantenimiento</t>
  </si>
  <si>
    <t>Backoffice / coordinación</t>
  </si>
  <si>
    <t>Total personal</t>
  </si>
  <si>
    <t>Gastos operativos</t>
  </si>
  <si>
    <t>Base mensual</t>
  </si>
  <si>
    <t>Marketing digital</t>
  </si>
  <si>
    <t>Alquiler / almacén</t>
  </si>
  <si>
    <t>Logística y movilidad</t>
  </si>
  <si>
    <t>Software y herramientas</t>
  </si>
  <si>
    <t>Administración y seguros</t>
  </si>
  <si>
    <t>Extraordinarios (manual)</t>
  </si>
  <si>
    <t>Total gastos operativos</t>
  </si>
  <si>
    <t>Capex, deuda y caja</t>
  </si>
  <si>
    <t>Equipamiento inicial (manual)</t>
  </si>
  <si>
    <t>Acondicionamiento / depósito (manual)</t>
  </si>
  <si>
    <t>Entrada capital propio</t>
  </si>
  <si>
    <t>Entrada préstamo</t>
  </si>
  <si>
    <t>Saldo apertura préstamo</t>
  </si>
  <si>
    <t>Cuota préstamo</t>
  </si>
  <si>
    <t>Intereses</t>
  </si>
  <si>
    <t>Principal amortizado</t>
  </si>
  <si>
    <t>Saldo cierre préstamo</t>
  </si>
  <si>
    <t>EBITDA</t>
  </si>
  <si>
    <t>Caja antes financiación</t>
  </si>
  <si>
    <t>Flujo financiación</t>
  </si>
  <si>
    <t>Caja neta del mes</t>
  </si>
  <si>
    <t>Caja acumulada</t>
  </si>
  <si>
    <t>Flag EBITDA positivo</t>
  </si>
  <si>
    <t>Flag caja negativa</t>
  </si>
  <si>
    <t>03 · Resumen financiero y KPIs</t>
  </si>
  <si>
    <t>Ingreso año 1</t>
  </si>
  <si>
    <t>Margen bruto % año 1</t>
  </si>
  <si>
    <t>Resumen anual</t>
  </si>
  <si>
    <t>Resumen mensual (36 meses)</t>
  </si>
  <si>
    <t>Métrica</t>
  </si>
  <si>
    <t>Año 1</t>
  </si>
  <si>
    <t>Año 2</t>
  </si>
  <si>
    <t>Año 3</t>
  </si>
  <si>
    <t>Ingresos</t>
  </si>
  <si>
    <t>Personal</t>
  </si>
  <si>
    <t>Opex</t>
  </si>
  <si>
    <t>Caja neta</t>
  </si>
  <si>
    <t>Capex</t>
  </si>
  <si>
    <t>Caja final</t>
  </si>
  <si>
    <t>Deuda</t>
  </si>
  <si>
    <t>Deuda final</t>
  </si>
  <si>
    <t>Puntos de control</t>
  </si>
  <si>
    <t>Mes caja negativa</t>
  </si>
  <si>
    <t>Punto de equilibrio</t>
  </si>
  <si>
    <t>Margen contribución medio Y1</t>
  </si>
  <si>
    <t>Gasto fijo medio / mes Y1</t>
  </si>
  <si>
    <t>Clientes medios Y1</t>
  </si>
  <si>
    <t>Tarifa media Y1</t>
  </si>
  <si>
    <t>Ingresos equilibrio / mes</t>
  </si>
  <si>
    <t>Clientes equivalentes / mes</t>
  </si>
  <si>
    <t>Mix ingresos Y1</t>
  </si>
  <si>
    <t>Suscripción</t>
  </si>
  <si>
    <t>Conservador</t>
  </si>
  <si>
    <t>Ambicioso</t>
  </si>
  <si>
    <t>En revisión</t>
  </si>
  <si>
    <t>Baja</t>
  </si>
  <si>
    <t>Plan de negocio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</si>
</sst>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 &quot;#,##0;[Red]&quot;(€ &quot;#,##0\);\-"/>
    <numFmt numFmtId="165" formatCode="0.0%;[Red]\(0.0%\);\-"/>
    <numFmt numFmtId="166" formatCode="#,##0;[Red]\(#,##0\);\-"/>
  </numFmts>
  <fonts count="12" x14ac:knownFonts="1">
    <font>
      <sz val="11"/>
      <color theme="1"/>
      <name val="Calibri"/>
      <family val="2"/>
    </font>
    <font>
      <b/>
      <sz val="10"/>
      <color theme="1"/>
      <name val="Aptos"/>
    </font>
    <font>
      <b/>
      <sz val="11"/>
      <color theme="1"/>
      <name val="Aptos"/>
    </font>
    <font>
      <b/>
      <sz val="10"/>
      <color theme="1"/>
      <name val="Aptos"/>
    </font>
    <font>
      <b/>
      <sz val="15"/>
      <color theme="1"/>
      <name val="Aptos"/>
    </font>
    <font>
      <i/>
      <sz val="9"/>
      <color theme="1"/>
      <name val="Aptos"/>
    </font>
    <font>
      <sz val="10"/>
      <color theme="1"/>
      <name val="Aptos"/>
    </font>
    <font>
      <sz val="10"/>
      <name val="Arial"/>
      <family val="2"/>
    </font>
    <font>
      <b/>
      <sz val="18"/>
      <color theme="0"/>
      <name val="Aptos"/>
      <family val="2"/>
    </font>
    <font>
      <b/>
      <sz val="11"/>
      <color theme="0"/>
      <name val="Aptos"/>
      <family val="2"/>
    </font>
    <font>
      <b/>
      <sz val="10"/>
      <color theme="0"/>
      <name val="Aptos"/>
      <family val="2"/>
    </font>
    <font>
      <sz val="11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21528"/>
        <bgColor rgb="FF1F2430"/>
      </patternFill>
    </fill>
    <fill>
      <patternFill patternType="solid">
        <fgColor rgb="FFB8F2E3"/>
        <bgColor rgb="FFC8DCE4"/>
      </patternFill>
    </fill>
    <fill>
      <patternFill patternType="solid">
        <fgColor rgb="FFEEECE1"/>
        <bgColor rgb="FFFDE9D9"/>
      </patternFill>
    </fill>
    <fill>
      <patternFill patternType="solid">
        <fgColor rgb="FFF7F6F1"/>
        <bgColor rgb="FFFFFFFF"/>
      </patternFill>
    </fill>
  </fills>
  <borders count="5">
    <border>
      <left/>
      <right/>
      <top/>
      <bottom/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/>
      <diagonal/>
    </border>
    <border>
      <left/>
      <right style="thin">
        <color rgb="FFD9D9D9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4" borderId="3" xfId="0" applyFill="1" applyBorder="1" applyAlignment="1">
      <alignment vertical="top" wrapText="1"/>
    </xf>
    <xf numFmtId="1" fontId="4" fillId="3" borderId="3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14" fontId="0" fillId="3" borderId="1" xfId="0" applyNumberFormat="1" applyFill="1" applyBorder="1"/>
    <xf numFmtId="0" fontId="0" fillId="4" borderId="1" xfId="0" applyFill="1" applyBorder="1" applyAlignment="1">
      <alignment wrapText="1"/>
    </xf>
    <xf numFmtId="0" fontId="0" fillId="3" borderId="1" xfId="0" applyFill="1" applyBorder="1"/>
    <xf numFmtId="0" fontId="1" fillId="0" borderId="0" xfId="0" applyFont="1"/>
    <xf numFmtId="0" fontId="3" fillId="2" borderId="0" xfId="0" applyFont="1" applyFill="1"/>
    <xf numFmtId="0" fontId="0" fillId="3" borderId="2" xfId="0" applyFill="1" applyBorder="1"/>
    <xf numFmtId="164" fontId="0" fillId="3" borderId="2" xfId="0" applyNumberFormat="1" applyFill="1" applyBorder="1"/>
    <xf numFmtId="0" fontId="0" fillId="0" borderId="2" xfId="0" applyBorder="1"/>
    <xf numFmtId="164" fontId="0" fillId="0" borderId="2" xfId="0" applyNumberFormat="1" applyBorder="1"/>
    <xf numFmtId="0" fontId="0" fillId="5" borderId="2" xfId="0" applyFill="1" applyBorder="1"/>
    <xf numFmtId="0" fontId="0" fillId="3" borderId="0" xfId="0" applyFill="1"/>
    <xf numFmtId="14" fontId="0" fillId="0" borderId="2" xfId="0" applyNumberFormat="1" applyBorder="1"/>
    <xf numFmtId="165" fontId="0" fillId="0" borderId="2" xfId="0" applyNumberFormat="1" applyBorder="1"/>
    <xf numFmtId="0" fontId="5" fillId="0" borderId="0" xfId="0" applyFont="1"/>
    <xf numFmtId="0" fontId="0" fillId="4" borderId="0" xfId="0" applyFill="1" applyAlignment="1">
      <alignment horizontal="center"/>
    </xf>
    <xf numFmtId="165" fontId="0" fillId="3" borderId="2" xfId="0" applyNumberFormat="1" applyFill="1" applyBorder="1"/>
    <xf numFmtId="0" fontId="6" fillId="0" borderId="0" xfId="0" applyFont="1"/>
    <xf numFmtId="166" fontId="0" fillId="3" borderId="2" xfId="0" applyNumberFormat="1" applyFill="1" applyBorder="1"/>
    <xf numFmtId="166" fontId="0" fillId="0" borderId="2" xfId="0" applyNumberFormat="1" applyBorder="1"/>
    <xf numFmtId="14" fontId="0" fillId="3" borderId="2" xfId="0" applyNumberFormat="1" applyFill="1" applyBorder="1"/>
    <xf numFmtId="1" fontId="0" fillId="3" borderId="2" xfId="0" applyNumberFormat="1" applyFill="1" applyBorder="1"/>
    <xf numFmtId="164" fontId="0" fillId="0" borderId="0" xfId="0" applyNumberFormat="1"/>
    <xf numFmtId="0" fontId="2" fillId="2" borderId="4" xfId="0" applyFont="1" applyFill="1" applyBorder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/>
    </xf>
    <xf numFmtId="0" fontId="10" fillId="2" borderId="1" xfId="0" applyFont="1" applyFill="1" applyBorder="1" applyAlignment="1">
      <alignment horizontal="center"/>
    </xf>
    <xf numFmtId="0" fontId="11" fillId="0" borderId="0" xfId="0" applyFont="1"/>
    <xf numFmtId="0" fontId="9" fillId="2" borderId="2" xfId="0" applyFont="1" applyFill="1" applyBorder="1" applyAlignment="1">
      <alignment horizontal="left"/>
    </xf>
    <xf numFmtId="0" fontId="10" fillId="2" borderId="0" xfId="0" applyFont="1" applyFill="1"/>
    <xf numFmtId="17" fontId="10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left"/>
    </xf>
    <xf numFmtId="0" fontId="9" fillId="2" borderId="0" xfId="0" applyFont="1" applyFill="1"/>
  </cellXfs>
  <cellStyles count="1">
    <cellStyle name="Normal" xfId="0" builtinId="0"/>
  </cellStyles>
  <dxfs count="8">
    <dxf>
      <font>
        <sz val="11"/>
        <color rgb="FF000000"/>
        <name val="Calibri"/>
        <family val="2"/>
      </font>
      <fill>
        <patternFill>
          <bgColor rgb="FFF4CCCC"/>
        </patternFill>
      </fill>
    </dxf>
    <dxf>
      <font>
        <sz val="11"/>
        <color rgb="FF000000"/>
        <name val="Calibri"/>
        <family val="2"/>
      </font>
      <fill>
        <patternFill>
          <bgColor rgb="FFF4CCCC"/>
        </patternFill>
      </fill>
    </dxf>
    <dxf>
      <font>
        <sz val="11"/>
        <color rgb="FF000000"/>
        <name val="Calibri"/>
        <family val="2"/>
      </font>
      <fill>
        <patternFill>
          <bgColor rgb="FFFDE9D9"/>
        </patternFill>
      </fill>
    </dxf>
    <dxf>
      <font>
        <sz val="11"/>
        <color rgb="FF000000"/>
        <name val="Calibri"/>
        <family val="2"/>
      </font>
      <fill>
        <patternFill>
          <bgColor rgb="FFFFF2CC"/>
        </patternFill>
      </fill>
    </dxf>
    <dxf>
      <font>
        <sz val="11"/>
        <color rgb="FF000000"/>
        <name val="Calibri"/>
        <family val="2"/>
      </font>
      <fill>
        <patternFill>
          <bgColor rgb="FFF4CCCC"/>
        </patternFill>
      </fill>
    </dxf>
    <dxf>
      <font>
        <sz val="11"/>
        <color rgb="FF000000"/>
        <name val="Calibri"/>
        <family val="2"/>
      </font>
      <fill>
        <patternFill>
          <bgColor rgb="FFEEECE1"/>
        </patternFill>
      </fill>
    </dxf>
    <dxf>
      <font>
        <sz val="11"/>
        <color rgb="FF000000"/>
        <name val="Calibri"/>
        <family val="2"/>
      </font>
      <fill>
        <patternFill>
          <bgColor rgb="FFB8F2E3"/>
        </patternFill>
      </fill>
    </dxf>
    <dxf>
      <font>
        <sz val="11"/>
        <color rgb="FF000000"/>
        <name val="Calibri"/>
        <family val="2"/>
      </font>
      <fill>
        <patternFill>
          <bgColor rgb="FFC6E0B4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E2863A"/>
      <rgbColor rgb="FF90AF50"/>
      <rgbColor rgb="FFC8DCE4"/>
      <rgbColor rgb="FFC6E0B4"/>
      <rgbColor rgb="FFF5B492"/>
      <rgbColor rgb="FF88BFD2"/>
      <rgbColor rgb="FFAF682C"/>
      <rgbColor rgb="FF6B6B6B"/>
      <rgbColor rgb="FFD8E1CA"/>
      <rgbColor rgb="FF6C843A"/>
      <rgbColor rgb="FFC15553"/>
      <rgbColor rgb="FF30788C"/>
      <rgbColor rgb="FFCEC7D7"/>
      <rgbColor rgb="FF89878B"/>
      <rgbColor rgb="FFB1B4D0"/>
      <rgbColor rgb="FFA03E3C"/>
      <rgbColor rgb="FFFFF2CC"/>
      <rgbColor rgb="FFF7F6F1"/>
      <rgbColor rgb="FFF5CBB8"/>
      <rgbColor rgb="FFF59957"/>
      <rgbColor rgb="FF3D6A9D"/>
      <rgbColor rgb="FFC9D2E2"/>
      <rgbColor rgb="FFF6D7C8"/>
      <rgbColor rgb="FFE2C9C8"/>
      <rgbColor rgb="FFCAD9B4"/>
      <rgbColor rgb="FFB2CA8E"/>
      <rgbColor rgb="FFCD8A89"/>
      <rgbColor rgb="FFF4CCCC"/>
      <rgbColor rgb="FF335985"/>
      <rgbColor rgb="FFD9D9D9"/>
      <rgbColor rgb="FF5282BD"/>
      <rgbColor rgb="FFEEECE1"/>
      <rgbColor rgb="FFB8F2E3"/>
      <rgbColor rgb="FFFDE9D9"/>
      <rgbColor rgb="FFB4CFDD"/>
      <rgbColor rgb="FFD6A9A9"/>
      <rgbColor rgb="FFDDB9B9"/>
      <rgbColor rgb="FFF6C0A6"/>
      <rgbColor rgb="FF4777B2"/>
      <rgbColor rgb="FF4AA5C1"/>
      <rgbColor rgb="FF9CBB5D"/>
      <rgbColor rgb="FFF5A779"/>
      <rgbColor rgb="FFEF8E3E"/>
      <rgbColor rgb="FFD17B34"/>
      <rgbColor rgb="FF7C619C"/>
      <rgbColor rgb="FF95A1C8"/>
      <rgbColor rgb="FF819C47"/>
      <rgbColor rgb="FF3A8FA5"/>
      <rgbColor rgb="FF121528"/>
      <rgbColor rgb="FF695186"/>
      <rgbColor rgb="FF873432"/>
      <rgbColor rgb="FFB54844"/>
      <rgbColor rgb="FF584471"/>
      <rgbColor rgb="FF1F243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s-ES" sz="1800" b="1" u="none" strike="noStrike">
                <a:solidFill>
                  <a:srgbClr val="000000"/>
                </a:solidFill>
                <a:uFillTx/>
                <a:latin typeface="Calibri"/>
              </a:rPr>
              <a:t>EBITDA anual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'03_Finanzas'!$C$9:$E$9</c:f>
              <c:strCache>
                <c:ptCount val="3"/>
                <c:pt idx="0">
                  <c:v>Año 1</c:v>
                </c:pt>
                <c:pt idx="1">
                  <c:v>Año 2</c:v>
                </c:pt>
                <c:pt idx="2">
                  <c:v>Año 3</c:v>
                </c:pt>
              </c:strCache>
            </c:strRef>
          </c:cat>
          <c:val>
            <c:numRef>
              <c:f>'03_Finanzas'!$C$15</c:f>
              <c:numCache>
                <c:formatCode>"€ "#,##0;[Red]"(€ "#,##0\);\-</c:formatCode>
                <c:ptCount val="1"/>
                <c:pt idx="0">
                  <c:v>-67145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72-4003-AF25-180E632DBBF5}"/>
            </c:ext>
          </c:extLst>
        </c:ser>
        <c:ser>
          <c:idx val="1"/>
          <c:order val="1"/>
          <c:spPr>
            <a:solidFill>
              <a:srgbClr val="C0504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'03_Finanzas'!$C$9:$E$9</c:f>
              <c:strCache>
                <c:ptCount val="3"/>
                <c:pt idx="0">
                  <c:v>Año 1</c:v>
                </c:pt>
                <c:pt idx="1">
                  <c:v>Año 2</c:v>
                </c:pt>
                <c:pt idx="2">
                  <c:v>Año 3</c:v>
                </c:pt>
              </c:strCache>
            </c:strRef>
          </c:cat>
          <c:val>
            <c:numRef>
              <c:f>'03_Finanzas'!$D$15</c:f>
              <c:numCache>
                <c:formatCode>"€ "#,##0;[Red]"(€ "#,##0\);\-</c:formatCode>
                <c:ptCount val="1"/>
                <c:pt idx="0">
                  <c:v>168628.09999999998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72-4003-AF25-180E632DBBF5}"/>
            </c:ext>
          </c:extLst>
        </c:ser>
        <c:ser>
          <c:idx val="2"/>
          <c:order val="2"/>
          <c:spPr>
            <a:solidFill>
              <a:srgbClr val="9BBB59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'03_Finanzas'!$C$9:$E$9</c:f>
              <c:strCache>
                <c:ptCount val="3"/>
                <c:pt idx="0">
                  <c:v>Año 1</c:v>
                </c:pt>
                <c:pt idx="1">
                  <c:v>Año 2</c:v>
                </c:pt>
                <c:pt idx="2">
                  <c:v>Año 3</c:v>
                </c:pt>
              </c:strCache>
            </c:strRef>
          </c:cat>
          <c:val>
            <c:numRef>
              <c:f>'03_Finanzas'!$E$15</c:f>
              <c:numCache>
                <c:formatCode>"€ "#,##0;[Red]"(€ "#,##0\);\-</c:formatCode>
                <c:ptCount val="1"/>
                <c:pt idx="0">
                  <c:v>485890.88700000022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72-4003-AF25-180E632DB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331545"/>
        <c:axId val="84462861"/>
      </c:barChart>
      <c:catAx>
        <c:axId val="7333154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84462861"/>
        <c:crosses val="autoZero"/>
        <c:auto val="1"/>
        <c:lblAlgn val="ctr"/>
        <c:lblOffset val="100"/>
        <c:noMultiLvlLbl val="0"/>
      </c:catAx>
      <c:valAx>
        <c:axId val="84462861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&quot;€ &quot;#,##0;[Red]&quot;(€ &quot;#,##0\);\-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73331545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s-ES" sz="1800" b="1" u="none" strike="noStrike">
                <a:solidFill>
                  <a:srgbClr val="000000"/>
                </a:solidFill>
                <a:uFillTx/>
                <a:latin typeface="Calibri"/>
              </a:rPr>
              <a:t>Mix ingresos Y1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'03_Finanzas'!$A$36:$A$38</c:f>
              <c:strCache>
                <c:ptCount val="3"/>
                <c:pt idx="0">
                  <c:v>Suscripción</c:v>
                </c:pt>
                <c:pt idx="1">
                  <c:v>Instalación</c:v>
                </c:pt>
                <c:pt idx="2">
                  <c:v>Talleres</c:v>
                </c:pt>
              </c:strCache>
            </c:strRef>
          </c:cat>
          <c:val>
            <c:numRef>
              <c:f>'03_Finanzas'!$B$36:$B$38</c:f>
              <c:numCache>
                <c:formatCode>"€ "#,##0;[Red]"(€ "#,##0\);\-</c:formatCode>
                <c:ptCount val="3"/>
                <c:pt idx="0">
                  <c:v>105850</c:v>
                </c:pt>
                <c:pt idx="1">
                  <c:v>65000</c:v>
                </c:pt>
                <c:pt idx="2">
                  <c:v>10200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0F-4A93-B338-DFAD49045C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666810"/>
        <c:axId val="84549056"/>
      </c:barChart>
      <c:catAx>
        <c:axId val="46666810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84549056"/>
        <c:crosses val="autoZero"/>
        <c:auto val="1"/>
        <c:lblAlgn val="ctr"/>
        <c:lblOffset val="100"/>
        <c:noMultiLvlLbl val="0"/>
      </c:catAx>
      <c:valAx>
        <c:axId val="84549056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&quot;€ &quot;#,##0;[Red]&quot;(€ &quot;#,##0\);\-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46666810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361949</xdr:colOff>
      <xdr:row>18</xdr:row>
      <xdr:rowOff>152399</xdr:rowOff>
    </xdr:from>
    <xdr:to>
      <xdr:col>10</xdr:col>
      <xdr:colOff>161924</xdr:colOff>
      <xdr:row>35</xdr:row>
      <xdr:rowOff>28574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647700</xdr:colOff>
      <xdr:row>18</xdr:row>
      <xdr:rowOff>104775</xdr:rowOff>
    </xdr:from>
    <xdr:to>
      <xdr:col>19</xdr:col>
      <xdr:colOff>571500</xdr:colOff>
      <xdr:row>35</xdr:row>
      <xdr:rowOff>9525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zoomScale="120" zoomScaleNormal="120" workbookViewId="0">
      <selection activeCell="O20" sqref="O20"/>
    </sheetView>
  </sheetViews>
  <sheetFormatPr baseColWidth="10" defaultColWidth="8.7109375" defaultRowHeight="12.75" customHeight="1" x14ac:dyDescent="0.25"/>
  <cols>
    <col min="1" max="2" width="18" customWidth="1"/>
    <col min="3" max="7" width="16" customWidth="1"/>
    <col min="8" max="8" width="18" customWidth="1"/>
  </cols>
  <sheetData>
    <row r="1" spans="1:8" ht="15" x14ac:dyDescent="0.25">
      <c r="A1" s="29" t="s">
        <v>223</v>
      </c>
      <c r="B1" s="29"/>
      <c r="C1" s="29"/>
      <c r="D1" s="29"/>
      <c r="E1" s="29"/>
      <c r="F1" s="29"/>
      <c r="G1" s="29"/>
      <c r="H1" s="29"/>
    </row>
    <row r="2" spans="1:8" ht="15" x14ac:dyDescent="0.25">
      <c r="A2" s="29"/>
      <c r="B2" s="29"/>
      <c r="C2" s="29"/>
      <c r="D2" s="29"/>
      <c r="E2" s="29"/>
      <c r="F2" s="29"/>
      <c r="G2" s="29"/>
      <c r="H2" s="29"/>
    </row>
    <row r="3" spans="1:8" ht="15" x14ac:dyDescent="0.25">
      <c r="A3" s="8" t="s">
        <v>0</v>
      </c>
    </row>
    <row r="4" spans="1:8" ht="15" x14ac:dyDescent="0.25"/>
    <row r="5" spans="1:8" ht="15" x14ac:dyDescent="0.25">
      <c r="A5" s="30" t="s">
        <v>1</v>
      </c>
      <c r="B5" s="30"/>
      <c r="C5" s="30"/>
      <c r="D5" s="30"/>
      <c r="F5" s="30" t="s">
        <v>2</v>
      </c>
      <c r="G5" s="30"/>
      <c r="H5" s="30"/>
    </row>
    <row r="6" spans="1:8" ht="14.85" customHeight="1" x14ac:dyDescent="0.25">
      <c r="A6" s="8" t="s">
        <v>3</v>
      </c>
      <c r="B6" s="7" t="s">
        <v>4</v>
      </c>
      <c r="C6" s="7"/>
      <c r="D6" s="7"/>
      <c r="F6" s="6" t="s">
        <v>5</v>
      </c>
      <c r="G6" s="6"/>
      <c r="H6" s="6"/>
    </row>
    <row r="7" spans="1:8" ht="14.85" customHeight="1" x14ac:dyDescent="0.25">
      <c r="A7" s="8" t="s">
        <v>6</v>
      </c>
      <c r="B7" s="7" t="s">
        <v>7</v>
      </c>
      <c r="C7" s="7"/>
      <c r="D7" s="7"/>
      <c r="F7" s="6" t="s">
        <v>8</v>
      </c>
      <c r="G7" s="6"/>
      <c r="H7" s="6"/>
    </row>
    <row r="8" spans="1:8" ht="28.35" customHeight="1" x14ac:dyDescent="0.25">
      <c r="A8" s="8" t="s">
        <v>9</v>
      </c>
      <c r="B8" s="7" t="s">
        <v>10</v>
      </c>
      <c r="C8" s="7"/>
      <c r="D8" s="7"/>
      <c r="F8" s="6" t="s">
        <v>11</v>
      </c>
      <c r="G8" s="6"/>
      <c r="H8" s="6"/>
    </row>
    <row r="9" spans="1:8" ht="14.85" customHeight="1" x14ac:dyDescent="0.25">
      <c r="A9" s="8" t="s">
        <v>12</v>
      </c>
      <c r="B9" s="5">
        <v>46113</v>
      </c>
      <c r="C9" s="5"/>
      <c r="D9" s="5"/>
      <c r="F9" s="6" t="s">
        <v>13</v>
      </c>
      <c r="G9" s="6"/>
      <c r="H9" s="6"/>
    </row>
    <row r="10" spans="1:8" ht="14.85" customHeight="1" x14ac:dyDescent="0.25">
      <c r="A10" s="8" t="s">
        <v>14</v>
      </c>
      <c r="B10" s="7" t="s">
        <v>15</v>
      </c>
      <c r="C10" s="7"/>
      <c r="D10" s="7"/>
      <c r="F10" s="6" t="s">
        <v>16</v>
      </c>
      <c r="G10" s="6"/>
      <c r="H10" s="6"/>
    </row>
    <row r="11" spans="1:8" ht="15" x14ac:dyDescent="0.25">
      <c r="A11" s="8" t="s">
        <v>17</v>
      </c>
      <c r="B11" s="7" t="s">
        <v>18</v>
      </c>
      <c r="C11" s="7"/>
      <c r="D11" s="7"/>
    </row>
    <row r="12" spans="1:8" ht="15" x14ac:dyDescent="0.25"/>
    <row r="13" spans="1:8" ht="15" x14ac:dyDescent="0.25">
      <c r="A13" s="31" t="str">
        <f>HYPERLINK("#'01_Plan'!A1","Abrir plan estratégico")</f>
        <v>Abrir plan estratégico</v>
      </c>
      <c r="B13" s="31"/>
      <c r="C13" s="32"/>
      <c r="D13" s="32"/>
      <c r="E13" s="32"/>
      <c r="F13" s="32"/>
      <c r="G13" s="32"/>
      <c r="H13" s="32"/>
    </row>
    <row r="14" spans="1:8" ht="15" x14ac:dyDescent="0.25">
      <c r="A14" s="31" t="str">
        <f>HYPERLINK("#'02_Modelo'!A1","Abrir modelo")</f>
        <v>Abrir modelo</v>
      </c>
      <c r="B14" s="31"/>
      <c r="C14" s="32"/>
      <c r="D14" s="32"/>
      <c r="E14" s="32"/>
      <c r="F14" s="32"/>
      <c r="G14" s="32"/>
      <c r="H14" s="32"/>
    </row>
    <row r="15" spans="1:8" ht="15" x14ac:dyDescent="0.25">
      <c r="A15" s="33" t="s">
        <v>19</v>
      </c>
      <c r="B15" s="33"/>
      <c r="C15" s="33"/>
      <c r="D15" s="33"/>
      <c r="E15" s="33"/>
      <c r="F15" s="33"/>
      <c r="G15" s="33"/>
      <c r="H15" s="33"/>
    </row>
    <row r="16" spans="1:8" ht="15" x14ac:dyDescent="0.25">
      <c r="A16" s="4" t="s">
        <v>20</v>
      </c>
      <c r="B16" s="4"/>
      <c r="C16" s="4"/>
      <c r="D16" s="4" t="s">
        <v>21</v>
      </c>
      <c r="E16" s="4"/>
      <c r="F16" s="4"/>
      <c r="G16" s="4" t="s">
        <v>22</v>
      </c>
      <c r="H16" s="4"/>
    </row>
    <row r="17" spans="1:8" ht="15" x14ac:dyDescent="0.25">
      <c r="A17" s="3">
        <f>'03_Finanzas'!C10</f>
        <v>181050</v>
      </c>
      <c r="B17" s="3"/>
      <c r="C17" s="3"/>
      <c r="D17" s="3">
        <f>'03_Finanzas'!C11</f>
        <v>119355</v>
      </c>
      <c r="E17" s="3"/>
      <c r="F17" s="3"/>
      <c r="G17" s="3">
        <f>'03_Finanzas'!C15</f>
        <v>-67145</v>
      </c>
      <c r="H17" s="3"/>
    </row>
    <row r="18" spans="1:8" ht="15" x14ac:dyDescent="0.25">
      <c r="A18" s="3"/>
      <c r="B18" s="3"/>
      <c r="C18" s="3"/>
      <c r="D18" s="3"/>
      <c r="E18" s="3"/>
      <c r="F18" s="3"/>
      <c r="G18" s="3"/>
      <c r="H18" s="3"/>
    </row>
    <row r="19" spans="1:8" ht="15" x14ac:dyDescent="0.25">
      <c r="A19" s="4" t="s">
        <v>23</v>
      </c>
      <c r="B19" s="4"/>
      <c r="C19" s="4"/>
      <c r="D19" s="4" t="s">
        <v>24</v>
      </c>
      <c r="E19" s="4"/>
      <c r="F19" s="4"/>
      <c r="G19" s="4" t="s">
        <v>25</v>
      </c>
      <c r="H19" s="4"/>
    </row>
    <row r="20" spans="1:8" ht="15" x14ac:dyDescent="0.25">
      <c r="A20" s="3">
        <f>'03_Finanzas'!B21</f>
        <v>16002.718844717123</v>
      </c>
      <c r="B20" s="3"/>
      <c r="C20" s="3"/>
      <c r="D20" s="2">
        <f>'03_Finanzas'!B22</f>
        <v>10</v>
      </c>
      <c r="E20" s="2"/>
      <c r="F20" s="2"/>
      <c r="G20" s="3">
        <f>'03_Finanzas'!B30</f>
        <v>23575.206317288757</v>
      </c>
      <c r="H20" s="3"/>
    </row>
    <row r="21" spans="1:8" ht="15" x14ac:dyDescent="0.25">
      <c r="A21" s="3"/>
      <c r="B21" s="3"/>
      <c r="C21" s="3"/>
      <c r="D21" s="2"/>
      <c r="E21" s="2"/>
      <c r="F21" s="2"/>
      <c r="G21" s="3"/>
      <c r="H21" s="3"/>
    </row>
    <row r="22" spans="1:8" ht="15" x14ac:dyDescent="0.25"/>
    <row r="23" spans="1:8" ht="15" x14ac:dyDescent="0.25"/>
    <row r="33" customFormat="1" ht="12.75" customHeight="1" x14ac:dyDescent="0.25"/>
  </sheetData>
  <mergeCells count="29">
    <mergeCell ref="A19:C19"/>
    <mergeCell ref="D19:F19"/>
    <mergeCell ref="G19:H19"/>
    <mergeCell ref="A20:C21"/>
    <mergeCell ref="D20:F21"/>
    <mergeCell ref="G20:H21"/>
    <mergeCell ref="A15:H15"/>
    <mergeCell ref="A16:C16"/>
    <mergeCell ref="D16:F16"/>
    <mergeCell ref="G16:H16"/>
    <mergeCell ref="A17:C18"/>
    <mergeCell ref="D17:F18"/>
    <mergeCell ref="G17:H18"/>
    <mergeCell ref="B10:D10"/>
    <mergeCell ref="F10:H10"/>
    <mergeCell ref="B11:D11"/>
    <mergeCell ref="A13:B13"/>
    <mergeCell ref="A14:B14"/>
    <mergeCell ref="B7:D7"/>
    <mergeCell ref="F7:H7"/>
    <mergeCell ref="B8:D8"/>
    <mergeCell ref="F8:H8"/>
    <mergeCell ref="B9:D9"/>
    <mergeCell ref="F9:H9"/>
    <mergeCell ref="A1:H2"/>
    <mergeCell ref="A5:D5"/>
    <mergeCell ref="F5:H5"/>
    <mergeCell ref="B6:D6"/>
    <mergeCell ref="F6:H6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6"/>
  <sheetViews>
    <sheetView zoomScaleNormal="100" zoomScalePageLayoutView="60" workbookViewId="0">
      <selection activeCell="A41" activeCellId="1" sqref="A49:XFD50 A41:XFD42"/>
    </sheetView>
  </sheetViews>
  <sheetFormatPr baseColWidth="10" defaultColWidth="8.7109375" defaultRowHeight="12.75" customHeight="1" x14ac:dyDescent="0.25"/>
  <cols>
    <col min="1" max="8" width="18" customWidth="1"/>
  </cols>
  <sheetData>
    <row r="1" spans="1:8" ht="15" x14ac:dyDescent="0.25">
      <c r="A1" s="28" t="str">
        <f>_xlfn.CONCAT("01 · Plan estratégico — ",'00_Inicio'!B6)</f>
        <v>01 · Plan estratégico — Raíz Urbana Office</v>
      </c>
      <c r="B1" s="28"/>
      <c r="C1" s="28"/>
      <c r="D1" s="28"/>
      <c r="E1" s="28"/>
      <c r="F1" s="28"/>
      <c r="G1" s="28"/>
      <c r="H1" s="28"/>
    </row>
    <row r="2" spans="1:8" ht="15" x14ac:dyDescent="0.25">
      <c r="A2" s="28"/>
      <c r="B2" s="28"/>
      <c r="C2" s="28"/>
      <c r="D2" s="28"/>
      <c r="E2" s="28"/>
      <c r="F2" s="28"/>
      <c r="G2" s="28"/>
      <c r="H2" s="28"/>
    </row>
    <row r="3" spans="1:8" ht="15" x14ac:dyDescent="0.25"/>
    <row r="4" spans="1:8" s="32" customFormat="1" ht="15" x14ac:dyDescent="0.25">
      <c r="A4" s="30" t="s">
        <v>26</v>
      </c>
      <c r="B4" s="30"/>
      <c r="C4" s="30"/>
      <c r="D4" s="30"/>
      <c r="E4" s="30" t="s">
        <v>27</v>
      </c>
      <c r="F4" s="30"/>
      <c r="G4" s="30"/>
      <c r="H4" s="30"/>
    </row>
    <row r="5" spans="1:8" ht="15" customHeight="1" x14ac:dyDescent="0.25">
      <c r="A5" s="1" t="s">
        <v>28</v>
      </c>
      <c r="B5" s="1"/>
      <c r="C5" s="1"/>
      <c r="D5" s="1"/>
      <c r="E5" s="1" t="s">
        <v>29</v>
      </c>
      <c r="F5" s="1"/>
      <c r="G5" s="1"/>
      <c r="H5" s="1"/>
    </row>
    <row r="6" spans="1:8" ht="15" x14ac:dyDescent="0.25">
      <c r="A6" s="1"/>
      <c r="B6" s="1"/>
      <c r="C6" s="1"/>
      <c r="D6" s="1"/>
      <c r="E6" s="1"/>
      <c r="F6" s="1"/>
      <c r="G6" s="1"/>
      <c r="H6" s="1"/>
    </row>
    <row r="7" spans="1:8" ht="15" x14ac:dyDescent="0.25">
      <c r="A7" s="1"/>
      <c r="B7" s="1"/>
      <c r="C7" s="1"/>
      <c r="D7" s="1"/>
      <c r="E7" s="1"/>
      <c r="F7" s="1"/>
      <c r="G7" s="1"/>
      <c r="H7" s="1"/>
    </row>
    <row r="8" spans="1:8" ht="15" x14ac:dyDescent="0.25">
      <c r="A8" s="1"/>
      <c r="B8" s="1"/>
      <c r="C8" s="1"/>
      <c r="D8" s="1"/>
      <c r="E8" s="1"/>
      <c r="F8" s="1"/>
      <c r="G8" s="1"/>
      <c r="H8" s="1"/>
    </row>
    <row r="9" spans="1:8" ht="15" x14ac:dyDescent="0.25">
      <c r="A9" s="1"/>
      <c r="B9" s="1"/>
      <c r="C9" s="1"/>
      <c r="D9" s="1"/>
      <c r="E9" s="1"/>
      <c r="F9" s="1"/>
      <c r="G9" s="1"/>
      <c r="H9" s="1"/>
    </row>
    <row r="10" spans="1:8" ht="15" x14ac:dyDescent="0.25">
      <c r="A10" s="1"/>
      <c r="B10" s="1"/>
      <c r="C10" s="1"/>
      <c r="D10" s="1"/>
      <c r="E10" s="1"/>
      <c r="F10" s="1"/>
      <c r="G10" s="1"/>
      <c r="H10" s="1"/>
    </row>
    <row r="11" spans="1:8" ht="15" x14ac:dyDescent="0.25"/>
    <row r="12" spans="1:8" s="32" customFormat="1" ht="15" x14ac:dyDescent="0.25">
      <c r="A12" s="30" t="s">
        <v>30</v>
      </c>
      <c r="B12" s="30"/>
      <c r="C12" s="30"/>
      <c r="D12" s="30"/>
      <c r="E12" s="30" t="s">
        <v>31</v>
      </c>
      <c r="F12" s="30"/>
      <c r="G12" s="30"/>
      <c r="H12" s="30"/>
    </row>
    <row r="13" spans="1:8" ht="15" customHeight="1" x14ac:dyDescent="0.25">
      <c r="A13" s="1" t="s">
        <v>32</v>
      </c>
      <c r="B13" s="1"/>
      <c r="C13" s="1"/>
      <c r="D13" s="1"/>
      <c r="E13" s="1" t="s">
        <v>33</v>
      </c>
      <c r="F13" s="1"/>
      <c r="G13" s="1"/>
      <c r="H13" s="1"/>
    </row>
    <row r="14" spans="1:8" ht="15" x14ac:dyDescent="0.25">
      <c r="A14" s="1"/>
      <c r="B14" s="1"/>
      <c r="C14" s="1"/>
      <c r="D14" s="1"/>
      <c r="E14" s="1"/>
      <c r="F14" s="1"/>
      <c r="G14" s="1"/>
      <c r="H14" s="1"/>
    </row>
    <row r="15" spans="1:8" ht="15" x14ac:dyDescent="0.25">
      <c r="A15" s="1"/>
      <c r="B15" s="1"/>
      <c r="C15" s="1"/>
      <c r="D15" s="1"/>
      <c r="E15" s="1"/>
      <c r="F15" s="1"/>
      <c r="G15" s="1"/>
      <c r="H15" s="1"/>
    </row>
    <row r="16" spans="1:8" ht="15" x14ac:dyDescent="0.25">
      <c r="A16" s="1"/>
      <c r="B16" s="1"/>
      <c r="C16" s="1"/>
      <c r="D16" s="1"/>
      <c r="E16" s="1"/>
      <c r="F16" s="1"/>
      <c r="G16" s="1"/>
      <c r="H16" s="1"/>
    </row>
    <row r="17" spans="1:8" ht="15" x14ac:dyDescent="0.25">
      <c r="A17" s="1"/>
      <c r="B17" s="1"/>
      <c r="C17" s="1"/>
      <c r="D17" s="1"/>
      <c r="E17" s="1"/>
      <c r="F17" s="1"/>
      <c r="G17" s="1"/>
      <c r="H17" s="1"/>
    </row>
    <row r="18" spans="1:8" ht="15" x14ac:dyDescent="0.25">
      <c r="A18" s="1"/>
      <c r="B18" s="1"/>
      <c r="C18" s="1"/>
      <c r="D18" s="1"/>
      <c r="E18" s="1"/>
      <c r="F18" s="1"/>
      <c r="G18" s="1"/>
      <c r="H18" s="1"/>
    </row>
    <row r="19" spans="1:8" ht="15" x14ac:dyDescent="0.25"/>
    <row r="20" spans="1:8" s="32" customFormat="1" ht="15" x14ac:dyDescent="0.25">
      <c r="A20" s="30" t="s">
        <v>34</v>
      </c>
      <c r="B20" s="30"/>
      <c r="C20" s="30"/>
      <c r="D20" s="30"/>
      <c r="E20" s="30" t="s">
        <v>35</v>
      </c>
      <c r="F20" s="30"/>
      <c r="G20" s="30"/>
      <c r="H20" s="30"/>
    </row>
    <row r="21" spans="1:8" ht="15" customHeight="1" x14ac:dyDescent="0.25">
      <c r="A21" s="1" t="s">
        <v>36</v>
      </c>
      <c r="B21" s="1"/>
      <c r="C21" s="1"/>
      <c r="D21" s="1"/>
      <c r="E21" s="1" t="s">
        <v>37</v>
      </c>
      <c r="F21" s="1"/>
      <c r="G21" s="1"/>
      <c r="H21" s="1"/>
    </row>
    <row r="22" spans="1:8" ht="15" x14ac:dyDescent="0.25">
      <c r="A22" s="1"/>
      <c r="B22" s="1"/>
      <c r="C22" s="1"/>
      <c r="D22" s="1"/>
      <c r="E22" s="1"/>
      <c r="F22" s="1"/>
      <c r="G22" s="1"/>
      <c r="H22" s="1"/>
    </row>
    <row r="23" spans="1:8" ht="15" x14ac:dyDescent="0.25">
      <c r="A23" s="1"/>
      <c r="B23" s="1"/>
      <c r="C23" s="1"/>
      <c r="D23" s="1"/>
      <c r="E23" s="1"/>
      <c r="F23" s="1"/>
      <c r="G23" s="1"/>
      <c r="H23" s="1"/>
    </row>
    <row r="24" spans="1:8" ht="15" x14ac:dyDescent="0.25">
      <c r="A24" s="1"/>
      <c r="B24" s="1"/>
      <c r="C24" s="1"/>
      <c r="D24" s="1"/>
      <c r="E24" s="1"/>
      <c r="F24" s="1"/>
      <c r="G24" s="1"/>
      <c r="H24" s="1"/>
    </row>
    <row r="25" spans="1:8" ht="15" x14ac:dyDescent="0.25">
      <c r="A25" s="1"/>
      <c r="B25" s="1"/>
      <c r="C25" s="1"/>
      <c r="D25" s="1"/>
      <c r="E25" s="1"/>
      <c r="F25" s="1"/>
      <c r="G25" s="1"/>
      <c r="H25" s="1"/>
    </row>
    <row r="26" spans="1:8" ht="15" x14ac:dyDescent="0.25"/>
    <row r="27" spans="1:8" s="32" customFormat="1" ht="15" x14ac:dyDescent="0.25">
      <c r="A27" s="30" t="s">
        <v>38</v>
      </c>
      <c r="B27" s="30"/>
      <c r="C27" s="30"/>
      <c r="D27" s="30"/>
      <c r="E27" s="30"/>
      <c r="F27" s="30"/>
      <c r="G27" s="30"/>
      <c r="H27" s="30"/>
    </row>
    <row r="28" spans="1:8" ht="15" customHeight="1" x14ac:dyDescent="0.25">
      <c r="A28" s="1" t="s">
        <v>39</v>
      </c>
      <c r="B28" s="1"/>
      <c r="C28" s="1"/>
      <c r="D28" s="1"/>
      <c r="E28" s="1"/>
      <c r="F28" s="1"/>
      <c r="G28" s="1"/>
      <c r="H28" s="1"/>
    </row>
    <row r="29" spans="1:8" ht="15" x14ac:dyDescent="0.25">
      <c r="A29" s="1"/>
      <c r="B29" s="1"/>
      <c r="C29" s="1"/>
      <c r="D29" s="1"/>
      <c r="E29" s="1"/>
      <c r="F29" s="1"/>
      <c r="G29" s="1"/>
      <c r="H29" s="1"/>
    </row>
    <row r="30" spans="1:8" ht="15" x14ac:dyDescent="0.25">
      <c r="A30" s="1"/>
      <c r="B30" s="1"/>
      <c r="C30" s="1"/>
      <c r="D30" s="1"/>
      <c r="E30" s="1"/>
      <c r="F30" s="1"/>
      <c r="G30" s="1"/>
      <c r="H30" s="1"/>
    </row>
    <row r="31" spans="1:8" ht="15" x14ac:dyDescent="0.25">
      <c r="A31" s="1"/>
      <c r="B31" s="1"/>
      <c r="C31" s="1"/>
      <c r="D31" s="1"/>
      <c r="E31" s="1"/>
      <c r="F31" s="1"/>
      <c r="G31" s="1"/>
      <c r="H31" s="1"/>
    </row>
    <row r="32" spans="1:8" ht="15" x14ac:dyDescent="0.25"/>
    <row r="33" spans="1:8" s="32" customFormat="1" ht="15" x14ac:dyDescent="0.25">
      <c r="A33" s="30" t="s">
        <v>40</v>
      </c>
      <c r="B33" s="30"/>
      <c r="C33" s="30"/>
      <c r="D33" s="30"/>
      <c r="E33" s="30"/>
      <c r="F33" s="30"/>
      <c r="G33" s="30"/>
      <c r="H33" s="30"/>
    </row>
    <row r="34" spans="1:8" s="32" customFormat="1" ht="15" x14ac:dyDescent="0.25">
      <c r="A34" s="34" t="s">
        <v>3</v>
      </c>
      <c r="B34" s="34" t="s">
        <v>41</v>
      </c>
      <c r="C34" s="34" t="s">
        <v>42</v>
      </c>
      <c r="D34" s="34" t="s">
        <v>43</v>
      </c>
      <c r="E34" s="34" t="s">
        <v>44</v>
      </c>
      <c r="F34" s="34" t="s">
        <v>45</v>
      </c>
      <c r="G34" s="34" t="s">
        <v>46</v>
      </c>
      <c r="H34" s="34" t="s">
        <v>47</v>
      </c>
    </row>
    <row r="35" spans="1:8" ht="15" x14ac:dyDescent="0.25">
      <c r="A35" s="10" t="s">
        <v>4</v>
      </c>
      <c r="B35" s="10" t="s">
        <v>48</v>
      </c>
      <c r="C35" s="11">
        <v>290</v>
      </c>
      <c r="D35" s="10" t="s">
        <v>49</v>
      </c>
      <c r="E35" s="10" t="s">
        <v>50</v>
      </c>
      <c r="F35" s="10">
        <v>5</v>
      </c>
      <c r="G35" s="10" t="s">
        <v>49</v>
      </c>
      <c r="H35" s="10" t="s">
        <v>51</v>
      </c>
    </row>
    <row r="36" spans="1:8" ht="15" x14ac:dyDescent="0.25">
      <c r="A36" s="12" t="s">
        <v>52</v>
      </c>
      <c r="B36" s="12" t="s">
        <v>53</v>
      </c>
      <c r="C36" s="13">
        <v>220</v>
      </c>
      <c r="D36" s="12" t="s">
        <v>54</v>
      </c>
      <c r="E36" s="12" t="s">
        <v>55</v>
      </c>
      <c r="F36" s="12">
        <v>3</v>
      </c>
      <c r="G36" s="12" t="s">
        <v>54</v>
      </c>
      <c r="H36" s="12" t="s">
        <v>56</v>
      </c>
    </row>
    <row r="37" spans="1:8" ht="15" x14ac:dyDescent="0.25">
      <c r="A37" s="12" t="s">
        <v>57</v>
      </c>
      <c r="B37" s="12" t="s">
        <v>58</v>
      </c>
      <c r="C37" s="13">
        <v>360</v>
      </c>
      <c r="D37" s="12" t="s">
        <v>49</v>
      </c>
      <c r="E37" s="12" t="s">
        <v>59</v>
      </c>
      <c r="F37" s="12">
        <v>4</v>
      </c>
      <c r="G37" s="12" t="s">
        <v>54</v>
      </c>
      <c r="H37" s="12" t="s">
        <v>60</v>
      </c>
    </row>
    <row r="38" spans="1:8" ht="15" x14ac:dyDescent="0.25">
      <c r="A38" s="12" t="s">
        <v>61</v>
      </c>
      <c r="B38" s="12" t="s">
        <v>62</v>
      </c>
      <c r="C38" s="13">
        <v>0</v>
      </c>
      <c r="D38" s="12" t="s">
        <v>49</v>
      </c>
      <c r="E38" s="12" t="s">
        <v>63</v>
      </c>
      <c r="F38" s="12">
        <v>2</v>
      </c>
      <c r="G38" s="12" t="s">
        <v>54</v>
      </c>
      <c r="H38" s="12" t="s">
        <v>64</v>
      </c>
    </row>
    <row r="39" spans="1:8" ht="15" x14ac:dyDescent="0.25"/>
    <row r="40" spans="1:8" ht="15" x14ac:dyDescent="0.25"/>
    <row r="41" spans="1:8" s="32" customFormat="1" ht="15" x14ac:dyDescent="0.25">
      <c r="A41" s="30" t="s">
        <v>65</v>
      </c>
      <c r="B41" s="30"/>
      <c r="C41" s="30"/>
      <c r="D41" s="30"/>
      <c r="E41" s="30"/>
      <c r="F41" s="30"/>
      <c r="G41" s="30"/>
      <c r="H41" s="30"/>
    </row>
    <row r="42" spans="1:8" s="32" customFormat="1" ht="15" x14ac:dyDescent="0.25">
      <c r="A42" s="30" t="s">
        <v>66</v>
      </c>
      <c r="B42" s="30"/>
      <c r="C42" s="30" t="s">
        <v>67</v>
      </c>
      <c r="D42" s="30"/>
      <c r="E42" s="30" t="s">
        <v>68</v>
      </c>
      <c r="F42" s="30"/>
      <c r="G42" s="30" t="s">
        <v>69</v>
      </c>
      <c r="H42" s="30"/>
    </row>
    <row r="43" spans="1:8" ht="15" x14ac:dyDescent="0.25">
      <c r="A43" s="14" t="s">
        <v>70</v>
      </c>
      <c r="B43" s="10">
        <v>3</v>
      </c>
      <c r="C43" s="14" t="s">
        <v>71</v>
      </c>
      <c r="D43" s="10">
        <v>2</v>
      </c>
      <c r="E43" s="14" t="s">
        <v>72</v>
      </c>
      <c r="F43" s="10">
        <v>3</v>
      </c>
      <c r="G43" s="14" t="s">
        <v>73</v>
      </c>
      <c r="H43" s="10">
        <v>3</v>
      </c>
    </row>
    <row r="44" spans="1:8" ht="15" x14ac:dyDescent="0.25">
      <c r="A44" s="14" t="s">
        <v>74</v>
      </c>
      <c r="B44" s="10">
        <v>3</v>
      </c>
      <c r="C44" s="14" t="s">
        <v>75</v>
      </c>
      <c r="D44" s="10">
        <v>3</v>
      </c>
      <c r="E44" s="14" t="s">
        <v>76</v>
      </c>
      <c r="F44" s="10">
        <v>2</v>
      </c>
      <c r="G44" s="14" t="s">
        <v>77</v>
      </c>
      <c r="H44" s="10">
        <v>2</v>
      </c>
    </row>
    <row r="45" spans="1:8" ht="15" x14ac:dyDescent="0.25">
      <c r="A45" s="14" t="s">
        <v>78</v>
      </c>
      <c r="B45" s="10">
        <v>2</v>
      </c>
      <c r="C45" s="14" t="s">
        <v>79</v>
      </c>
      <c r="D45" s="10">
        <v>2</v>
      </c>
      <c r="E45" s="14" t="s">
        <v>80</v>
      </c>
      <c r="F45" s="10">
        <v>2</v>
      </c>
      <c r="G45" s="14" t="s">
        <v>81</v>
      </c>
      <c r="H45" s="10">
        <v>2</v>
      </c>
    </row>
    <row r="46" spans="1:8" ht="15" x14ac:dyDescent="0.25">
      <c r="A46" t="s">
        <v>82</v>
      </c>
      <c r="B46" s="15">
        <f>SUM(B43:B45)</f>
        <v>8</v>
      </c>
      <c r="C46" t="s">
        <v>82</v>
      </c>
      <c r="D46" s="15">
        <f>SUM(D43:D45)</f>
        <v>7</v>
      </c>
      <c r="E46" t="s">
        <v>82</v>
      </c>
      <c r="F46" s="15">
        <f>SUM(F43:F45)</f>
        <v>7</v>
      </c>
      <c r="G46" t="s">
        <v>82</v>
      </c>
      <c r="H46" s="15">
        <f>SUM(H43:H45)</f>
        <v>7</v>
      </c>
    </row>
    <row r="47" spans="1:8" ht="15" x14ac:dyDescent="0.25"/>
    <row r="48" spans="1:8" ht="15" x14ac:dyDescent="0.25"/>
    <row r="49" spans="1:8" s="32" customFormat="1" ht="15" x14ac:dyDescent="0.25">
      <c r="A49" s="30" t="s">
        <v>83</v>
      </c>
      <c r="B49" s="30"/>
      <c r="C49" s="30"/>
      <c r="D49" s="30"/>
      <c r="E49" s="30"/>
      <c r="F49" s="30"/>
      <c r="G49" s="30"/>
      <c r="H49" s="30"/>
    </row>
    <row r="50" spans="1:8" s="32" customFormat="1" ht="15" x14ac:dyDescent="0.25">
      <c r="A50" s="34" t="s">
        <v>84</v>
      </c>
      <c r="B50" s="34" t="s">
        <v>85</v>
      </c>
      <c r="C50" s="34" t="s">
        <v>86</v>
      </c>
      <c r="D50" s="34" t="s">
        <v>87</v>
      </c>
      <c r="E50" s="34" t="s">
        <v>88</v>
      </c>
      <c r="F50" s="34" t="s">
        <v>89</v>
      </c>
      <c r="G50" s="34" t="s">
        <v>90</v>
      </c>
      <c r="H50" s="34" t="s">
        <v>91</v>
      </c>
    </row>
    <row r="51" spans="1:8" ht="15" x14ac:dyDescent="0.25">
      <c r="A51" s="12" t="s">
        <v>92</v>
      </c>
      <c r="B51" s="10" t="s">
        <v>93</v>
      </c>
      <c r="C51" s="16">
        <v>46113</v>
      </c>
      <c r="D51" s="16">
        <v>46122</v>
      </c>
      <c r="E51" s="10" t="s">
        <v>94</v>
      </c>
      <c r="F51" s="17">
        <v>1</v>
      </c>
      <c r="G51" s="14">
        <f t="shared" ref="G51:G56" ca="1" si="0">D51-TODAY()</f>
        <v>25</v>
      </c>
      <c r="H51" s="10" t="s">
        <v>95</v>
      </c>
    </row>
    <row r="52" spans="1:8" ht="15" x14ac:dyDescent="0.25">
      <c r="A52" s="12" t="s">
        <v>96</v>
      </c>
      <c r="B52" s="10" t="s">
        <v>97</v>
      </c>
      <c r="C52" s="16">
        <v>46117</v>
      </c>
      <c r="D52" s="16">
        <v>46132</v>
      </c>
      <c r="E52" s="10" t="s">
        <v>98</v>
      </c>
      <c r="F52" s="17">
        <v>0.8</v>
      </c>
      <c r="G52" s="14">
        <f t="shared" ca="1" si="0"/>
        <v>35</v>
      </c>
      <c r="H52" s="10" t="s">
        <v>95</v>
      </c>
    </row>
    <row r="53" spans="1:8" ht="15" x14ac:dyDescent="0.25">
      <c r="A53" s="12" t="s">
        <v>99</v>
      </c>
      <c r="B53" s="10" t="s">
        <v>100</v>
      </c>
      <c r="C53" s="16">
        <v>46122</v>
      </c>
      <c r="D53" s="16">
        <v>46157</v>
      </c>
      <c r="E53" s="10" t="s">
        <v>98</v>
      </c>
      <c r="F53" s="17">
        <v>0.5</v>
      </c>
      <c r="G53" s="14">
        <f t="shared" ca="1" si="0"/>
        <v>60</v>
      </c>
      <c r="H53" s="10" t="s">
        <v>95</v>
      </c>
    </row>
    <row r="54" spans="1:8" ht="15" x14ac:dyDescent="0.25">
      <c r="A54" s="12" t="s">
        <v>101</v>
      </c>
      <c r="B54" s="10" t="s">
        <v>102</v>
      </c>
      <c r="C54" s="16">
        <v>46132</v>
      </c>
      <c r="D54" s="16">
        <v>46172</v>
      </c>
      <c r="E54" s="10" t="s">
        <v>103</v>
      </c>
      <c r="F54" s="17">
        <v>0</v>
      </c>
      <c r="G54" s="14">
        <f t="shared" ca="1" si="0"/>
        <v>75</v>
      </c>
      <c r="H54" s="10" t="s">
        <v>95</v>
      </c>
    </row>
    <row r="55" spans="1:8" ht="15" x14ac:dyDescent="0.25">
      <c r="A55" s="12" t="s">
        <v>104</v>
      </c>
      <c r="B55" s="10" t="s">
        <v>97</v>
      </c>
      <c r="C55" s="16">
        <v>46143</v>
      </c>
      <c r="D55" s="16">
        <v>46162</v>
      </c>
      <c r="E55" s="10" t="s">
        <v>103</v>
      </c>
      <c r="F55" s="17">
        <v>0</v>
      </c>
      <c r="G55" s="14">
        <f t="shared" ca="1" si="0"/>
        <v>65</v>
      </c>
      <c r="H55" s="10" t="s">
        <v>105</v>
      </c>
    </row>
    <row r="56" spans="1:8" ht="15" x14ac:dyDescent="0.25">
      <c r="A56" s="12" t="s">
        <v>106</v>
      </c>
      <c r="B56" s="10" t="s">
        <v>107</v>
      </c>
      <c r="C56" s="16">
        <v>46152</v>
      </c>
      <c r="D56" s="16">
        <v>46188</v>
      </c>
      <c r="E56" s="10" t="s">
        <v>103</v>
      </c>
      <c r="F56" s="17">
        <v>0</v>
      </c>
      <c r="G56" s="14">
        <f t="shared" ca="1" si="0"/>
        <v>91</v>
      </c>
      <c r="H56" s="10" t="s">
        <v>105</v>
      </c>
    </row>
  </sheetData>
  <mergeCells count="22">
    <mergeCell ref="A49:H49"/>
    <mergeCell ref="A41:H41"/>
    <mergeCell ref="A42:B42"/>
    <mergeCell ref="C42:D42"/>
    <mergeCell ref="E42:F42"/>
    <mergeCell ref="G42:H42"/>
    <mergeCell ref="A21:D25"/>
    <mergeCell ref="E21:H25"/>
    <mergeCell ref="A27:H27"/>
    <mergeCell ref="A28:H31"/>
    <mergeCell ref="A33:H33"/>
    <mergeCell ref="A12:D12"/>
    <mergeCell ref="E12:H12"/>
    <mergeCell ref="A13:D18"/>
    <mergeCell ref="E13:H18"/>
    <mergeCell ref="A20:D20"/>
    <mergeCell ref="E20:H20"/>
    <mergeCell ref="A1:H2"/>
    <mergeCell ref="A4:D4"/>
    <mergeCell ref="E4:H4"/>
    <mergeCell ref="A5:D10"/>
    <mergeCell ref="E5:H10"/>
  </mergeCells>
  <conditionalFormatting sqref="E51:E56">
    <cfRule type="expression" dxfId="7" priority="2">
      <formula>E51="Completada"</formula>
    </cfRule>
    <cfRule type="expression" dxfId="6" priority="3">
      <formula>E51="En curso"</formula>
    </cfRule>
    <cfRule type="expression" dxfId="5" priority="4">
      <formula>E51="Pendiente"</formula>
    </cfRule>
  </conditionalFormatting>
  <conditionalFormatting sqref="G51:G56">
    <cfRule type="cellIs" dxfId="4" priority="5" operator="lessThan">
      <formula>0</formula>
    </cfRule>
  </conditionalFormatting>
  <pageMargins left="0.75" right="0.75" top="1" bottom="1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operator="equal" xr:uid="{00000000-0002-0000-0100-000000000000}">
          <x14:formula1>
            <xm:f>Listas!$H$2:$H$6</xm:f>
          </x14:formula1>
          <x14:formula2>
            <xm:f>0</xm:f>
          </x14:formula2>
          <xm:sqref>B51:B56</xm:sqref>
        </x14:dataValidation>
        <x14:dataValidation type="list" operator="equal" xr:uid="{00000000-0002-0000-0100-000001000000}">
          <x14:formula1>
            <xm:f>Listas!$F$2:$F$5</xm:f>
          </x14:formula1>
          <x14:formula2>
            <xm:f>0</xm:f>
          </x14:formula2>
          <xm:sqref>E51:E56</xm:sqref>
        </x14:dataValidation>
        <x14:dataValidation type="list" operator="equal" xr:uid="{00000000-0002-0000-0100-000002000000}">
          <x14:formula1>
            <xm:f>Listas!$G$2:$G$4</xm:f>
          </x14:formula1>
          <x14:formula2>
            <xm:f>0</xm:f>
          </x14:formula2>
          <xm:sqref>H51:H56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N86"/>
  <sheetViews>
    <sheetView zoomScaleNormal="100" zoomScalePageLayoutView="60" workbookViewId="0">
      <selection activeCell="A23" sqref="A23:XFD23"/>
    </sheetView>
  </sheetViews>
  <sheetFormatPr baseColWidth="10" defaultColWidth="8.7109375" defaultRowHeight="12.75" customHeight="1" x14ac:dyDescent="0.25"/>
  <cols>
    <col min="1" max="1" width="30" customWidth="1"/>
    <col min="2" max="3" width="16" customWidth="1"/>
    <col min="4" max="4" width="14" customWidth="1"/>
    <col min="5" max="40" width="11" customWidth="1"/>
  </cols>
  <sheetData>
    <row r="1" spans="1:40" ht="15" x14ac:dyDescent="0.25">
      <c r="A1" s="36" t="s">
        <v>108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</row>
    <row r="2" spans="1:40" ht="15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</row>
    <row r="3" spans="1:40" ht="15" x14ac:dyDescent="0.25">
      <c r="A3" s="18" t="s">
        <v>109</v>
      </c>
    </row>
    <row r="4" spans="1:40" ht="15" x14ac:dyDescent="0.25">
      <c r="A4" s="8" t="s">
        <v>110</v>
      </c>
      <c r="B4" s="10" t="s">
        <v>111</v>
      </c>
      <c r="E4" s="35">
        <f>DATE(YEAR('00_Inicio'!$B$9),MONTH('00_Inicio'!$B$9),1)</f>
        <v>46113</v>
      </c>
      <c r="F4" s="35">
        <f t="shared" ref="F4:AN4" si="0">EDATE(E4,1)</f>
        <v>46143</v>
      </c>
      <c r="G4" s="35">
        <f t="shared" si="0"/>
        <v>46174</v>
      </c>
      <c r="H4" s="35">
        <f t="shared" si="0"/>
        <v>46204</v>
      </c>
      <c r="I4" s="35">
        <f t="shared" si="0"/>
        <v>46235</v>
      </c>
      <c r="J4" s="35">
        <f t="shared" si="0"/>
        <v>46266</v>
      </c>
      <c r="K4" s="35">
        <f t="shared" si="0"/>
        <v>46296</v>
      </c>
      <c r="L4" s="35">
        <f t="shared" si="0"/>
        <v>46327</v>
      </c>
      <c r="M4" s="35">
        <f t="shared" si="0"/>
        <v>46357</v>
      </c>
      <c r="N4" s="35">
        <f t="shared" si="0"/>
        <v>46388</v>
      </c>
      <c r="O4" s="35">
        <f t="shared" si="0"/>
        <v>46419</v>
      </c>
      <c r="P4" s="35">
        <f t="shared" si="0"/>
        <v>46447</v>
      </c>
      <c r="Q4" s="35">
        <f t="shared" si="0"/>
        <v>46478</v>
      </c>
      <c r="R4" s="35">
        <f t="shared" si="0"/>
        <v>46508</v>
      </c>
      <c r="S4" s="35">
        <f t="shared" si="0"/>
        <v>46539</v>
      </c>
      <c r="T4" s="35">
        <f t="shared" si="0"/>
        <v>46569</v>
      </c>
      <c r="U4" s="35">
        <f t="shared" si="0"/>
        <v>46600</v>
      </c>
      <c r="V4" s="35">
        <f t="shared" si="0"/>
        <v>46631</v>
      </c>
      <c r="W4" s="35">
        <f t="shared" si="0"/>
        <v>46661</v>
      </c>
      <c r="X4" s="35">
        <f t="shared" si="0"/>
        <v>46692</v>
      </c>
      <c r="Y4" s="35">
        <f t="shared" si="0"/>
        <v>46722</v>
      </c>
      <c r="Z4" s="35">
        <f t="shared" si="0"/>
        <v>46753</v>
      </c>
      <c r="AA4" s="35">
        <f t="shared" si="0"/>
        <v>46784</v>
      </c>
      <c r="AB4" s="35">
        <f t="shared" si="0"/>
        <v>46813</v>
      </c>
      <c r="AC4" s="35">
        <f t="shared" si="0"/>
        <v>46844</v>
      </c>
      <c r="AD4" s="35">
        <f t="shared" si="0"/>
        <v>46874</v>
      </c>
      <c r="AE4" s="35">
        <f t="shared" si="0"/>
        <v>46905</v>
      </c>
      <c r="AF4" s="35">
        <f t="shared" si="0"/>
        <v>46935</v>
      </c>
      <c r="AG4" s="35">
        <f t="shared" si="0"/>
        <v>46966</v>
      </c>
      <c r="AH4" s="35">
        <f t="shared" si="0"/>
        <v>46997</v>
      </c>
      <c r="AI4" s="35">
        <f t="shared" si="0"/>
        <v>47027</v>
      </c>
      <c r="AJ4" s="35">
        <f t="shared" si="0"/>
        <v>47058</v>
      </c>
      <c r="AK4" s="35">
        <f t="shared" si="0"/>
        <v>47088</v>
      </c>
      <c r="AL4" s="35">
        <f t="shared" si="0"/>
        <v>47119</v>
      </c>
      <c r="AM4" s="35">
        <f t="shared" si="0"/>
        <v>47150</v>
      </c>
      <c r="AN4" s="35">
        <f t="shared" si="0"/>
        <v>47178</v>
      </c>
    </row>
    <row r="5" spans="1:40" ht="15" x14ac:dyDescent="0.25">
      <c r="A5" s="8" t="s">
        <v>112</v>
      </c>
      <c r="B5" s="11">
        <v>35000</v>
      </c>
      <c r="E5" s="19">
        <v>1</v>
      </c>
      <c r="F5" s="19">
        <v>2</v>
      </c>
      <c r="G5" s="19">
        <v>3</v>
      </c>
      <c r="H5" s="19">
        <v>4</v>
      </c>
      <c r="I5" s="19">
        <v>5</v>
      </c>
      <c r="J5" s="19">
        <v>6</v>
      </c>
      <c r="K5" s="19">
        <v>7</v>
      </c>
      <c r="L5" s="19">
        <v>8</v>
      </c>
      <c r="M5" s="19">
        <v>9</v>
      </c>
      <c r="N5" s="19">
        <v>10</v>
      </c>
      <c r="O5" s="19">
        <v>11</v>
      </c>
      <c r="P5" s="19">
        <v>12</v>
      </c>
      <c r="Q5" s="19">
        <v>13</v>
      </c>
      <c r="R5" s="19">
        <v>14</v>
      </c>
      <c r="S5" s="19">
        <v>15</v>
      </c>
      <c r="T5" s="19">
        <v>16</v>
      </c>
      <c r="U5" s="19">
        <v>17</v>
      </c>
      <c r="V5" s="19">
        <v>18</v>
      </c>
      <c r="W5" s="19">
        <v>19</v>
      </c>
      <c r="X5" s="19">
        <v>20</v>
      </c>
      <c r="Y5" s="19">
        <v>21</v>
      </c>
      <c r="Z5" s="19">
        <v>22</v>
      </c>
      <c r="AA5" s="19">
        <v>23</v>
      </c>
      <c r="AB5" s="19">
        <v>24</v>
      </c>
      <c r="AC5" s="19">
        <v>25</v>
      </c>
      <c r="AD5" s="19">
        <v>26</v>
      </c>
      <c r="AE5" s="19">
        <v>27</v>
      </c>
      <c r="AF5" s="19">
        <v>28</v>
      </c>
      <c r="AG5" s="19">
        <v>29</v>
      </c>
      <c r="AH5" s="19">
        <v>30</v>
      </c>
      <c r="AI5" s="19">
        <v>31</v>
      </c>
      <c r="AJ5" s="19">
        <v>32</v>
      </c>
      <c r="AK5" s="19">
        <v>33</v>
      </c>
      <c r="AL5" s="19">
        <v>34</v>
      </c>
      <c r="AM5" s="19">
        <v>35</v>
      </c>
      <c r="AN5" s="19">
        <v>36</v>
      </c>
    </row>
    <row r="6" spans="1:40" ht="15" x14ac:dyDescent="0.25">
      <c r="A6" s="8" t="s">
        <v>113</v>
      </c>
      <c r="B6" s="11">
        <v>290</v>
      </c>
    </row>
    <row r="7" spans="1:40" ht="15" x14ac:dyDescent="0.25">
      <c r="A7" s="8" t="s">
        <v>114</v>
      </c>
      <c r="B7" s="11">
        <v>2600</v>
      </c>
    </row>
    <row r="8" spans="1:40" ht="15" x14ac:dyDescent="0.25">
      <c r="A8" s="8" t="s">
        <v>115</v>
      </c>
      <c r="B8" s="11">
        <v>850</v>
      </c>
    </row>
    <row r="9" spans="1:40" ht="15" x14ac:dyDescent="0.25">
      <c r="A9" s="8" t="s">
        <v>116</v>
      </c>
      <c r="B9" s="20">
        <v>0.04</v>
      </c>
    </row>
    <row r="10" spans="1:40" ht="15" x14ac:dyDescent="0.25">
      <c r="A10" s="8" t="s">
        <v>117</v>
      </c>
      <c r="B10" s="20">
        <v>0.03</v>
      </c>
    </row>
    <row r="11" spans="1:40" ht="15" x14ac:dyDescent="0.25">
      <c r="A11" s="8" t="s">
        <v>118</v>
      </c>
      <c r="B11" s="14">
        <f>INDEX(Listas!$B$2:$B$4,MATCH($B$4,Listas!$A$2:$A$4,0))</f>
        <v>1</v>
      </c>
    </row>
    <row r="12" spans="1:40" ht="15" x14ac:dyDescent="0.25">
      <c r="A12" s="8" t="s">
        <v>119</v>
      </c>
      <c r="B12" s="14">
        <f>INDEX(Listas!$C$2:$C$4,MATCH($B$4,Listas!$A$2:$A$4,0))</f>
        <v>1</v>
      </c>
    </row>
    <row r="13" spans="1:40" ht="15" x14ac:dyDescent="0.25">
      <c r="A13" s="8" t="s">
        <v>120</v>
      </c>
      <c r="B13" s="14">
        <f>INDEX(Listas!$D$2:$D$4,MATCH($B$4,Listas!$A$2:$A$4,0))</f>
        <v>1</v>
      </c>
    </row>
    <row r="14" spans="1:40" ht="15" x14ac:dyDescent="0.25">
      <c r="A14" s="8" t="s">
        <v>121</v>
      </c>
      <c r="B14" s="11">
        <v>40000</v>
      </c>
    </row>
    <row r="15" spans="1:40" ht="15" x14ac:dyDescent="0.25">
      <c r="A15" s="8" t="s">
        <v>122</v>
      </c>
      <c r="B15" s="11">
        <v>50000</v>
      </c>
    </row>
    <row r="16" spans="1:40" ht="15" x14ac:dyDescent="0.25">
      <c r="A16" s="8" t="s">
        <v>123</v>
      </c>
      <c r="B16" s="20">
        <v>0.08</v>
      </c>
    </row>
    <row r="17" spans="1:40" ht="15" x14ac:dyDescent="0.25">
      <c r="A17" s="8" t="s">
        <v>124</v>
      </c>
      <c r="B17" s="10">
        <v>24</v>
      </c>
    </row>
    <row r="18" spans="1:40" ht="15" x14ac:dyDescent="0.25">
      <c r="A18" s="8" t="s">
        <v>125</v>
      </c>
      <c r="B18" s="10">
        <v>4</v>
      </c>
    </row>
    <row r="19" spans="1:40" ht="15" x14ac:dyDescent="0.25">
      <c r="A19" s="8" t="s">
        <v>126</v>
      </c>
      <c r="B19" s="11">
        <v>95</v>
      </c>
    </row>
    <row r="20" spans="1:40" ht="15" x14ac:dyDescent="0.25">
      <c r="A20" s="8" t="s">
        <v>127</v>
      </c>
      <c r="B20" s="11">
        <v>980</v>
      </c>
    </row>
    <row r="21" spans="1:40" ht="15" x14ac:dyDescent="0.25">
      <c r="A21" s="8" t="s">
        <v>128</v>
      </c>
      <c r="B21" s="11">
        <v>210</v>
      </c>
    </row>
    <row r="22" spans="1:40" ht="15" x14ac:dyDescent="0.25"/>
    <row r="23" spans="1:40" s="32" customFormat="1" ht="15" x14ac:dyDescent="0.25">
      <c r="A23" s="37" t="s">
        <v>129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</row>
    <row r="24" spans="1:40" ht="15" x14ac:dyDescent="0.25">
      <c r="A24" s="21" t="s">
        <v>130</v>
      </c>
      <c r="E24" s="22">
        <v>3</v>
      </c>
      <c r="F24" s="22">
        <v>4</v>
      </c>
      <c r="G24" s="22">
        <v>4</v>
      </c>
      <c r="H24" s="22">
        <v>5</v>
      </c>
      <c r="I24" s="22">
        <v>5</v>
      </c>
      <c r="J24" s="22">
        <v>6</v>
      </c>
      <c r="K24" s="22">
        <v>6</v>
      </c>
      <c r="L24" s="22">
        <v>6</v>
      </c>
      <c r="M24" s="22">
        <v>7</v>
      </c>
      <c r="N24" s="22">
        <v>7</v>
      </c>
      <c r="O24" s="22">
        <v>8</v>
      </c>
      <c r="P24" s="22">
        <v>8</v>
      </c>
      <c r="Q24" s="22">
        <v>8</v>
      </c>
      <c r="R24" s="22">
        <v>8</v>
      </c>
      <c r="S24" s="22">
        <v>9</v>
      </c>
      <c r="T24" s="22">
        <v>9</v>
      </c>
      <c r="U24" s="22">
        <v>9</v>
      </c>
      <c r="V24" s="22">
        <v>10</v>
      </c>
      <c r="W24" s="22">
        <v>10</v>
      </c>
      <c r="X24" s="22">
        <v>10</v>
      </c>
      <c r="Y24" s="22">
        <v>11</v>
      </c>
      <c r="Z24" s="22">
        <v>11</v>
      </c>
      <c r="AA24" s="22">
        <v>11</v>
      </c>
      <c r="AB24" s="22">
        <v>12</v>
      </c>
      <c r="AC24" s="22">
        <v>12</v>
      </c>
      <c r="AD24" s="22">
        <v>12</v>
      </c>
      <c r="AE24" s="22">
        <v>12</v>
      </c>
      <c r="AF24" s="22">
        <v>13</v>
      </c>
      <c r="AG24" s="22">
        <v>13</v>
      </c>
      <c r="AH24" s="22">
        <v>13</v>
      </c>
      <c r="AI24" s="22">
        <v>14</v>
      </c>
      <c r="AJ24" s="22">
        <v>14</v>
      </c>
      <c r="AK24" s="22">
        <v>14</v>
      </c>
      <c r="AL24" s="22">
        <v>15</v>
      </c>
      <c r="AM24" s="22">
        <v>15</v>
      </c>
      <c r="AN24" s="22">
        <v>15</v>
      </c>
    </row>
    <row r="25" spans="1:40" ht="15" x14ac:dyDescent="0.25">
      <c r="A25" s="21" t="s">
        <v>131</v>
      </c>
      <c r="E25" s="23">
        <f t="shared" ref="E25:AN25" si="1">ROUND(E24*$B$11,0)</f>
        <v>3</v>
      </c>
      <c r="F25" s="23">
        <f t="shared" si="1"/>
        <v>4</v>
      </c>
      <c r="G25" s="23">
        <f t="shared" si="1"/>
        <v>4</v>
      </c>
      <c r="H25" s="23">
        <f t="shared" si="1"/>
        <v>5</v>
      </c>
      <c r="I25" s="23">
        <f t="shared" si="1"/>
        <v>5</v>
      </c>
      <c r="J25" s="23">
        <f t="shared" si="1"/>
        <v>6</v>
      </c>
      <c r="K25" s="23">
        <f t="shared" si="1"/>
        <v>6</v>
      </c>
      <c r="L25" s="23">
        <f t="shared" si="1"/>
        <v>6</v>
      </c>
      <c r="M25" s="23">
        <f t="shared" si="1"/>
        <v>7</v>
      </c>
      <c r="N25" s="23">
        <f t="shared" si="1"/>
        <v>7</v>
      </c>
      <c r="O25" s="23">
        <f t="shared" si="1"/>
        <v>8</v>
      </c>
      <c r="P25" s="23">
        <f t="shared" si="1"/>
        <v>8</v>
      </c>
      <c r="Q25" s="23">
        <f t="shared" si="1"/>
        <v>8</v>
      </c>
      <c r="R25" s="23">
        <f t="shared" si="1"/>
        <v>8</v>
      </c>
      <c r="S25" s="23">
        <f t="shared" si="1"/>
        <v>9</v>
      </c>
      <c r="T25" s="23">
        <f t="shared" si="1"/>
        <v>9</v>
      </c>
      <c r="U25" s="23">
        <f t="shared" si="1"/>
        <v>9</v>
      </c>
      <c r="V25" s="23">
        <f t="shared" si="1"/>
        <v>10</v>
      </c>
      <c r="W25" s="23">
        <f t="shared" si="1"/>
        <v>10</v>
      </c>
      <c r="X25" s="23">
        <f t="shared" si="1"/>
        <v>10</v>
      </c>
      <c r="Y25" s="23">
        <f t="shared" si="1"/>
        <v>11</v>
      </c>
      <c r="Z25" s="23">
        <f t="shared" si="1"/>
        <v>11</v>
      </c>
      <c r="AA25" s="23">
        <f t="shared" si="1"/>
        <v>11</v>
      </c>
      <c r="AB25" s="23">
        <f t="shared" si="1"/>
        <v>12</v>
      </c>
      <c r="AC25" s="23">
        <f t="shared" si="1"/>
        <v>12</v>
      </c>
      <c r="AD25" s="23">
        <f t="shared" si="1"/>
        <v>12</v>
      </c>
      <c r="AE25" s="23">
        <f t="shared" si="1"/>
        <v>12</v>
      </c>
      <c r="AF25" s="23">
        <f t="shared" si="1"/>
        <v>13</v>
      </c>
      <c r="AG25" s="23">
        <f t="shared" si="1"/>
        <v>13</v>
      </c>
      <c r="AH25" s="23">
        <f t="shared" si="1"/>
        <v>13</v>
      </c>
      <c r="AI25" s="23">
        <f t="shared" si="1"/>
        <v>14</v>
      </c>
      <c r="AJ25" s="23">
        <f t="shared" si="1"/>
        <v>14</v>
      </c>
      <c r="AK25" s="23">
        <f t="shared" si="1"/>
        <v>14</v>
      </c>
      <c r="AL25" s="23">
        <f t="shared" si="1"/>
        <v>15</v>
      </c>
      <c r="AM25" s="23">
        <f t="shared" si="1"/>
        <v>15</v>
      </c>
      <c r="AN25" s="23">
        <f t="shared" si="1"/>
        <v>15</v>
      </c>
    </row>
    <row r="26" spans="1:40" ht="15" x14ac:dyDescent="0.25">
      <c r="A26" s="21" t="s">
        <v>132</v>
      </c>
      <c r="E26" s="20">
        <v>0.02</v>
      </c>
      <c r="F26" s="20">
        <v>0.02</v>
      </c>
      <c r="G26" s="20">
        <v>0.02</v>
      </c>
      <c r="H26" s="20">
        <v>0.02</v>
      </c>
      <c r="I26" s="20">
        <v>0.02</v>
      </c>
      <c r="J26" s="20">
        <v>0.02</v>
      </c>
      <c r="K26" s="20">
        <v>0.02</v>
      </c>
      <c r="L26" s="20">
        <v>0.02</v>
      </c>
      <c r="M26" s="20">
        <v>0.02</v>
      </c>
      <c r="N26" s="20">
        <v>0.02</v>
      </c>
      <c r="O26" s="20">
        <v>0.02</v>
      </c>
      <c r="P26" s="20">
        <v>0.02</v>
      </c>
      <c r="Q26" s="20">
        <v>1.7999999999999999E-2</v>
      </c>
      <c r="R26" s="20">
        <v>1.7999999999999999E-2</v>
      </c>
      <c r="S26" s="20">
        <v>1.7999999999999999E-2</v>
      </c>
      <c r="T26" s="20">
        <v>1.7999999999999999E-2</v>
      </c>
      <c r="U26" s="20">
        <v>1.7999999999999999E-2</v>
      </c>
      <c r="V26" s="20">
        <v>1.7999999999999999E-2</v>
      </c>
      <c r="W26" s="20">
        <v>1.7999999999999999E-2</v>
      </c>
      <c r="X26" s="20">
        <v>1.7999999999999999E-2</v>
      </c>
      <c r="Y26" s="20">
        <v>1.7999999999999999E-2</v>
      </c>
      <c r="Z26" s="20">
        <v>1.7999999999999999E-2</v>
      </c>
      <c r="AA26" s="20">
        <v>1.7999999999999999E-2</v>
      </c>
      <c r="AB26" s="20">
        <v>1.7999999999999999E-2</v>
      </c>
      <c r="AC26" s="20">
        <v>1.7000000000000001E-2</v>
      </c>
      <c r="AD26" s="20">
        <v>1.7000000000000001E-2</v>
      </c>
      <c r="AE26" s="20">
        <v>1.7000000000000001E-2</v>
      </c>
      <c r="AF26" s="20">
        <v>1.7000000000000001E-2</v>
      </c>
      <c r="AG26" s="20">
        <v>1.7000000000000001E-2</v>
      </c>
      <c r="AH26" s="20">
        <v>1.7000000000000001E-2</v>
      </c>
      <c r="AI26" s="20">
        <v>1.7000000000000001E-2</v>
      </c>
      <c r="AJ26" s="20">
        <v>1.7000000000000001E-2</v>
      </c>
      <c r="AK26" s="20">
        <v>1.7000000000000001E-2</v>
      </c>
      <c r="AL26" s="20">
        <v>1.7000000000000001E-2</v>
      </c>
      <c r="AM26" s="20">
        <v>1.7000000000000001E-2</v>
      </c>
      <c r="AN26" s="20">
        <v>1.7000000000000001E-2</v>
      </c>
    </row>
    <row r="27" spans="1:40" ht="15" x14ac:dyDescent="0.25">
      <c r="A27" s="21" t="s">
        <v>133</v>
      </c>
      <c r="E27" s="23">
        <f>MAX(0,E25)</f>
        <v>3</v>
      </c>
      <c r="F27" s="23">
        <f t="shared" ref="F27:AN27" si="2">MAX(0,E27+F25-ROUND(E27*F26,0))</f>
        <v>7</v>
      </c>
      <c r="G27" s="23">
        <f t="shared" si="2"/>
        <v>11</v>
      </c>
      <c r="H27" s="23">
        <f t="shared" si="2"/>
        <v>16</v>
      </c>
      <c r="I27" s="23">
        <f t="shared" si="2"/>
        <v>21</v>
      </c>
      <c r="J27" s="23">
        <f t="shared" si="2"/>
        <v>27</v>
      </c>
      <c r="K27" s="23">
        <f t="shared" si="2"/>
        <v>32</v>
      </c>
      <c r="L27" s="23">
        <f t="shared" si="2"/>
        <v>37</v>
      </c>
      <c r="M27" s="23">
        <f t="shared" si="2"/>
        <v>43</v>
      </c>
      <c r="N27" s="23">
        <f t="shared" si="2"/>
        <v>49</v>
      </c>
      <c r="O27" s="23">
        <f t="shared" si="2"/>
        <v>56</v>
      </c>
      <c r="P27" s="23">
        <f t="shared" si="2"/>
        <v>63</v>
      </c>
      <c r="Q27" s="23">
        <f t="shared" si="2"/>
        <v>70</v>
      </c>
      <c r="R27" s="23">
        <f t="shared" si="2"/>
        <v>77</v>
      </c>
      <c r="S27" s="23">
        <f t="shared" si="2"/>
        <v>85</v>
      </c>
      <c r="T27" s="23">
        <f t="shared" si="2"/>
        <v>92</v>
      </c>
      <c r="U27" s="23">
        <f t="shared" si="2"/>
        <v>99</v>
      </c>
      <c r="V27" s="23">
        <f t="shared" si="2"/>
        <v>107</v>
      </c>
      <c r="W27" s="23">
        <f t="shared" si="2"/>
        <v>115</v>
      </c>
      <c r="X27" s="23">
        <f t="shared" si="2"/>
        <v>123</v>
      </c>
      <c r="Y27" s="23">
        <f t="shared" si="2"/>
        <v>132</v>
      </c>
      <c r="Z27" s="23">
        <f t="shared" si="2"/>
        <v>141</v>
      </c>
      <c r="AA27" s="23">
        <f t="shared" si="2"/>
        <v>149</v>
      </c>
      <c r="AB27" s="23">
        <f t="shared" si="2"/>
        <v>158</v>
      </c>
      <c r="AC27" s="23">
        <f t="shared" si="2"/>
        <v>167</v>
      </c>
      <c r="AD27" s="23">
        <f t="shared" si="2"/>
        <v>176</v>
      </c>
      <c r="AE27" s="23">
        <f t="shared" si="2"/>
        <v>185</v>
      </c>
      <c r="AF27" s="23">
        <f t="shared" si="2"/>
        <v>195</v>
      </c>
      <c r="AG27" s="23">
        <f t="shared" si="2"/>
        <v>205</v>
      </c>
      <c r="AH27" s="23">
        <f t="shared" si="2"/>
        <v>215</v>
      </c>
      <c r="AI27" s="23">
        <f t="shared" si="2"/>
        <v>225</v>
      </c>
      <c r="AJ27" s="23">
        <f t="shared" si="2"/>
        <v>235</v>
      </c>
      <c r="AK27" s="23">
        <f t="shared" si="2"/>
        <v>245</v>
      </c>
      <c r="AL27" s="23">
        <f t="shared" si="2"/>
        <v>256</v>
      </c>
      <c r="AM27" s="23">
        <f t="shared" si="2"/>
        <v>267</v>
      </c>
      <c r="AN27" s="23">
        <f t="shared" si="2"/>
        <v>277</v>
      </c>
    </row>
    <row r="28" spans="1:40" ht="15" x14ac:dyDescent="0.25">
      <c r="A28" s="21" t="s">
        <v>134</v>
      </c>
      <c r="E28" s="13">
        <f t="shared" ref="E28:AN28" si="3">$B$6*$B$12*(1+$B$9)^INT((E$5-1)/12)</f>
        <v>290</v>
      </c>
      <c r="F28" s="13">
        <f t="shared" si="3"/>
        <v>290</v>
      </c>
      <c r="G28" s="13">
        <f t="shared" si="3"/>
        <v>290</v>
      </c>
      <c r="H28" s="13">
        <f t="shared" si="3"/>
        <v>290</v>
      </c>
      <c r="I28" s="13">
        <f t="shared" si="3"/>
        <v>290</v>
      </c>
      <c r="J28" s="13">
        <f t="shared" si="3"/>
        <v>290</v>
      </c>
      <c r="K28" s="13">
        <f t="shared" si="3"/>
        <v>290</v>
      </c>
      <c r="L28" s="13">
        <f t="shared" si="3"/>
        <v>290</v>
      </c>
      <c r="M28" s="13">
        <f t="shared" si="3"/>
        <v>290</v>
      </c>
      <c r="N28" s="13">
        <f t="shared" si="3"/>
        <v>290</v>
      </c>
      <c r="O28" s="13">
        <f t="shared" si="3"/>
        <v>290</v>
      </c>
      <c r="P28" s="13">
        <f t="shared" si="3"/>
        <v>290</v>
      </c>
      <c r="Q28" s="13">
        <f t="shared" si="3"/>
        <v>301.60000000000002</v>
      </c>
      <c r="R28" s="13">
        <f t="shared" si="3"/>
        <v>301.60000000000002</v>
      </c>
      <c r="S28" s="13">
        <f t="shared" si="3"/>
        <v>301.60000000000002</v>
      </c>
      <c r="T28" s="13">
        <f t="shared" si="3"/>
        <v>301.60000000000002</v>
      </c>
      <c r="U28" s="13">
        <f t="shared" si="3"/>
        <v>301.60000000000002</v>
      </c>
      <c r="V28" s="13">
        <f t="shared" si="3"/>
        <v>301.60000000000002</v>
      </c>
      <c r="W28" s="13">
        <f t="shared" si="3"/>
        <v>301.60000000000002</v>
      </c>
      <c r="X28" s="13">
        <f t="shared" si="3"/>
        <v>301.60000000000002</v>
      </c>
      <c r="Y28" s="13">
        <f t="shared" si="3"/>
        <v>301.60000000000002</v>
      </c>
      <c r="Z28" s="13">
        <f t="shared" si="3"/>
        <v>301.60000000000002</v>
      </c>
      <c r="AA28" s="13">
        <f t="shared" si="3"/>
        <v>301.60000000000002</v>
      </c>
      <c r="AB28" s="13">
        <f t="shared" si="3"/>
        <v>301.60000000000002</v>
      </c>
      <c r="AC28" s="13">
        <f t="shared" si="3"/>
        <v>313.66400000000004</v>
      </c>
      <c r="AD28" s="13">
        <f t="shared" si="3"/>
        <v>313.66400000000004</v>
      </c>
      <c r="AE28" s="13">
        <f t="shared" si="3"/>
        <v>313.66400000000004</v>
      </c>
      <c r="AF28" s="13">
        <f t="shared" si="3"/>
        <v>313.66400000000004</v>
      </c>
      <c r="AG28" s="13">
        <f t="shared" si="3"/>
        <v>313.66400000000004</v>
      </c>
      <c r="AH28" s="13">
        <f t="shared" si="3"/>
        <v>313.66400000000004</v>
      </c>
      <c r="AI28" s="13">
        <f t="shared" si="3"/>
        <v>313.66400000000004</v>
      </c>
      <c r="AJ28" s="13">
        <f t="shared" si="3"/>
        <v>313.66400000000004</v>
      </c>
      <c r="AK28" s="13">
        <f t="shared" si="3"/>
        <v>313.66400000000004</v>
      </c>
      <c r="AL28" s="13">
        <f t="shared" si="3"/>
        <v>313.66400000000004</v>
      </c>
      <c r="AM28" s="13">
        <f t="shared" si="3"/>
        <v>313.66400000000004</v>
      </c>
      <c r="AN28" s="13">
        <f t="shared" si="3"/>
        <v>313.66400000000004</v>
      </c>
    </row>
    <row r="29" spans="1:40" ht="15" x14ac:dyDescent="0.25">
      <c r="A29" s="21" t="s">
        <v>135</v>
      </c>
      <c r="E29" s="13">
        <f t="shared" ref="E29:AN29" si="4">E27*E28</f>
        <v>870</v>
      </c>
      <c r="F29" s="13">
        <f t="shared" si="4"/>
        <v>2030</v>
      </c>
      <c r="G29" s="13">
        <f t="shared" si="4"/>
        <v>3190</v>
      </c>
      <c r="H29" s="13">
        <f t="shared" si="4"/>
        <v>4640</v>
      </c>
      <c r="I29" s="13">
        <f t="shared" si="4"/>
        <v>6090</v>
      </c>
      <c r="J29" s="13">
        <f t="shared" si="4"/>
        <v>7830</v>
      </c>
      <c r="K29" s="13">
        <f t="shared" si="4"/>
        <v>9280</v>
      </c>
      <c r="L29" s="13">
        <f t="shared" si="4"/>
        <v>10730</v>
      </c>
      <c r="M29" s="13">
        <f t="shared" si="4"/>
        <v>12470</v>
      </c>
      <c r="N29" s="13">
        <f t="shared" si="4"/>
        <v>14210</v>
      </c>
      <c r="O29" s="13">
        <f t="shared" si="4"/>
        <v>16240</v>
      </c>
      <c r="P29" s="13">
        <f t="shared" si="4"/>
        <v>18270</v>
      </c>
      <c r="Q29" s="13">
        <f t="shared" si="4"/>
        <v>21112</v>
      </c>
      <c r="R29" s="13">
        <f t="shared" si="4"/>
        <v>23223.200000000001</v>
      </c>
      <c r="S29" s="13">
        <f t="shared" si="4"/>
        <v>25636.000000000004</v>
      </c>
      <c r="T29" s="13">
        <f t="shared" si="4"/>
        <v>27747.200000000001</v>
      </c>
      <c r="U29" s="13">
        <f t="shared" si="4"/>
        <v>29858.400000000001</v>
      </c>
      <c r="V29" s="13">
        <f t="shared" si="4"/>
        <v>32271.200000000001</v>
      </c>
      <c r="W29" s="13">
        <f t="shared" si="4"/>
        <v>34684</v>
      </c>
      <c r="X29" s="13">
        <f t="shared" si="4"/>
        <v>37096.800000000003</v>
      </c>
      <c r="Y29" s="13">
        <f t="shared" si="4"/>
        <v>39811.200000000004</v>
      </c>
      <c r="Z29" s="13">
        <f t="shared" si="4"/>
        <v>42525.600000000006</v>
      </c>
      <c r="AA29" s="13">
        <f t="shared" si="4"/>
        <v>44938.400000000001</v>
      </c>
      <c r="AB29" s="13">
        <f t="shared" si="4"/>
        <v>47652.800000000003</v>
      </c>
      <c r="AC29" s="13">
        <f t="shared" si="4"/>
        <v>52381.888000000006</v>
      </c>
      <c r="AD29" s="13">
        <f t="shared" si="4"/>
        <v>55204.864000000009</v>
      </c>
      <c r="AE29" s="13">
        <f t="shared" si="4"/>
        <v>58027.840000000011</v>
      </c>
      <c r="AF29" s="13">
        <f t="shared" si="4"/>
        <v>61164.48000000001</v>
      </c>
      <c r="AG29" s="13">
        <f t="shared" si="4"/>
        <v>64301.12000000001</v>
      </c>
      <c r="AH29" s="13">
        <f t="shared" si="4"/>
        <v>67437.760000000009</v>
      </c>
      <c r="AI29" s="13">
        <f t="shared" si="4"/>
        <v>70574.400000000009</v>
      </c>
      <c r="AJ29" s="13">
        <f t="shared" si="4"/>
        <v>73711.040000000008</v>
      </c>
      <c r="AK29" s="13">
        <f t="shared" si="4"/>
        <v>76847.680000000008</v>
      </c>
      <c r="AL29" s="13">
        <f t="shared" si="4"/>
        <v>80297.984000000011</v>
      </c>
      <c r="AM29" s="13">
        <f t="shared" si="4"/>
        <v>83748.288000000015</v>
      </c>
      <c r="AN29" s="13">
        <f t="shared" si="4"/>
        <v>86884.928000000014</v>
      </c>
    </row>
    <row r="30" spans="1:40" ht="15" x14ac:dyDescent="0.25">
      <c r="A30" s="21" t="s">
        <v>136</v>
      </c>
      <c r="E30" s="22">
        <v>1</v>
      </c>
      <c r="F30" s="22">
        <v>1</v>
      </c>
      <c r="G30" s="22">
        <v>2</v>
      </c>
      <c r="H30" s="22">
        <v>2</v>
      </c>
      <c r="I30" s="22">
        <v>2</v>
      </c>
      <c r="J30" s="22">
        <v>2</v>
      </c>
      <c r="K30" s="22">
        <v>2</v>
      </c>
      <c r="L30" s="22">
        <v>3</v>
      </c>
      <c r="M30" s="22">
        <v>2</v>
      </c>
      <c r="N30" s="22">
        <v>3</v>
      </c>
      <c r="O30" s="22">
        <v>2</v>
      </c>
      <c r="P30" s="22">
        <v>3</v>
      </c>
      <c r="Q30" s="22">
        <v>3</v>
      </c>
      <c r="R30" s="22">
        <v>3</v>
      </c>
      <c r="S30" s="22">
        <v>3</v>
      </c>
      <c r="T30" s="22">
        <v>3</v>
      </c>
      <c r="U30" s="22">
        <v>3</v>
      </c>
      <c r="V30" s="22">
        <v>4</v>
      </c>
      <c r="W30" s="22">
        <v>3</v>
      </c>
      <c r="X30" s="22">
        <v>4</v>
      </c>
      <c r="Y30" s="22">
        <v>3</v>
      </c>
      <c r="Z30" s="22">
        <v>4</v>
      </c>
      <c r="AA30" s="22">
        <v>4</v>
      </c>
      <c r="AB30" s="22">
        <v>4</v>
      </c>
      <c r="AC30" s="22">
        <v>4</v>
      </c>
      <c r="AD30" s="22">
        <v>4</v>
      </c>
      <c r="AE30" s="22">
        <v>4</v>
      </c>
      <c r="AF30" s="22">
        <v>5</v>
      </c>
      <c r="AG30" s="22">
        <v>4</v>
      </c>
      <c r="AH30" s="22">
        <v>5</v>
      </c>
      <c r="AI30" s="22">
        <v>4</v>
      </c>
      <c r="AJ30" s="22">
        <v>5</v>
      </c>
      <c r="AK30" s="22">
        <v>5</v>
      </c>
      <c r="AL30" s="22">
        <v>5</v>
      </c>
      <c r="AM30" s="22">
        <v>5</v>
      </c>
      <c r="AN30" s="22">
        <v>5</v>
      </c>
    </row>
    <row r="31" spans="1:40" ht="15" x14ac:dyDescent="0.25">
      <c r="A31" s="21" t="s">
        <v>137</v>
      </c>
      <c r="E31" s="23">
        <f t="shared" ref="E31:AN31" si="5">ROUND(E30*$B$11,0)</f>
        <v>1</v>
      </c>
      <c r="F31" s="23">
        <f t="shared" si="5"/>
        <v>1</v>
      </c>
      <c r="G31" s="23">
        <f t="shared" si="5"/>
        <v>2</v>
      </c>
      <c r="H31" s="23">
        <f t="shared" si="5"/>
        <v>2</v>
      </c>
      <c r="I31" s="23">
        <f t="shared" si="5"/>
        <v>2</v>
      </c>
      <c r="J31" s="23">
        <f t="shared" si="5"/>
        <v>2</v>
      </c>
      <c r="K31" s="23">
        <f t="shared" si="5"/>
        <v>2</v>
      </c>
      <c r="L31" s="23">
        <f t="shared" si="5"/>
        <v>3</v>
      </c>
      <c r="M31" s="23">
        <f t="shared" si="5"/>
        <v>2</v>
      </c>
      <c r="N31" s="23">
        <f t="shared" si="5"/>
        <v>3</v>
      </c>
      <c r="O31" s="23">
        <f t="shared" si="5"/>
        <v>2</v>
      </c>
      <c r="P31" s="23">
        <f t="shared" si="5"/>
        <v>3</v>
      </c>
      <c r="Q31" s="23">
        <f t="shared" si="5"/>
        <v>3</v>
      </c>
      <c r="R31" s="23">
        <f t="shared" si="5"/>
        <v>3</v>
      </c>
      <c r="S31" s="23">
        <f t="shared" si="5"/>
        <v>3</v>
      </c>
      <c r="T31" s="23">
        <f t="shared" si="5"/>
        <v>3</v>
      </c>
      <c r="U31" s="23">
        <f t="shared" si="5"/>
        <v>3</v>
      </c>
      <c r="V31" s="23">
        <f t="shared" si="5"/>
        <v>4</v>
      </c>
      <c r="W31" s="23">
        <f t="shared" si="5"/>
        <v>3</v>
      </c>
      <c r="X31" s="23">
        <f t="shared" si="5"/>
        <v>4</v>
      </c>
      <c r="Y31" s="23">
        <f t="shared" si="5"/>
        <v>3</v>
      </c>
      <c r="Z31" s="23">
        <f t="shared" si="5"/>
        <v>4</v>
      </c>
      <c r="AA31" s="23">
        <f t="shared" si="5"/>
        <v>4</v>
      </c>
      <c r="AB31" s="23">
        <f t="shared" si="5"/>
        <v>4</v>
      </c>
      <c r="AC31" s="23">
        <f t="shared" si="5"/>
        <v>4</v>
      </c>
      <c r="AD31" s="23">
        <f t="shared" si="5"/>
        <v>4</v>
      </c>
      <c r="AE31" s="23">
        <f t="shared" si="5"/>
        <v>4</v>
      </c>
      <c r="AF31" s="23">
        <f t="shared" si="5"/>
        <v>5</v>
      </c>
      <c r="AG31" s="23">
        <f t="shared" si="5"/>
        <v>4</v>
      </c>
      <c r="AH31" s="23">
        <f t="shared" si="5"/>
        <v>5</v>
      </c>
      <c r="AI31" s="23">
        <f t="shared" si="5"/>
        <v>4</v>
      </c>
      <c r="AJ31" s="23">
        <f t="shared" si="5"/>
        <v>5</v>
      </c>
      <c r="AK31" s="23">
        <f t="shared" si="5"/>
        <v>5</v>
      </c>
      <c r="AL31" s="23">
        <f t="shared" si="5"/>
        <v>5</v>
      </c>
      <c r="AM31" s="23">
        <f t="shared" si="5"/>
        <v>5</v>
      </c>
      <c r="AN31" s="23">
        <f t="shared" si="5"/>
        <v>5</v>
      </c>
    </row>
    <row r="32" spans="1:40" ht="15" x14ac:dyDescent="0.25">
      <c r="A32" s="21" t="s">
        <v>138</v>
      </c>
      <c r="E32" s="13">
        <f t="shared" ref="E32:AN32" si="6">$B$7*$B$12*(1+$B$9)^INT((E$5-1)/12)</f>
        <v>2600</v>
      </c>
      <c r="F32" s="13">
        <f t="shared" si="6"/>
        <v>2600</v>
      </c>
      <c r="G32" s="13">
        <f t="shared" si="6"/>
        <v>2600</v>
      </c>
      <c r="H32" s="13">
        <f t="shared" si="6"/>
        <v>2600</v>
      </c>
      <c r="I32" s="13">
        <f t="shared" si="6"/>
        <v>2600</v>
      </c>
      <c r="J32" s="13">
        <f t="shared" si="6"/>
        <v>2600</v>
      </c>
      <c r="K32" s="13">
        <f t="shared" si="6"/>
        <v>2600</v>
      </c>
      <c r="L32" s="13">
        <f t="shared" si="6"/>
        <v>2600</v>
      </c>
      <c r="M32" s="13">
        <f t="shared" si="6"/>
        <v>2600</v>
      </c>
      <c r="N32" s="13">
        <f t="shared" si="6"/>
        <v>2600</v>
      </c>
      <c r="O32" s="13">
        <f t="shared" si="6"/>
        <v>2600</v>
      </c>
      <c r="P32" s="13">
        <f t="shared" si="6"/>
        <v>2600</v>
      </c>
      <c r="Q32" s="13">
        <f t="shared" si="6"/>
        <v>2704</v>
      </c>
      <c r="R32" s="13">
        <f t="shared" si="6"/>
        <v>2704</v>
      </c>
      <c r="S32" s="13">
        <f t="shared" si="6"/>
        <v>2704</v>
      </c>
      <c r="T32" s="13">
        <f t="shared" si="6"/>
        <v>2704</v>
      </c>
      <c r="U32" s="13">
        <f t="shared" si="6"/>
        <v>2704</v>
      </c>
      <c r="V32" s="13">
        <f t="shared" si="6"/>
        <v>2704</v>
      </c>
      <c r="W32" s="13">
        <f t="shared" si="6"/>
        <v>2704</v>
      </c>
      <c r="X32" s="13">
        <f t="shared" si="6"/>
        <v>2704</v>
      </c>
      <c r="Y32" s="13">
        <f t="shared" si="6"/>
        <v>2704</v>
      </c>
      <c r="Z32" s="13">
        <f t="shared" si="6"/>
        <v>2704</v>
      </c>
      <c r="AA32" s="13">
        <f t="shared" si="6"/>
        <v>2704</v>
      </c>
      <c r="AB32" s="13">
        <f t="shared" si="6"/>
        <v>2704</v>
      </c>
      <c r="AC32" s="13">
        <f t="shared" si="6"/>
        <v>2812.1600000000003</v>
      </c>
      <c r="AD32" s="13">
        <f t="shared" si="6"/>
        <v>2812.1600000000003</v>
      </c>
      <c r="AE32" s="13">
        <f t="shared" si="6"/>
        <v>2812.1600000000003</v>
      </c>
      <c r="AF32" s="13">
        <f t="shared" si="6"/>
        <v>2812.1600000000003</v>
      </c>
      <c r="AG32" s="13">
        <f t="shared" si="6"/>
        <v>2812.1600000000003</v>
      </c>
      <c r="AH32" s="13">
        <f t="shared" si="6"/>
        <v>2812.1600000000003</v>
      </c>
      <c r="AI32" s="13">
        <f t="shared" si="6"/>
        <v>2812.1600000000003</v>
      </c>
      <c r="AJ32" s="13">
        <f t="shared" si="6"/>
        <v>2812.1600000000003</v>
      </c>
      <c r="AK32" s="13">
        <f t="shared" si="6"/>
        <v>2812.1600000000003</v>
      </c>
      <c r="AL32" s="13">
        <f t="shared" si="6"/>
        <v>2812.1600000000003</v>
      </c>
      <c r="AM32" s="13">
        <f t="shared" si="6"/>
        <v>2812.1600000000003</v>
      </c>
      <c r="AN32" s="13">
        <f t="shared" si="6"/>
        <v>2812.1600000000003</v>
      </c>
    </row>
    <row r="33" spans="1:40" ht="15" x14ac:dyDescent="0.25">
      <c r="A33" s="21" t="s">
        <v>139</v>
      </c>
      <c r="E33" s="13">
        <f t="shared" ref="E33:AN33" si="7">E31*E32</f>
        <v>2600</v>
      </c>
      <c r="F33" s="13">
        <f t="shared" si="7"/>
        <v>2600</v>
      </c>
      <c r="G33" s="13">
        <f t="shared" si="7"/>
        <v>5200</v>
      </c>
      <c r="H33" s="13">
        <f t="shared" si="7"/>
        <v>5200</v>
      </c>
      <c r="I33" s="13">
        <f t="shared" si="7"/>
        <v>5200</v>
      </c>
      <c r="J33" s="13">
        <f t="shared" si="7"/>
        <v>5200</v>
      </c>
      <c r="K33" s="13">
        <f t="shared" si="7"/>
        <v>5200</v>
      </c>
      <c r="L33" s="13">
        <f t="shared" si="7"/>
        <v>7800</v>
      </c>
      <c r="M33" s="13">
        <f t="shared" si="7"/>
        <v>5200</v>
      </c>
      <c r="N33" s="13">
        <f t="shared" si="7"/>
        <v>7800</v>
      </c>
      <c r="O33" s="13">
        <f t="shared" si="7"/>
        <v>5200</v>
      </c>
      <c r="P33" s="13">
        <f t="shared" si="7"/>
        <v>7800</v>
      </c>
      <c r="Q33" s="13">
        <f t="shared" si="7"/>
        <v>8112</v>
      </c>
      <c r="R33" s="13">
        <f t="shared" si="7"/>
        <v>8112</v>
      </c>
      <c r="S33" s="13">
        <f t="shared" si="7"/>
        <v>8112</v>
      </c>
      <c r="T33" s="13">
        <f t="shared" si="7"/>
        <v>8112</v>
      </c>
      <c r="U33" s="13">
        <f t="shared" si="7"/>
        <v>8112</v>
      </c>
      <c r="V33" s="13">
        <f t="shared" si="7"/>
        <v>10816</v>
      </c>
      <c r="W33" s="13">
        <f t="shared" si="7"/>
        <v>8112</v>
      </c>
      <c r="X33" s="13">
        <f t="shared" si="7"/>
        <v>10816</v>
      </c>
      <c r="Y33" s="13">
        <f t="shared" si="7"/>
        <v>8112</v>
      </c>
      <c r="Z33" s="13">
        <f t="shared" si="7"/>
        <v>10816</v>
      </c>
      <c r="AA33" s="13">
        <f t="shared" si="7"/>
        <v>10816</v>
      </c>
      <c r="AB33" s="13">
        <f t="shared" si="7"/>
        <v>10816</v>
      </c>
      <c r="AC33" s="13">
        <f t="shared" si="7"/>
        <v>11248.640000000001</v>
      </c>
      <c r="AD33" s="13">
        <f t="shared" si="7"/>
        <v>11248.640000000001</v>
      </c>
      <c r="AE33" s="13">
        <f t="shared" si="7"/>
        <v>11248.640000000001</v>
      </c>
      <c r="AF33" s="13">
        <f t="shared" si="7"/>
        <v>14060.800000000001</v>
      </c>
      <c r="AG33" s="13">
        <f t="shared" si="7"/>
        <v>11248.640000000001</v>
      </c>
      <c r="AH33" s="13">
        <f t="shared" si="7"/>
        <v>14060.800000000001</v>
      </c>
      <c r="AI33" s="13">
        <f t="shared" si="7"/>
        <v>11248.640000000001</v>
      </c>
      <c r="AJ33" s="13">
        <f t="shared" si="7"/>
        <v>14060.800000000001</v>
      </c>
      <c r="AK33" s="13">
        <f t="shared" si="7"/>
        <v>14060.800000000001</v>
      </c>
      <c r="AL33" s="13">
        <f t="shared" si="7"/>
        <v>14060.800000000001</v>
      </c>
      <c r="AM33" s="13">
        <f t="shared" si="7"/>
        <v>14060.800000000001</v>
      </c>
      <c r="AN33" s="13">
        <f t="shared" si="7"/>
        <v>14060.800000000001</v>
      </c>
    </row>
    <row r="34" spans="1:40" ht="15" x14ac:dyDescent="0.25">
      <c r="A34" s="21" t="s">
        <v>140</v>
      </c>
      <c r="E34" s="22">
        <v>0</v>
      </c>
      <c r="F34" s="22">
        <v>0</v>
      </c>
      <c r="G34" s="22">
        <v>1</v>
      </c>
      <c r="H34" s="22">
        <v>1</v>
      </c>
      <c r="I34" s="22">
        <v>1</v>
      </c>
      <c r="J34" s="22">
        <v>1</v>
      </c>
      <c r="K34" s="22">
        <v>1</v>
      </c>
      <c r="L34" s="22">
        <v>1</v>
      </c>
      <c r="M34" s="22">
        <v>1</v>
      </c>
      <c r="N34" s="22">
        <v>2</v>
      </c>
      <c r="O34" s="22">
        <v>1</v>
      </c>
      <c r="P34" s="22">
        <v>2</v>
      </c>
      <c r="Q34" s="22">
        <v>1</v>
      </c>
      <c r="R34" s="22">
        <v>2</v>
      </c>
      <c r="S34" s="22">
        <v>2</v>
      </c>
      <c r="T34" s="22">
        <v>2</v>
      </c>
      <c r="U34" s="22">
        <v>2</v>
      </c>
      <c r="V34" s="22">
        <v>2</v>
      </c>
      <c r="W34" s="22">
        <v>2</v>
      </c>
      <c r="X34" s="22">
        <v>2</v>
      </c>
      <c r="Y34" s="22">
        <v>2</v>
      </c>
      <c r="Z34" s="22">
        <v>3</v>
      </c>
      <c r="AA34" s="22">
        <v>2</v>
      </c>
      <c r="AB34" s="22">
        <v>3</v>
      </c>
      <c r="AC34" s="22">
        <v>2</v>
      </c>
      <c r="AD34" s="22">
        <v>3</v>
      </c>
      <c r="AE34" s="22">
        <v>3</v>
      </c>
      <c r="AF34" s="22">
        <v>3</v>
      </c>
      <c r="AG34" s="22">
        <v>3</v>
      </c>
      <c r="AH34" s="22">
        <v>3</v>
      </c>
      <c r="AI34" s="22">
        <v>3</v>
      </c>
      <c r="AJ34" s="22">
        <v>4</v>
      </c>
      <c r="AK34" s="22">
        <v>3</v>
      </c>
      <c r="AL34" s="22">
        <v>4</v>
      </c>
      <c r="AM34" s="22">
        <v>4</v>
      </c>
      <c r="AN34" s="22">
        <v>4</v>
      </c>
    </row>
    <row r="35" spans="1:40" ht="15" x14ac:dyDescent="0.25">
      <c r="A35" s="21" t="s">
        <v>141</v>
      </c>
      <c r="E35" s="23">
        <f t="shared" ref="E35:AN35" si="8">ROUND(E34*$B$11,0)</f>
        <v>0</v>
      </c>
      <c r="F35" s="23">
        <f t="shared" si="8"/>
        <v>0</v>
      </c>
      <c r="G35" s="23">
        <f t="shared" si="8"/>
        <v>1</v>
      </c>
      <c r="H35" s="23">
        <f t="shared" si="8"/>
        <v>1</v>
      </c>
      <c r="I35" s="23">
        <f t="shared" si="8"/>
        <v>1</v>
      </c>
      <c r="J35" s="23">
        <f t="shared" si="8"/>
        <v>1</v>
      </c>
      <c r="K35" s="23">
        <f t="shared" si="8"/>
        <v>1</v>
      </c>
      <c r="L35" s="23">
        <f t="shared" si="8"/>
        <v>1</v>
      </c>
      <c r="M35" s="23">
        <f t="shared" si="8"/>
        <v>1</v>
      </c>
      <c r="N35" s="23">
        <f t="shared" si="8"/>
        <v>2</v>
      </c>
      <c r="O35" s="23">
        <f t="shared" si="8"/>
        <v>1</v>
      </c>
      <c r="P35" s="23">
        <f t="shared" si="8"/>
        <v>2</v>
      </c>
      <c r="Q35" s="23">
        <f t="shared" si="8"/>
        <v>1</v>
      </c>
      <c r="R35" s="23">
        <f t="shared" si="8"/>
        <v>2</v>
      </c>
      <c r="S35" s="23">
        <f t="shared" si="8"/>
        <v>2</v>
      </c>
      <c r="T35" s="23">
        <f t="shared" si="8"/>
        <v>2</v>
      </c>
      <c r="U35" s="23">
        <f t="shared" si="8"/>
        <v>2</v>
      </c>
      <c r="V35" s="23">
        <f t="shared" si="8"/>
        <v>2</v>
      </c>
      <c r="W35" s="23">
        <f t="shared" si="8"/>
        <v>2</v>
      </c>
      <c r="X35" s="23">
        <f t="shared" si="8"/>
        <v>2</v>
      </c>
      <c r="Y35" s="23">
        <f t="shared" si="8"/>
        <v>2</v>
      </c>
      <c r="Z35" s="23">
        <f t="shared" si="8"/>
        <v>3</v>
      </c>
      <c r="AA35" s="23">
        <f t="shared" si="8"/>
        <v>2</v>
      </c>
      <c r="AB35" s="23">
        <f t="shared" si="8"/>
        <v>3</v>
      </c>
      <c r="AC35" s="23">
        <f t="shared" si="8"/>
        <v>2</v>
      </c>
      <c r="AD35" s="23">
        <f t="shared" si="8"/>
        <v>3</v>
      </c>
      <c r="AE35" s="23">
        <f t="shared" si="8"/>
        <v>3</v>
      </c>
      <c r="AF35" s="23">
        <f t="shared" si="8"/>
        <v>3</v>
      </c>
      <c r="AG35" s="23">
        <f t="shared" si="8"/>
        <v>3</v>
      </c>
      <c r="AH35" s="23">
        <f t="shared" si="8"/>
        <v>3</v>
      </c>
      <c r="AI35" s="23">
        <f t="shared" si="8"/>
        <v>3</v>
      </c>
      <c r="AJ35" s="23">
        <f t="shared" si="8"/>
        <v>4</v>
      </c>
      <c r="AK35" s="23">
        <f t="shared" si="8"/>
        <v>3</v>
      </c>
      <c r="AL35" s="23">
        <f t="shared" si="8"/>
        <v>4</v>
      </c>
      <c r="AM35" s="23">
        <f t="shared" si="8"/>
        <v>4</v>
      </c>
      <c r="AN35" s="23">
        <f t="shared" si="8"/>
        <v>4</v>
      </c>
    </row>
    <row r="36" spans="1:40" ht="15" x14ac:dyDescent="0.25">
      <c r="A36" s="21" t="s">
        <v>142</v>
      </c>
      <c r="E36" s="13">
        <f t="shared" ref="E36:AN36" si="9">$B$8*$B$12*(1+$B$9)^INT((E$5-1)/12)</f>
        <v>850</v>
      </c>
      <c r="F36" s="13">
        <f t="shared" si="9"/>
        <v>850</v>
      </c>
      <c r="G36" s="13">
        <f t="shared" si="9"/>
        <v>850</v>
      </c>
      <c r="H36" s="13">
        <f t="shared" si="9"/>
        <v>850</v>
      </c>
      <c r="I36" s="13">
        <f t="shared" si="9"/>
        <v>850</v>
      </c>
      <c r="J36" s="13">
        <f t="shared" si="9"/>
        <v>850</v>
      </c>
      <c r="K36" s="13">
        <f t="shared" si="9"/>
        <v>850</v>
      </c>
      <c r="L36" s="13">
        <f t="shared" si="9"/>
        <v>850</v>
      </c>
      <c r="M36" s="13">
        <f t="shared" si="9"/>
        <v>850</v>
      </c>
      <c r="N36" s="13">
        <f t="shared" si="9"/>
        <v>850</v>
      </c>
      <c r="O36" s="13">
        <f t="shared" si="9"/>
        <v>850</v>
      </c>
      <c r="P36" s="13">
        <f t="shared" si="9"/>
        <v>850</v>
      </c>
      <c r="Q36" s="13">
        <f t="shared" si="9"/>
        <v>884</v>
      </c>
      <c r="R36" s="13">
        <f t="shared" si="9"/>
        <v>884</v>
      </c>
      <c r="S36" s="13">
        <f t="shared" si="9"/>
        <v>884</v>
      </c>
      <c r="T36" s="13">
        <f t="shared" si="9"/>
        <v>884</v>
      </c>
      <c r="U36" s="13">
        <f t="shared" si="9"/>
        <v>884</v>
      </c>
      <c r="V36" s="13">
        <f t="shared" si="9"/>
        <v>884</v>
      </c>
      <c r="W36" s="13">
        <f t="shared" si="9"/>
        <v>884</v>
      </c>
      <c r="X36" s="13">
        <f t="shared" si="9"/>
        <v>884</v>
      </c>
      <c r="Y36" s="13">
        <f t="shared" si="9"/>
        <v>884</v>
      </c>
      <c r="Z36" s="13">
        <f t="shared" si="9"/>
        <v>884</v>
      </c>
      <c r="AA36" s="13">
        <f t="shared" si="9"/>
        <v>884</v>
      </c>
      <c r="AB36" s="13">
        <f t="shared" si="9"/>
        <v>884</v>
      </c>
      <c r="AC36" s="13">
        <f t="shared" si="9"/>
        <v>919.36000000000013</v>
      </c>
      <c r="AD36" s="13">
        <f t="shared" si="9"/>
        <v>919.36000000000013</v>
      </c>
      <c r="AE36" s="13">
        <f t="shared" si="9"/>
        <v>919.36000000000013</v>
      </c>
      <c r="AF36" s="13">
        <f t="shared" si="9"/>
        <v>919.36000000000013</v>
      </c>
      <c r="AG36" s="13">
        <f t="shared" si="9"/>
        <v>919.36000000000013</v>
      </c>
      <c r="AH36" s="13">
        <f t="shared" si="9"/>
        <v>919.36000000000013</v>
      </c>
      <c r="AI36" s="13">
        <f t="shared" si="9"/>
        <v>919.36000000000013</v>
      </c>
      <c r="AJ36" s="13">
        <f t="shared" si="9"/>
        <v>919.36000000000013</v>
      </c>
      <c r="AK36" s="13">
        <f t="shared" si="9"/>
        <v>919.36000000000013</v>
      </c>
      <c r="AL36" s="13">
        <f t="shared" si="9"/>
        <v>919.36000000000013</v>
      </c>
      <c r="AM36" s="13">
        <f t="shared" si="9"/>
        <v>919.36000000000013</v>
      </c>
      <c r="AN36" s="13">
        <f t="shared" si="9"/>
        <v>919.36000000000013</v>
      </c>
    </row>
    <row r="37" spans="1:40" ht="15" x14ac:dyDescent="0.25">
      <c r="A37" s="21" t="s">
        <v>143</v>
      </c>
      <c r="E37" s="13">
        <f t="shared" ref="E37:AN37" si="10">E35*E36</f>
        <v>0</v>
      </c>
      <c r="F37" s="13">
        <f t="shared" si="10"/>
        <v>0</v>
      </c>
      <c r="G37" s="13">
        <f t="shared" si="10"/>
        <v>850</v>
      </c>
      <c r="H37" s="13">
        <f t="shared" si="10"/>
        <v>850</v>
      </c>
      <c r="I37" s="13">
        <f t="shared" si="10"/>
        <v>850</v>
      </c>
      <c r="J37" s="13">
        <f t="shared" si="10"/>
        <v>850</v>
      </c>
      <c r="K37" s="13">
        <f t="shared" si="10"/>
        <v>850</v>
      </c>
      <c r="L37" s="13">
        <f t="shared" si="10"/>
        <v>850</v>
      </c>
      <c r="M37" s="13">
        <f t="shared" si="10"/>
        <v>850</v>
      </c>
      <c r="N37" s="13">
        <f t="shared" si="10"/>
        <v>1700</v>
      </c>
      <c r="O37" s="13">
        <f t="shared" si="10"/>
        <v>850</v>
      </c>
      <c r="P37" s="13">
        <f t="shared" si="10"/>
        <v>1700</v>
      </c>
      <c r="Q37" s="13">
        <f t="shared" si="10"/>
        <v>884</v>
      </c>
      <c r="R37" s="13">
        <f t="shared" si="10"/>
        <v>1768</v>
      </c>
      <c r="S37" s="13">
        <f t="shared" si="10"/>
        <v>1768</v>
      </c>
      <c r="T37" s="13">
        <f t="shared" si="10"/>
        <v>1768</v>
      </c>
      <c r="U37" s="13">
        <f t="shared" si="10"/>
        <v>1768</v>
      </c>
      <c r="V37" s="13">
        <f t="shared" si="10"/>
        <v>1768</v>
      </c>
      <c r="W37" s="13">
        <f t="shared" si="10"/>
        <v>1768</v>
      </c>
      <c r="X37" s="13">
        <f t="shared" si="10"/>
        <v>1768</v>
      </c>
      <c r="Y37" s="13">
        <f t="shared" si="10"/>
        <v>1768</v>
      </c>
      <c r="Z37" s="13">
        <f t="shared" si="10"/>
        <v>2652</v>
      </c>
      <c r="AA37" s="13">
        <f t="shared" si="10"/>
        <v>1768</v>
      </c>
      <c r="AB37" s="13">
        <f t="shared" si="10"/>
        <v>2652</v>
      </c>
      <c r="AC37" s="13">
        <f t="shared" si="10"/>
        <v>1838.7200000000003</v>
      </c>
      <c r="AD37" s="13">
        <f t="shared" si="10"/>
        <v>2758.0800000000004</v>
      </c>
      <c r="AE37" s="13">
        <f t="shared" si="10"/>
        <v>2758.0800000000004</v>
      </c>
      <c r="AF37" s="13">
        <f t="shared" si="10"/>
        <v>2758.0800000000004</v>
      </c>
      <c r="AG37" s="13">
        <f t="shared" si="10"/>
        <v>2758.0800000000004</v>
      </c>
      <c r="AH37" s="13">
        <f t="shared" si="10"/>
        <v>2758.0800000000004</v>
      </c>
      <c r="AI37" s="13">
        <f t="shared" si="10"/>
        <v>2758.0800000000004</v>
      </c>
      <c r="AJ37" s="13">
        <f t="shared" si="10"/>
        <v>3677.4400000000005</v>
      </c>
      <c r="AK37" s="13">
        <f t="shared" si="10"/>
        <v>2758.0800000000004</v>
      </c>
      <c r="AL37" s="13">
        <f t="shared" si="10"/>
        <v>3677.4400000000005</v>
      </c>
      <c r="AM37" s="13">
        <f t="shared" si="10"/>
        <v>3677.4400000000005</v>
      </c>
      <c r="AN37" s="13">
        <f t="shared" si="10"/>
        <v>3677.4400000000005</v>
      </c>
    </row>
    <row r="38" spans="1:40" ht="15" x14ac:dyDescent="0.25">
      <c r="A38" s="8" t="s">
        <v>144</v>
      </c>
      <c r="E38" s="13">
        <f t="shared" ref="E38:AN38" si="11">SUM(E29,E33,E37)</f>
        <v>3470</v>
      </c>
      <c r="F38" s="13">
        <f t="shared" si="11"/>
        <v>4630</v>
      </c>
      <c r="G38" s="13">
        <f t="shared" si="11"/>
        <v>9240</v>
      </c>
      <c r="H38" s="13">
        <f t="shared" si="11"/>
        <v>10690</v>
      </c>
      <c r="I38" s="13">
        <f t="shared" si="11"/>
        <v>12140</v>
      </c>
      <c r="J38" s="13">
        <f t="shared" si="11"/>
        <v>13880</v>
      </c>
      <c r="K38" s="13">
        <f t="shared" si="11"/>
        <v>15330</v>
      </c>
      <c r="L38" s="13">
        <f t="shared" si="11"/>
        <v>19380</v>
      </c>
      <c r="M38" s="13">
        <f t="shared" si="11"/>
        <v>18520</v>
      </c>
      <c r="N38" s="13">
        <f t="shared" si="11"/>
        <v>23710</v>
      </c>
      <c r="O38" s="13">
        <f t="shared" si="11"/>
        <v>22290</v>
      </c>
      <c r="P38" s="13">
        <f t="shared" si="11"/>
        <v>27770</v>
      </c>
      <c r="Q38" s="13">
        <f t="shared" si="11"/>
        <v>30108</v>
      </c>
      <c r="R38" s="13">
        <f t="shared" si="11"/>
        <v>33103.199999999997</v>
      </c>
      <c r="S38" s="13">
        <f t="shared" si="11"/>
        <v>35516</v>
      </c>
      <c r="T38" s="13">
        <f t="shared" si="11"/>
        <v>37627.199999999997</v>
      </c>
      <c r="U38" s="13">
        <f t="shared" si="11"/>
        <v>39738.400000000001</v>
      </c>
      <c r="V38" s="13">
        <f t="shared" si="11"/>
        <v>44855.199999999997</v>
      </c>
      <c r="W38" s="13">
        <f t="shared" si="11"/>
        <v>44564</v>
      </c>
      <c r="X38" s="13">
        <f t="shared" si="11"/>
        <v>49680.800000000003</v>
      </c>
      <c r="Y38" s="13">
        <f t="shared" si="11"/>
        <v>49691.200000000004</v>
      </c>
      <c r="Z38" s="13">
        <f t="shared" si="11"/>
        <v>55993.600000000006</v>
      </c>
      <c r="AA38" s="13">
        <f t="shared" si="11"/>
        <v>57522.400000000001</v>
      </c>
      <c r="AB38" s="13">
        <f t="shared" si="11"/>
        <v>61120.800000000003</v>
      </c>
      <c r="AC38" s="13">
        <f t="shared" si="11"/>
        <v>65469.248000000007</v>
      </c>
      <c r="AD38" s="13">
        <f t="shared" si="11"/>
        <v>69211.584000000017</v>
      </c>
      <c r="AE38" s="13">
        <f t="shared" si="11"/>
        <v>72034.560000000012</v>
      </c>
      <c r="AF38" s="13">
        <f t="shared" si="11"/>
        <v>77983.360000000015</v>
      </c>
      <c r="AG38" s="13">
        <f t="shared" si="11"/>
        <v>78307.840000000011</v>
      </c>
      <c r="AH38" s="13">
        <f t="shared" si="11"/>
        <v>84256.640000000014</v>
      </c>
      <c r="AI38" s="13">
        <f t="shared" si="11"/>
        <v>84581.12000000001</v>
      </c>
      <c r="AJ38" s="13">
        <f t="shared" si="11"/>
        <v>91449.280000000013</v>
      </c>
      <c r="AK38" s="13">
        <f t="shared" si="11"/>
        <v>93666.560000000012</v>
      </c>
      <c r="AL38" s="13">
        <f t="shared" si="11"/>
        <v>98036.224000000017</v>
      </c>
      <c r="AM38" s="13">
        <f t="shared" si="11"/>
        <v>101486.52800000002</v>
      </c>
      <c r="AN38" s="13">
        <f t="shared" si="11"/>
        <v>104623.16800000002</v>
      </c>
    </row>
    <row r="39" spans="1:40" ht="15" x14ac:dyDescent="0.25">
      <c r="A39" s="27" t="s">
        <v>145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</row>
    <row r="40" spans="1:40" ht="15" x14ac:dyDescent="0.25">
      <c r="A40" s="21" t="s">
        <v>146</v>
      </c>
      <c r="E40" s="13">
        <f t="shared" ref="E40:AN40" si="12">$B$19*$B$13*(1+$B$10)^INT((E$5-1)/12)</f>
        <v>95</v>
      </c>
      <c r="F40" s="13">
        <f t="shared" si="12"/>
        <v>95</v>
      </c>
      <c r="G40" s="13">
        <f t="shared" si="12"/>
        <v>95</v>
      </c>
      <c r="H40" s="13">
        <f t="shared" si="12"/>
        <v>95</v>
      </c>
      <c r="I40" s="13">
        <f t="shared" si="12"/>
        <v>95</v>
      </c>
      <c r="J40" s="13">
        <f t="shared" si="12"/>
        <v>95</v>
      </c>
      <c r="K40" s="13">
        <f t="shared" si="12"/>
        <v>95</v>
      </c>
      <c r="L40" s="13">
        <f t="shared" si="12"/>
        <v>95</v>
      </c>
      <c r="M40" s="13">
        <f t="shared" si="12"/>
        <v>95</v>
      </c>
      <c r="N40" s="13">
        <f t="shared" si="12"/>
        <v>95</v>
      </c>
      <c r="O40" s="13">
        <f t="shared" si="12"/>
        <v>95</v>
      </c>
      <c r="P40" s="13">
        <f t="shared" si="12"/>
        <v>95</v>
      </c>
      <c r="Q40" s="13">
        <f t="shared" si="12"/>
        <v>97.850000000000009</v>
      </c>
      <c r="R40" s="13">
        <f t="shared" si="12"/>
        <v>97.850000000000009</v>
      </c>
      <c r="S40" s="13">
        <f t="shared" si="12"/>
        <v>97.850000000000009</v>
      </c>
      <c r="T40" s="13">
        <f t="shared" si="12"/>
        <v>97.850000000000009</v>
      </c>
      <c r="U40" s="13">
        <f t="shared" si="12"/>
        <v>97.850000000000009</v>
      </c>
      <c r="V40" s="13">
        <f t="shared" si="12"/>
        <v>97.850000000000009</v>
      </c>
      <c r="W40" s="13">
        <f t="shared" si="12"/>
        <v>97.850000000000009</v>
      </c>
      <c r="X40" s="13">
        <f t="shared" si="12"/>
        <v>97.850000000000009</v>
      </c>
      <c r="Y40" s="13">
        <f t="shared" si="12"/>
        <v>97.850000000000009</v>
      </c>
      <c r="Z40" s="13">
        <f t="shared" si="12"/>
        <v>97.850000000000009</v>
      </c>
      <c r="AA40" s="13">
        <f t="shared" si="12"/>
        <v>97.850000000000009</v>
      </c>
      <c r="AB40" s="13">
        <f t="shared" si="12"/>
        <v>97.850000000000009</v>
      </c>
      <c r="AC40" s="13">
        <f t="shared" si="12"/>
        <v>100.7855</v>
      </c>
      <c r="AD40" s="13">
        <f t="shared" si="12"/>
        <v>100.7855</v>
      </c>
      <c r="AE40" s="13">
        <f t="shared" si="12"/>
        <v>100.7855</v>
      </c>
      <c r="AF40" s="13">
        <f t="shared" si="12"/>
        <v>100.7855</v>
      </c>
      <c r="AG40" s="13">
        <f t="shared" si="12"/>
        <v>100.7855</v>
      </c>
      <c r="AH40" s="13">
        <f t="shared" si="12"/>
        <v>100.7855</v>
      </c>
      <c r="AI40" s="13">
        <f t="shared" si="12"/>
        <v>100.7855</v>
      </c>
      <c r="AJ40" s="13">
        <f t="shared" si="12"/>
        <v>100.7855</v>
      </c>
      <c r="AK40" s="13">
        <f t="shared" si="12"/>
        <v>100.7855</v>
      </c>
      <c r="AL40" s="13">
        <f t="shared" si="12"/>
        <v>100.7855</v>
      </c>
      <c r="AM40" s="13">
        <f t="shared" si="12"/>
        <v>100.7855</v>
      </c>
      <c r="AN40" s="13">
        <f t="shared" si="12"/>
        <v>100.7855</v>
      </c>
    </row>
    <row r="41" spans="1:40" ht="15" x14ac:dyDescent="0.25">
      <c r="A41" s="21" t="s">
        <v>147</v>
      </c>
      <c r="E41" s="13">
        <f t="shared" ref="E41:AN41" si="13">E27*E40</f>
        <v>285</v>
      </c>
      <c r="F41" s="13">
        <f t="shared" si="13"/>
        <v>665</v>
      </c>
      <c r="G41" s="13">
        <f t="shared" si="13"/>
        <v>1045</v>
      </c>
      <c r="H41" s="13">
        <f t="shared" si="13"/>
        <v>1520</v>
      </c>
      <c r="I41" s="13">
        <f t="shared" si="13"/>
        <v>1995</v>
      </c>
      <c r="J41" s="13">
        <f t="shared" si="13"/>
        <v>2565</v>
      </c>
      <c r="K41" s="13">
        <f t="shared" si="13"/>
        <v>3040</v>
      </c>
      <c r="L41" s="13">
        <f t="shared" si="13"/>
        <v>3515</v>
      </c>
      <c r="M41" s="13">
        <f t="shared" si="13"/>
        <v>4085</v>
      </c>
      <c r="N41" s="13">
        <f t="shared" si="13"/>
        <v>4655</v>
      </c>
      <c r="O41" s="13">
        <f t="shared" si="13"/>
        <v>5320</v>
      </c>
      <c r="P41" s="13">
        <f t="shared" si="13"/>
        <v>5985</v>
      </c>
      <c r="Q41" s="13">
        <f t="shared" si="13"/>
        <v>6849.5000000000009</v>
      </c>
      <c r="R41" s="13">
        <f t="shared" si="13"/>
        <v>7534.4500000000007</v>
      </c>
      <c r="S41" s="13">
        <f t="shared" si="13"/>
        <v>8317.25</v>
      </c>
      <c r="T41" s="13">
        <f t="shared" si="13"/>
        <v>9002.2000000000007</v>
      </c>
      <c r="U41" s="13">
        <f t="shared" si="13"/>
        <v>9687.1500000000015</v>
      </c>
      <c r="V41" s="13">
        <f t="shared" si="13"/>
        <v>10469.950000000001</v>
      </c>
      <c r="W41" s="13">
        <f t="shared" si="13"/>
        <v>11252.750000000002</v>
      </c>
      <c r="X41" s="13">
        <f t="shared" si="13"/>
        <v>12035.550000000001</v>
      </c>
      <c r="Y41" s="13">
        <f t="shared" si="13"/>
        <v>12916.2</v>
      </c>
      <c r="Z41" s="13">
        <f t="shared" si="13"/>
        <v>13796.85</v>
      </c>
      <c r="AA41" s="13">
        <f t="shared" si="13"/>
        <v>14579.650000000001</v>
      </c>
      <c r="AB41" s="13">
        <f t="shared" si="13"/>
        <v>15460.300000000001</v>
      </c>
      <c r="AC41" s="13">
        <f t="shared" si="13"/>
        <v>16831.178499999998</v>
      </c>
      <c r="AD41" s="13">
        <f t="shared" si="13"/>
        <v>17738.248</v>
      </c>
      <c r="AE41" s="13">
        <f t="shared" si="13"/>
        <v>18645.317500000001</v>
      </c>
      <c r="AF41" s="13">
        <f t="shared" si="13"/>
        <v>19653.172500000001</v>
      </c>
      <c r="AG41" s="13">
        <f t="shared" si="13"/>
        <v>20661.0275</v>
      </c>
      <c r="AH41" s="13">
        <f t="shared" si="13"/>
        <v>21668.8825</v>
      </c>
      <c r="AI41" s="13">
        <f t="shared" si="13"/>
        <v>22676.737499999999</v>
      </c>
      <c r="AJ41" s="13">
        <f t="shared" si="13"/>
        <v>23684.592499999999</v>
      </c>
      <c r="AK41" s="13">
        <f t="shared" si="13"/>
        <v>24692.447499999998</v>
      </c>
      <c r="AL41" s="13">
        <f t="shared" si="13"/>
        <v>25801.088</v>
      </c>
      <c r="AM41" s="13">
        <f t="shared" si="13"/>
        <v>26909.728500000001</v>
      </c>
      <c r="AN41" s="13">
        <f t="shared" si="13"/>
        <v>27917.583500000001</v>
      </c>
    </row>
    <row r="42" spans="1:40" ht="15" x14ac:dyDescent="0.25">
      <c r="A42" s="21" t="s">
        <v>148</v>
      </c>
      <c r="E42" s="13">
        <f t="shared" ref="E42:AN42" si="14">$B$20*$B$13*(1+$B$10)^INT((E$5-1)/12)</f>
        <v>980</v>
      </c>
      <c r="F42" s="13">
        <f t="shared" si="14"/>
        <v>980</v>
      </c>
      <c r="G42" s="13">
        <f t="shared" si="14"/>
        <v>980</v>
      </c>
      <c r="H42" s="13">
        <f t="shared" si="14"/>
        <v>980</v>
      </c>
      <c r="I42" s="13">
        <f t="shared" si="14"/>
        <v>980</v>
      </c>
      <c r="J42" s="13">
        <f t="shared" si="14"/>
        <v>980</v>
      </c>
      <c r="K42" s="13">
        <f t="shared" si="14"/>
        <v>980</v>
      </c>
      <c r="L42" s="13">
        <f t="shared" si="14"/>
        <v>980</v>
      </c>
      <c r="M42" s="13">
        <f t="shared" si="14"/>
        <v>980</v>
      </c>
      <c r="N42" s="13">
        <f t="shared" si="14"/>
        <v>980</v>
      </c>
      <c r="O42" s="13">
        <f t="shared" si="14"/>
        <v>980</v>
      </c>
      <c r="P42" s="13">
        <f t="shared" si="14"/>
        <v>980</v>
      </c>
      <c r="Q42" s="13">
        <f t="shared" si="14"/>
        <v>1009.4</v>
      </c>
      <c r="R42" s="13">
        <f t="shared" si="14"/>
        <v>1009.4</v>
      </c>
      <c r="S42" s="13">
        <f t="shared" si="14"/>
        <v>1009.4</v>
      </c>
      <c r="T42" s="13">
        <f t="shared" si="14"/>
        <v>1009.4</v>
      </c>
      <c r="U42" s="13">
        <f t="shared" si="14"/>
        <v>1009.4</v>
      </c>
      <c r="V42" s="13">
        <f t="shared" si="14"/>
        <v>1009.4</v>
      </c>
      <c r="W42" s="13">
        <f t="shared" si="14"/>
        <v>1009.4</v>
      </c>
      <c r="X42" s="13">
        <f t="shared" si="14"/>
        <v>1009.4</v>
      </c>
      <c r="Y42" s="13">
        <f t="shared" si="14"/>
        <v>1009.4</v>
      </c>
      <c r="Z42" s="13">
        <f t="shared" si="14"/>
        <v>1009.4</v>
      </c>
      <c r="AA42" s="13">
        <f t="shared" si="14"/>
        <v>1009.4</v>
      </c>
      <c r="AB42" s="13">
        <f t="shared" si="14"/>
        <v>1009.4</v>
      </c>
      <c r="AC42" s="13">
        <f t="shared" si="14"/>
        <v>1039.682</v>
      </c>
      <c r="AD42" s="13">
        <f t="shared" si="14"/>
        <v>1039.682</v>
      </c>
      <c r="AE42" s="13">
        <f t="shared" si="14"/>
        <v>1039.682</v>
      </c>
      <c r="AF42" s="13">
        <f t="shared" si="14"/>
        <v>1039.682</v>
      </c>
      <c r="AG42" s="13">
        <f t="shared" si="14"/>
        <v>1039.682</v>
      </c>
      <c r="AH42" s="13">
        <f t="shared" si="14"/>
        <v>1039.682</v>
      </c>
      <c r="AI42" s="13">
        <f t="shared" si="14"/>
        <v>1039.682</v>
      </c>
      <c r="AJ42" s="13">
        <f t="shared" si="14"/>
        <v>1039.682</v>
      </c>
      <c r="AK42" s="13">
        <f t="shared" si="14"/>
        <v>1039.682</v>
      </c>
      <c r="AL42" s="13">
        <f t="shared" si="14"/>
        <v>1039.682</v>
      </c>
      <c r="AM42" s="13">
        <f t="shared" si="14"/>
        <v>1039.682</v>
      </c>
      <c r="AN42" s="13">
        <f t="shared" si="14"/>
        <v>1039.682</v>
      </c>
    </row>
    <row r="43" spans="1:40" ht="15" x14ac:dyDescent="0.25">
      <c r="A43" s="21" t="s">
        <v>149</v>
      </c>
      <c r="E43" s="13">
        <f t="shared" ref="E43:AN43" si="15">E31*E42</f>
        <v>980</v>
      </c>
      <c r="F43" s="13">
        <f t="shared" si="15"/>
        <v>980</v>
      </c>
      <c r="G43" s="13">
        <f t="shared" si="15"/>
        <v>1960</v>
      </c>
      <c r="H43" s="13">
        <f t="shared" si="15"/>
        <v>1960</v>
      </c>
      <c r="I43" s="13">
        <f t="shared" si="15"/>
        <v>1960</v>
      </c>
      <c r="J43" s="13">
        <f t="shared" si="15"/>
        <v>1960</v>
      </c>
      <c r="K43" s="13">
        <f t="shared" si="15"/>
        <v>1960</v>
      </c>
      <c r="L43" s="13">
        <f t="shared" si="15"/>
        <v>2940</v>
      </c>
      <c r="M43" s="13">
        <f t="shared" si="15"/>
        <v>1960</v>
      </c>
      <c r="N43" s="13">
        <f t="shared" si="15"/>
        <v>2940</v>
      </c>
      <c r="O43" s="13">
        <f t="shared" si="15"/>
        <v>1960</v>
      </c>
      <c r="P43" s="13">
        <f t="shared" si="15"/>
        <v>2940</v>
      </c>
      <c r="Q43" s="13">
        <f t="shared" si="15"/>
        <v>3028.2</v>
      </c>
      <c r="R43" s="13">
        <f t="shared" si="15"/>
        <v>3028.2</v>
      </c>
      <c r="S43" s="13">
        <f t="shared" si="15"/>
        <v>3028.2</v>
      </c>
      <c r="T43" s="13">
        <f t="shared" si="15"/>
        <v>3028.2</v>
      </c>
      <c r="U43" s="13">
        <f t="shared" si="15"/>
        <v>3028.2</v>
      </c>
      <c r="V43" s="13">
        <f t="shared" si="15"/>
        <v>4037.6</v>
      </c>
      <c r="W43" s="13">
        <f t="shared" si="15"/>
        <v>3028.2</v>
      </c>
      <c r="X43" s="13">
        <f t="shared" si="15"/>
        <v>4037.6</v>
      </c>
      <c r="Y43" s="13">
        <f t="shared" si="15"/>
        <v>3028.2</v>
      </c>
      <c r="Z43" s="13">
        <f t="shared" si="15"/>
        <v>4037.6</v>
      </c>
      <c r="AA43" s="13">
        <f t="shared" si="15"/>
        <v>4037.6</v>
      </c>
      <c r="AB43" s="13">
        <f t="shared" si="15"/>
        <v>4037.6</v>
      </c>
      <c r="AC43" s="13">
        <f t="shared" si="15"/>
        <v>4158.7280000000001</v>
      </c>
      <c r="AD43" s="13">
        <f t="shared" si="15"/>
        <v>4158.7280000000001</v>
      </c>
      <c r="AE43" s="13">
        <f t="shared" si="15"/>
        <v>4158.7280000000001</v>
      </c>
      <c r="AF43" s="13">
        <f t="shared" si="15"/>
        <v>5198.41</v>
      </c>
      <c r="AG43" s="13">
        <f t="shared" si="15"/>
        <v>4158.7280000000001</v>
      </c>
      <c r="AH43" s="13">
        <f t="shared" si="15"/>
        <v>5198.41</v>
      </c>
      <c r="AI43" s="13">
        <f t="shared" si="15"/>
        <v>4158.7280000000001</v>
      </c>
      <c r="AJ43" s="13">
        <f t="shared" si="15"/>
        <v>5198.41</v>
      </c>
      <c r="AK43" s="13">
        <f t="shared" si="15"/>
        <v>5198.41</v>
      </c>
      <c r="AL43" s="13">
        <f t="shared" si="15"/>
        <v>5198.41</v>
      </c>
      <c r="AM43" s="13">
        <f t="shared" si="15"/>
        <v>5198.41</v>
      </c>
      <c r="AN43" s="13">
        <f t="shared" si="15"/>
        <v>5198.41</v>
      </c>
    </row>
    <row r="44" spans="1:40" ht="15" x14ac:dyDescent="0.25">
      <c r="A44" s="21" t="s">
        <v>150</v>
      </c>
      <c r="E44" s="13">
        <f t="shared" ref="E44:AN44" si="16">$B$21*$B$13*(1+$B$10)^INT((E$5-1)/12)</f>
        <v>210</v>
      </c>
      <c r="F44" s="13">
        <f t="shared" si="16"/>
        <v>210</v>
      </c>
      <c r="G44" s="13">
        <f t="shared" si="16"/>
        <v>210</v>
      </c>
      <c r="H44" s="13">
        <f t="shared" si="16"/>
        <v>210</v>
      </c>
      <c r="I44" s="13">
        <f t="shared" si="16"/>
        <v>210</v>
      </c>
      <c r="J44" s="13">
        <f t="shared" si="16"/>
        <v>210</v>
      </c>
      <c r="K44" s="13">
        <f t="shared" si="16"/>
        <v>210</v>
      </c>
      <c r="L44" s="13">
        <f t="shared" si="16"/>
        <v>210</v>
      </c>
      <c r="M44" s="13">
        <f t="shared" si="16"/>
        <v>210</v>
      </c>
      <c r="N44" s="13">
        <f t="shared" si="16"/>
        <v>210</v>
      </c>
      <c r="O44" s="13">
        <f t="shared" si="16"/>
        <v>210</v>
      </c>
      <c r="P44" s="13">
        <f t="shared" si="16"/>
        <v>210</v>
      </c>
      <c r="Q44" s="13">
        <f t="shared" si="16"/>
        <v>216.3</v>
      </c>
      <c r="R44" s="13">
        <f t="shared" si="16"/>
        <v>216.3</v>
      </c>
      <c r="S44" s="13">
        <f t="shared" si="16"/>
        <v>216.3</v>
      </c>
      <c r="T44" s="13">
        <f t="shared" si="16"/>
        <v>216.3</v>
      </c>
      <c r="U44" s="13">
        <f t="shared" si="16"/>
        <v>216.3</v>
      </c>
      <c r="V44" s="13">
        <f t="shared" si="16"/>
        <v>216.3</v>
      </c>
      <c r="W44" s="13">
        <f t="shared" si="16"/>
        <v>216.3</v>
      </c>
      <c r="X44" s="13">
        <f t="shared" si="16"/>
        <v>216.3</v>
      </c>
      <c r="Y44" s="13">
        <f t="shared" si="16"/>
        <v>216.3</v>
      </c>
      <c r="Z44" s="13">
        <f t="shared" si="16"/>
        <v>216.3</v>
      </c>
      <c r="AA44" s="13">
        <f t="shared" si="16"/>
        <v>216.3</v>
      </c>
      <c r="AB44" s="13">
        <f t="shared" si="16"/>
        <v>216.3</v>
      </c>
      <c r="AC44" s="13">
        <f t="shared" si="16"/>
        <v>222.78899999999999</v>
      </c>
      <c r="AD44" s="13">
        <f t="shared" si="16"/>
        <v>222.78899999999999</v>
      </c>
      <c r="AE44" s="13">
        <f t="shared" si="16"/>
        <v>222.78899999999999</v>
      </c>
      <c r="AF44" s="13">
        <f t="shared" si="16"/>
        <v>222.78899999999999</v>
      </c>
      <c r="AG44" s="13">
        <f t="shared" si="16"/>
        <v>222.78899999999999</v>
      </c>
      <c r="AH44" s="13">
        <f t="shared" si="16"/>
        <v>222.78899999999999</v>
      </c>
      <c r="AI44" s="13">
        <f t="shared" si="16"/>
        <v>222.78899999999999</v>
      </c>
      <c r="AJ44" s="13">
        <f t="shared" si="16"/>
        <v>222.78899999999999</v>
      </c>
      <c r="AK44" s="13">
        <f t="shared" si="16"/>
        <v>222.78899999999999</v>
      </c>
      <c r="AL44" s="13">
        <f t="shared" si="16"/>
        <v>222.78899999999999</v>
      </c>
      <c r="AM44" s="13">
        <f t="shared" si="16"/>
        <v>222.78899999999999</v>
      </c>
      <c r="AN44" s="13">
        <f t="shared" si="16"/>
        <v>222.78899999999999</v>
      </c>
    </row>
    <row r="45" spans="1:40" ht="15" x14ac:dyDescent="0.25">
      <c r="A45" s="21" t="s">
        <v>151</v>
      </c>
      <c r="E45" s="13">
        <f t="shared" ref="E45:AN45" si="17">E35*E44</f>
        <v>0</v>
      </c>
      <c r="F45" s="13">
        <f t="shared" si="17"/>
        <v>0</v>
      </c>
      <c r="G45" s="13">
        <f t="shared" si="17"/>
        <v>210</v>
      </c>
      <c r="H45" s="13">
        <f t="shared" si="17"/>
        <v>210</v>
      </c>
      <c r="I45" s="13">
        <f t="shared" si="17"/>
        <v>210</v>
      </c>
      <c r="J45" s="13">
        <f t="shared" si="17"/>
        <v>210</v>
      </c>
      <c r="K45" s="13">
        <f t="shared" si="17"/>
        <v>210</v>
      </c>
      <c r="L45" s="13">
        <f t="shared" si="17"/>
        <v>210</v>
      </c>
      <c r="M45" s="13">
        <f t="shared" si="17"/>
        <v>210</v>
      </c>
      <c r="N45" s="13">
        <f t="shared" si="17"/>
        <v>420</v>
      </c>
      <c r="O45" s="13">
        <f t="shared" si="17"/>
        <v>210</v>
      </c>
      <c r="P45" s="13">
        <f t="shared" si="17"/>
        <v>420</v>
      </c>
      <c r="Q45" s="13">
        <f t="shared" si="17"/>
        <v>216.3</v>
      </c>
      <c r="R45" s="13">
        <f t="shared" si="17"/>
        <v>432.6</v>
      </c>
      <c r="S45" s="13">
        <f t="shared" si="17"/>
        <v>432.6</v>
      </c>
      <c r="T45" s="13">
        <f t="shared" si="17"/>
        <v>432.6</v>
      </c>
      <c r="U45" s="13">
        <f t="shared" si="17"/>
        <v>432.6</v>
      </c>
      <c r="V45" s="13">
        <f t="shared" si="17"/>
        <v>432.6</v>
      </c>
      <c r="W45" s="13">
        <f t="shared" si="17"/>
        <v>432.6</v>
      </c>
      <c r="X45" s="13">
        <f t="shared" si="17"/>
        <v>432.6</v>
      </c>
      <c r="Y45" s="13">
        <f t="shared" si="17"/>
        <v>432.6</v>
      </c>
      <c r="Z45" s="13">
        <f t="shared" si="17"/>
        <v>648.90000000000009</v>
      </c>
      <c r="AA45" s="13">
        <f t="shared" si="17"/>
        <v>432.6</v>
      </c>
      <c r="AB45" s="13">
        <f t="shared" si="17"/>
        <v>648.90000000000009</v>
      </c>
      <c r="AC45" s="13">
        <f t="shared" si="17"/>
        <v>445.57799999999997</v>
      </c>
      <c r="AD45" s="13">
        <f t="shared" si="17"/>
        <v>668.36699999999996</v>
      </c>
      <c r="AE45" s="13">
        <f t="shared" si="17"/>
        <v>668.36699999999996</v>
      </c>
      <c r="AF45" s="13">
        <f t="shared" si="17"/>
        <v>668.36699999999996</v>
      </c>
      <c r="AG45" s="13">
        <f t="shared" si="17"/>
        <v>668.36699999999996</v>
      </c>
      <c r="AH45" s="13">
        <f t="shared" si="17"/>
        <v>668.36699999999996</v>
      </c>
      <c r="AI45" s="13">
        <f t="shared" si="17"/>
        <v>668.36699999999996</v>
      </c>
      <c r="AJ45" s="13">
        <f t="shared" si="17"/>
        <v>891.15599999999995</v>
      </c>
      <c r="AK45" s="13">
        <f t="shared" si="17"/>
        <v>668.36699999999996</v>
      </c>
      <c r="AL45" s="13">
        <f t="shared" si="17"/>
        <v>891.15599999999995</v>
      </c>
      <c r="AM45" s="13">
        <f t="shared" si="17"/>
        <v>891.15599999999995</v>
      </c>
      <c r="AN45" s="13">
        <f t="shared" si="17"/>
        <v>891.15599999999995</v>
      </c>
    </row>
    <row r="46" spans="1:40" ht="15" x14ac:dyDescent="0.25">
      <c r="A46" s="8" t="s">
        <v>152</v>
      </c>
      <c r="E46" s="13">
        <f t="shared" ref="E46:AN46" si="18">SUM(E41,E43,E45)</f>
        <v>1265</v>
      </c>
      <c r="F46" s="13">
        <f t="shared" si="18"/>
        <v>1645</v>
      </c>
      <c r="G46" s="13">
        <f t="shared" si="18"/>
        <v>3215</v>
      </c>
      <c r="H46" s="13">
        <f t="shared" si="18"/>
        <v>3690</v>
      </c>
      <c r="I46" s="13">
        <f t="shared" si="18"/>
        <v>4165</v>
      </c>
      <c r="J46" s="13">
        <f t="shared" si="18"/>
        <v>4735</v>
      </c>
      <c r="K46" s="13">
        <f t="shared" si="18"/>
        <v>5210</v>
      </c>
      <c r="L46" s="13">
        <f t="shared" si="18"/>
        <v>6665</v>
      </c>
      <c r="M46" s="13">
        <f t="shared" si="18"/>
        <v>6255</v>
      </c>
      <c r="N46" s="13">
        <f t="shared" si="18"/>
        <v>8015</v>
      </c>
      <c r="O46" s="13">
        <f t="shared" si="18"/>
        <v>7490</v>
      </c>
      <c r="P46" s="13">
        <f t="shared" si="18"/>
        <v>9345</v>
      </c>
      <c r="Q46" s="13">
        <f t="shared" si="18"/>
        <v>10094</v>
      </c>
      <c r="R46" s="13">
        <f t="shared" si="18"/>
        <v>10995.250000000002</v>
      </c>
      <c r="S46" s="13">
        <f t="shared" si="18"/>
        <v>11778.050000000001</v>
      </c>
      <c r="T46" s="13">
        <f t="shared" si="18"/>
        <v>12463.000000000002</v>
      </c>
      <c r="U46" s="13">
        <f t="shared" si="18"/>
        <v>13147.950000000003</v>
      </c>
      <c r="V46" s="13">
        <f t="shared" si="18"/>
        <v>14940.150000000001</v>
      </c>
      <c r="W46" s="13">
        <f t="shared" si="18"/>
        <v>14713.550000000001</v>
      </c>
      <c r="X46" s="13">
        <f t="shared" si="18"/>
        <v>16505.75</v>
      </c>
      <c r="Y46" s="13">
        <f t="shared" si="18"/>
        <v>16377.000000000002</v>
      </c>
      <c r="Z46" s="13">
        <f t="shared" si="18"/>
        <v>18483.350000000002</v>
      </c>
      <c r="AA46" s="13">
        <f t="shared" si="18"/>
        <v>19049.849999999999</v>
      </c>
      <c r="AB46" s="13">
        <f t="shared" si="18"/>
        <v>20146.800000000003</v>
      </c>
      <c r="AC46" s="13">
        <f t="shared" si="18"/>
        <v>21435.484499999999</v>
      </c>
      <c r="AD46" s="13">
        <f t="shared" si="18"/>
        <v>22565.342999999997</v>
      </c>
      <c r="AE46" s="13">
        <f t="shared" si="18"/>
        <v>23472.412499999999</v>
      </c>
      <c r="AF46" s="13">
        <f t="shared" si="18"/>
        <v>25519.949499999999</v>
      </c>
      <c r="AG46" s="13">
        <f t="shared" si="18"/>
        <v>25488.122499999998</v>
      </c>
      <c r="AH46" s="13">
        <f t="shared" si="18"/>
        <v>27535.659499999998</v>
      </c>
      <c r="AI46" s="13">
        <f t="shared" si="18"/>
        <v>27503.832499999997</v>
      </c>
      <c r="AJ46" s="13">
        <f t="shared" si="18"/>
        <v>29774.158499999998</v>
      </c>
      <c r="AK46" s="13">
        <f t="shared" si="18"/>
        <v>30559.224499999997</v>
      </c>
      <c r="AL46" s="13">
        <f t="shared" si="18"/>
        <v>31890.653999999999</v>
      </c>
      <c r="AM46" s="13">
        <f t="shared" si="18"/>
        <v>32999.294500000004</v>
      </c>
      <c r="AN46" s="13">
        <f t="shared" si="18"/>
        <v>34007.1495</v>
      </c>
    </row>
    <row r="47" spans="1:40" ht="15" x14ac:dyDescent="0.25">
      <c r="A47" s="8" t="s">
        <v>153</v>
      </c>
      <c r="E47" s="13">
        <f t="shared" ref="E47:AN47" si="19">E38-E46</f>
        <v>2205</v>
      </c>
      <c r="F47" s="13">
        <f t="shared" si="19"/>
        <v>2985</v>
      </c>
      <c r="G47" s="13">
        <f t="shared" si="19"/>
        <v>6025</v>
      </c>
      <c r="H47" s="13">
        <f t="shared" si="19"/>
        <v>7000</v>
      </c>
      <c r="I47" s="13">
        <f t="shared" si="19"/>
        <v>7975</v>
      </c>
      <c r="J47" s="13">
        <f t="shared" si="19"/>
        <v>9145</v>
      </c>
      <c r="K47" s="13">
        <f t="shared" si="19"/>
        <v>10120</v>
      </c>
      <c r="L47" s="13">
        <f t="shared" si="19"/>
        <v>12715</v>
      </c>
      <c r="M47" s="13">
        <f t="shared" si="19"/>
        <v>12265</v>
      </c>
      <c r="N47" s="13">
        <f t="shared" si="19"/>
        <v>15695</v>
      </c>
      <c r="O47" s="13">
        <f t="shared" si="19"/>
        <v>14800</v>
      </c>
      <c r="P47" s="13">
        <f t="shared" si="19"/>
        <v>18425</v>
      </c>
      <c r="Q47" s="13">
        <f t="shared" si="19"/>
        <v>20014</v>
      </c>
      <c r="R47" s="13">
        <f t="shared" si="19"/>
        <v>22107.949999999997</v>
      </c>
      <c r="S47" s="13">
        <f t="shared" si="19"/>
        <v>23737.949999999997</v>
      </c>
      <c r="T47" s="13">
        <f t="shared" si="19"/>
        <v>25164.199999999997</v>
      </c>
      <c r="U47" s="13">
        <f t="shared" si="19"/>
        <v>26590.449999999997</v>
      </c>
      <c r="V47" s="13">
        <f t="shared" si="19"/>
        <v>29915.049999999996</v>
      </c>
      <c r="W47" s="13">
        <f t="shared" si="19"/>
        <v>29850.449999999997</v>
      </c>
      <c r="X47" s="13">
        <f t="shared" si="19"/>
        <v>33175.050000000003</v>
      </c>
      <c r="Y47" s="13">
        <f t="shared" si="19"/>
        <v>33314.200000000004</v>
      </c>
      <c r="Z47" s="13">
        <f t="shared" si="19"/>
        <v>37510.25</v>
      </c>
      <c r="AA47" s="13">
        <f t="shared" si="19"/>
        <v>38472.550000000003</v>
      </c>
      <c r="AB47" s="13">
        <f t="shared" si="19"/>
        <v>40974</v>
      </c>
      <c r="AC47" s="13">
        <f t="shared" si="19"/>
        <v>44033.763500000008</v>
      </c>
      <c r="AD47" s="13">
        <f t="shared" si="19"/>
        <v>46646.241000000024</v>
      </c>
      <c r="AE47" s="13">
        <f t="shared" si="19"/>
        <v>48562.147500000014</v>
      </c>
      <c r="AF47" s="13">
        <f t="shared" si="19"/>
        <v>52463.410500000013</v>
      </c>
      <c r="AG47" s="13">
        <f t="shared" si="19"/>
        <v>52819.717500000013</v>
      </c>
      <c r="AH47" s="13">
        <f t="shared" si="19"/>
        <v>56720.98050000002</v>
      </c>
      <c r="AI47" s="13">
        <f t="shared" si="19"/>
        <v>57077.287500000013</v>
      </c>
      <c r="AJ47" s="13">
        <f t="shared" si="19"/>
        <v>61675.121500000016</v>
      </c>
      <c r="AK47" s="13">
        <f t="shared" si="19"/>
        <v>63107.335500000016</v>
      </c>
      <c r="AL47" s="13">
        <f t="shared" si="19"/>
        <v>66145.570000000022</v>
      </c>
      <c r="AM47" s="13">
        <f t="shared" si="19"/>
        <v>68487.233500000017</v>
      </c>
      <c r="AN47" s="13">
        <f t="shared" si="19"/>
        <v>70616.01850000002</v>
      </c>
    </row>
    <row r="48" spans="1:40" ht="15" x14ac:dyDescent="0.25">
      <c r="A48" s="8" t="s">
        <v>154</v>
      </c>
      <c r="E48" s="17">
        <f t="shared" ref="E48:AN48" si="20">IF(E38=0,0,E47/E38)</f>
        <v>0.63544668587896258</v>
      </c>
      <c r="F48" s="17">
        <f t="shared" si="20"/>
        <v>0.64470842332613387</v>
      </c>
      <c r="G48" s="17">
        <f t="shared" si="20"/>
        <v>0.65205627705627711</v>
      </c>
      <c r="H48" s="17">
        <f t="shared" si="20"/>
        <v>0.65481758652946676</v>
      </c>
      <c r="I48" s="17">
        <f t="shared" si="20"/>
        <v>0.65691927512355852</v>
      </c>
      <c r="J48" s="17">
        <f t="shared" si="20"/>
        <v>0.65886167146974062</v>
      </c>
      <c r="K48" s="17">
        <f t="shared" si="20"/>
        <v>0.66014350945857792</v>
      </c>
      <c r="L48" s="17">
        <f t="shared" si="20"/>
        <v>0.65608875128998967</v>
      </c>
      <c r="M48" s="17">
        <f t="shared" si="20"/>
        <v>0.66225701943844495</v>
      </c>
      <c r="N48" s="17">
        <f t="shared" si="20"/>
        <v>0.66195698017714044</v>
      </c>
      <c r="O48" s="17">
        <f t="shared" si="20"/>
        <v>0.66397487662628984</v>
      </c>
      <c r="P48" s="17">
        <f t="shared" si="20"/>
        <v>0.66348577601728487</v>
      </c>
      <c r="Q48" s="17">
        <f t="shared" si="20"/>
        <v>0.66474026836721134</v>
      </c>
      <c r="R48" s="17">
        <f t="shared" si="20"/>
        <v>0.66784933178665506</v>
      </c>
      <c r="S48" s="17">
        <f t="shared" si="20"/>
        <v>0.66837340916769894</v>
      </c>
      <c r="T48" s="17">
        <f t="shared" si="20"/>
        <v>0.6687768422843049</v>
      </c>
      <c r="U48" s="17">
        <f t="shared" si="20"/>
        <v>0.66913740865258786</v>
      </c>
      <c r="V48" s="17">
        <f t="shared" si="20"/>
        <v>0.66692490502773361</v>
      </c>
      <c r="W48" s="17">
        <f t="shared" si="20"/>
        <v>0.66983327349430022</v>
      </c>
      <c r="X48" s="17">
        <f t="shared" si="20"/>
        <v>0.66776400541054093</v>
      </c>
      <c r="Y48" s="17">
        <f t="shared" si="20"/>
        <v>0.67042454197121426</v>
      </c>
      <c r="Z48" s="17">
        <f t="shared" si="20"/>
        <v>0.66990245313750141</v>
      </c>
      <c r="AA48" s="17">
        <f t="shared" si="20"/>
        <v>0.66882727424446831</v>
      </c>
      <c r="AB48" s="17">
        <f t="shared" si="20"/>
        <v>0.67037735108179208</v>
      </c>
      <c r="AC48" s="17">
        <f t="shared" si="20"/>
        <v>0.67258697549114976</v>
      </c>
      <c r="AD48" s="17">
        <f t="shared" si="20"/>
        <v>0.67396580607084522</v>
      </c>
      <c r="AE48" s="17">
        <f t="shared" si="20"/>
        <v>0.67415067850764976</v>
      </c>
      <c r="AF48" s="17">
        <f t="shared" si="20"/>
        <v>0.67275134721048191</v>
      </c>
      <c r="AG48" s="17">
        <f t="shared" si="20"/>
        <v>0.67451378431584896</v>
      </c>
      <c r="AH48" s="17">
        <f t="shared" si="20"/>
        <v>0.67319300294908524</v>
      </c>
      <c r="AI48" s="17">
        <f t="shared" si="20"/>
        <v>0.67482302788139958</v>
      </c>
      <c r="AJ48" s="17">
        <f t="shared" si="20"/>
        <v>0.67441888552867779</v>
      </c>
      <c r="AK48" s="17">
        <f t="shared" si="20"/>
        <v>0.67374456262726001</v>
      </c>
      <c r="AL48" s="17">
        <f t="shared" si="20"/>
        <v>0.67470540277030677</v>
      </c>
      <c r="AM48" s="17">
        <f t="shared" si="20"/>
        <v>0.67484063993203125</v>
      </c>
      <c r="AN48" s="17">
        <f t="shared" si="20"/>
        <v>0.67495584247649631</v>
      </c>
    </row>
    <row r="49" spans="1:40" ht="15" x14ac:dyDescent="0.25"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</row>
    <row r="50" spans="1:40" ht="15" x14ac:dyDescent="0.25">
      <c r="A50" s="27" t="s">
        <v>155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</row>
    <row r="51" spans="1:40" ht="15" x14ac:dyDescent="0.25"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</row>
    <row r="52" spans="1:40" ht="15" x14ac:dyDescent="0.25">
      <c r="A52" s="21" t="s">
        <v>156</v>
      </c>
      <c r="B52" s="9" t="s">
        <v>157</v>
      </c>
      <c r="C52" s="9" t="s">
        <v>158</v>
      </c>
      <c r="D52" s="9" t="s">
        <v>86</v>
      </c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</row>
    <row r="53" spans="1:40" ht="15" x14ac:dyDescent="0.25">
      <c r="A53" s="21" t="s">
        <v>159</v>
      </c>
      <c r="B53" s="10">
        <v>1</v>
      </c>
      <c r="C53" s="11">
        <v>2800</v>
      </c>
      <c r="D53" s="24">
        <v>46113</v>
      </c>
      <c r="E53" s="13">
        <f t="shared" ref="E53:N57" si="21">IF(E$4&lt;$D53,0,$B53*$C53*(1+$B$10)^INT((E$5-1)/12))</f>
        <v>2800</v>
      </c>
      <c r="F53" s="13">
        <f t="shared" si="21"/>
        <v>2800</v>
      </c>
      <c r="G53" s="13">
        <f t="shared" si="21"/>
        <v>2800</v>
      </c>
      <c r="H53" s="13">
        <f t="shared" si="21"/>
        <v>2800</v>
      </c>
      <c r="I53" s="13">
        <f t="shared" si="21"/>
        <v>2800</v>
      </c>
      <c r="J53" s="13">
        <f t="shared" si="21"/>
        <v>2800</v>
      </c>
      <c r="K53" s="13">
        <f t="shared" si="21"/>
        <v>2800</v>
      </c>
      <c r="L53" s="13">
        <f t="shared" si="21"/>
        <v>2800</v>
      </c>
      <c r="M53" s="13">
        <f t="shared" si="21"/>
        <v>2800</v>
      </c>
      <c r="N53" s="13">
        <f t="shared" si="21"/>
        <v>2800</v>
      </c>
      <c r="O53" s="13">
        <f t="shared" ref="O53:X57" si="22">IF(O$4&lt;$D53,0,$B53*$C53*(1+$B$10)^INT((O$5-1)/12))</f>
        <v>2800</v>
      </c>
      <c r="P53" s="13">
        <f t="shared" si="22"/>
        <v>2800</v>
      </c>
      <c r="Q53" s="13">
        <f t="shared" si="22"/>
        <v>2884</v>
      </c>
      <c r="R53" s="13">
        <f t="shared" si="22"/>
        <v>2884</v>
      </c>
      <c r="S53" s="13">
        <f t="shared" si="22"/>
        <v>2884</v>
      </c>
      <c r="T53" s="13">
        <f t="shared" si="22"/>
        <v>2884</v>
      </c>
      <c r="U53" s="13">
        <f t="shared" si="22"/>
        <v>2884</v>
      </c>
      <c r="V53" s="13">
        <f t="shared" si="22"/>
        <v>2884</v>
      </c>
      <c r="W53" s="13">
        <f t="shared" si="22"/>
        <v>2884</v>
      </c>
      <c r="X53" s="13">
        <f t="shared" si="22"/>
        <v>2884</v>
      </c>
      <c r="Y53" s="13">
        <f t="shared" ref="Y53:AH57" si="23">IF(Y$4&lt;$D53,0,$B53*$C53*(1+$B$10)^INT((Y$5-1)/12))</f>
        <v>2884</v>
      </c>
      <c r="Z53" s="13">
        <f t="shared" si="23"/>
        <v>2884</v>
      </c>
      <c r="AA53" s="13">
        <f t="shared" si="23"/>
        <v>2884</v>
      </c>
      <c r="AB53" s="13">
        <f t="shared" si="23"/>
        <v>2884</v>
      </c>
      <c r="AC53" s="13">
        <f t="shared" si="23"/>
        <v>2970.52</v>
      </c>
      <c r="AD53" s="13">
        <f t="shared" si="23"/>
        <v>2970.52</v>
      </c>
      <c r="AE53" s="13">
        <f t="shared" si="23"/>
        <v>2970.52</v>
      </c>
      <c r="AF53" s="13">
        <f t="shared" si="23"/>
        <v>2970.52</v>
      </c>
      <c r="AG53" s="13">
        <f t="shared" si="23"/>
        <v>2970.52</v>
      </c>
      <c r="AH53" s="13">
        <f t="shared" si="23"/>
        <v>2970.52</v>
      </c>
      <c r="AI53" s="13">
        <f t="shared" ref="AI53:AN57" si="24">IF(AI$4&lt;$D53,0,$B53*$C53*(1+$B$10)^INT((AI$5-1)/12))</f>
        <v>2970.52</v>
      </c>
      <c r="AJ53" s="13">
        <f t="shared" si="24"/>
        <v>2970.52</v>
      </c>
      <c r="AK53" s="13">
        <f t="shared" si="24"/>
        <v>2970.52</v>
      </c>
      <c r="AL53" s="13">
        <f t="shared" si="24"/>
        <v>2970.52</v>
      </c>
      <c r="AM53" s="13">
        <f t="shared" si="24"/>
        <v>2970.52</v>
      </c>
      <c r="AN53" s="13">
        <f t="shared" si="24"/>
        <v>2970.52</v>
      </c>
    </row>
    <row r="54" spans="1:40" ht="15" x14ac:dyDescent="0.25">
      <c r="A54" s="21" t="s">
        <v>160</v>
      </c>
      <c r="B54" s="10">
        <v>1</v>
      </c>
      <c r="C54" s="11">
        <v>2400</v>
      </c>
      <c r="D54" s="24">
        <v>46113</v>
      </c>
      <c r="E54" s="13">
        <f t="shared" si="21"/>
        <v>2400</v>
      </c>
      <c r="F54" s="13">
        <f t="shared" si="21"/>
        <v>2400</v>
      </c>
      <c r="G54" s="13">
        <f t="shared" si="21"/>
        <v>2400</v>
      </c>
      <c r="H54" s="13">
        <f t="shared" si="21"/>
        <v>2400</v>
      </c>
      <c r="I54" s="13">
        <f t="shared" si="21"/>
        <v>2400</v>
      </c>
      <c r="J54" s="13">
        <f t="shared" si="21"/>
        <v>2400</v>
      </c>
      <c r="K54" s="13">
        <f t="shared" si="21"/>
        <v>2400</v>
      </c>
      <c r="L54" s="13">
        <f t="shared" si="21"/>
        <v>2400</v>
      </c>
      <c r="M54" s="13">
        <f t="shared" si="21"/>
        <v>2400</v>
      </c>
      <c r="N54" s="13">
        <f t="shared" si="21"/>
        <v>2400</v>
      </c>
      <c r="O54" s="13">
        <f t="shared" si="22"/>
        <v>2400</v>
      </c>
      <c r="P54" s="13">
        <f t="shared" si="22"/>
        <v>2400</v>
      </c>
      <c r="Q54" s="13">
        <f t="shared" si="22"/>
        <v>2472</v>
      </c>
      <c r="R54" s="13">
        <f t="shared" si="22"/>
        <v>2472</v>
      </c>
      <c r="S54" s="13">
        <f t="shared" si="22"/>
        <v>2472</v>
      </c>
      <c r="T54" s="13">
        <f t="shared" si="22"/>
        <v>2472</v>
      </c>
      <c r="U54" s="13">
        <f t="shared" si="22"/>
        <v>2472</v>
      </c>
      <c r="V54" s="13">
        <f t="shared" si="22"/>
        <v>2472</v>
      </c>
      <c r="W54" s="13">
        <f t="shared" si="22"/>
        <v>2472</v>
      </c>
      <c r="X54" s="13">
        <f t="shared" si="22"/>
        <v>2472</v>
      </c>
      <c r="Y54" s="13">
        <f t="shared" si="23"/>
        <v>2472</v>
      </c>
      <c r="Z54" s="13">
        <f t="shared" si="23"/>
        <v>2472</v>
      </c>
      <c r="AA54" s="13">
        <f t="shared" si="23"/>
        <v>2472</v>
      </c>
      <c r="AB54" s="13">
        <f t="shared" si="23"/>
        <v>2472</v>
      </c>
      <c r="AC54" s="13">
        <f t="shared" si="23"/>
        <v>2546.16</v>
      </c>
      <c r="AD54" s="13">
        <f t="shared" si="23"/>
        <v>2546.16</v>
      </c>
      <c r="AE54" s="13">
        <f t="shared" si="23"/>
        <v>2546.16</v>
      </c>
      <c r="AF54" s="13">
        <f t="shared" si="23"/>
        <v>2546.16</v>
      </c>
      <c r="AG54" s="13">
        <f t="shared" si="23"/>
        <v>2546.16</v>
      </c>
      <c r="AH54" s="13">
        <f t="shared" si="23"/>
        <v>2546.16</v>
      </c>
      <c r="AI54" s="13">
        <f t="shared" si="24"/>
        <v>2546.16</v>
      </c>
      <c r="AJ54" s="13">
        <f t="shared" si="24"/>
        <v>2546.16</v>
      </c>
      <c r="AK54" s="13">
        <f t="shared" si="24"/>
        <v>2546.16</v>
      </c>
      <c r="AL54" s="13">
        <f t="shared" si="24"/>
        <v>2546.16</v>
      </c>
      <c r="AM54" s="13">
        <f t="shared" si="24"/>
        <v>2546.16</v>
      </c>
      <c r="AN54" s="13">
        <f t="shared" si="24"/>
        <v>2546.16</v>
      </c>
    </row>
    <row r="55" spans="1:40" ht="15" x14ac:dyDescent="0.25">
      <c r="A55" s="21" t="s">
        <v>161</v>
      </c>
      <c r="B55" s="10">
        <v>1</v>
      </c>
      <c r="C55" s="11">
        <v>2300</v>
      </c>
      <c r="D55" s="24">
        <v>46143</v>
      </c>
      <c r="E55" s="13">
        <f t="shared" si="21"/>
        <v>0</v>
      </c>
      <c r="F55" s="13">
        <f t="shared" si="21"/>
        <v>2300</v>
      </c>
      <c r="G55" s="13">
        <f t="shared" si="21"/>
        <v>2300</v>
      </c>
      <c r="H55" s="13">
        <f t="shared" si="21"/>
        <v>2300</v>
      </c>
      <c r="I55" s="13">
        <f t="shared" si="21"/>
        <v>2300</v>
      </c>
      <c r="J55" s="13">
        <f t="shared" si="21"/>
        <v>2300</v>
      </c>
      <c r="K55" s="13">
        <f t="shared" si="21"/>
        <v>2300</v>
      </c>
      <c r="L55" s="13">
        <f t="shared" si="21"/>
        <v>2300</v>
      </c>
      <c r="M55" s="13">
        <f t="shared" si="21"/>
        <v>2300</v>
      </c>
      <c r="N55" s="13">
        <f t="shared" si="21"/>
        <v>2300</v>
      </c>
      <c r="O55" s="13">
        <f t="shared" si="22"/>
        <v>2300</v>
      </c>
      <c r="P55" s="13">
        <f t="shared" si="22"/>
        <v>2300</v>
      </c>
      <c r="Q55" s="13">
        <f t="shared" si="22"/>
        <v>2369</v>
      </c>
      <c r="R55" s="13">
        <f t="shared" si="22"/>
        <v>2369</v>
      </c>
      <c r="S55" s="13">
        <f t="shared" si="22"/>
        <v>2369</v>
      </c>
      <c r="T55" s="13">
        <f t="shared" si="22"/>
        <v>2369</v>
      </c>
      <c r="U55" s="13">
        <f t="shared" si="22"/>
        <v>2369</v>
      </c>
      <c r="V55" s="13">
        <f t="shared" si="22"/>
        <v>2369</v>
      </c>
      <c r="W55" s="13">
        <f t="shared" si="22"/>
        <v>2369</v>
      </c>
      <c r="X55" s="13">
        <f t="shared" si="22"/>
        <v>2369</v>
      </c>
      <c r="Y55" s="13">
        <f t="shared" si="23"/>
        <v>2369</v>
      </c>
      <c r="Z55" s="13">
        <f t="shared" si="23"/>
        <v>2369</v>
      </c>
      <c r="AA55" s="13">
        <f t="shared" si="23"/>
        <v>2369</v>
      </c>
      <c r="AB55" s="13">
        <f t="shared" si="23"/>
        <v>2369</v>
      </c>
      <c r="AC55" s="13">
        <f t="shared" si="23"/>
        <v>2440.0699999999997</v>
      </c>
      <c r="AD55" s="13">
        <f t="shared" si="23"/>
        <v>2440.0699999999997</v>
      </c>
      <c r="AE55" s="13">
        <f t="shared" si="23"/>
        <v>2440.0699999999997</v>
      </c>
      <c r="AF55" s="13">
        <f t="shared" si="23"/>
        <v>2440.0699999999997</v>
      </c>
      <c r="AG55" s="13">
        <f t="shared" si="23"/>
        <v>2440.0699999999997</v>
      </c>
      <c r="AH55" s="13">
        <f t="shared" si="23"/>
        <v>2440.0699999999997</v>
      </c>
      <c r="AI55" s="13">
        <f t="shared" si="24"/>
        <v>2440.0699999999997</v>
      </c>
      <c r="AJ55" s="13">
        <f t="shared" si="24"/>
        <v>2440.0699999999997</v>
      </c>
      <c r="AK55" s="13">
        <f t="shared" si="24"/>
        <v>2440.0699999999997</v>
      </c>
      <c r="AL55" s="13">
        <f t="shared" si="24"/>
        <v>2440.0699999999997</v>
      </c>
      <c r="AM55" s="13">
        <f t="shared" si="24"/>
        <v>2440.0699999999997</v>
      </c>
      <c r="AN55" s="13">
        <f t="shared" si="24"/>
        <v>2440.0699999999997</v>
      </c>
    </row>
    <row r="56" spans="1:40" ht="15" x14ac:dyDescent="0.25">
      <c r="A56" s="21" t="s">
        <v>162</v>
      </c>
      <c r="B56" s="10">
        <v>1</v>
      </c>
      <c r="C56" s="11">
        <v>2000</v>
      </c>
      <c r="D56" s="24">
        <v>46113</v>
      </c>
      <c r="E56" s="13">
        <f t="shared" si="21"/>
        <v>2000</v>
      </c>
      <c r="F56" s="13">
        <f t="shared" si="21"/>
        <v>2000</v>
      </c>
      <c r="G56" s="13">
        <f t="shared" si="21"/>
        <v>2000</v>
      </c>
      <c r="H56" s="13">
        <f t="shared" si="21"/>
        <v>2000</v>
      </c>
      <c r="I56" s="13">
        <f t="shared" si="21"/>
        <v>2000</v>
      </c>
      <c r="J56" s="13">
        <f t="shared" si="21"/>
        <v>2000</v>
      </c>
      <c r="K56" s="13">
        <f t="shared" si="21"/>
        <v>2000</v>
      </c>
      <c r="L56" s="13">
        <f t="shared" si="21"/>
        <v>2000</v>
      </c>
      <c r="M56" s="13">
        <f t="shared" si="21"/>
        <v>2000</v>
      </c>
      <c r="N56" s="13">
        <f t="shared" si="21"/>
        <v>2000</v>
      </c>
      <c r="O56" s="13">
        <f t="shared" si="22"/>
        <v>2000</v>
      </c>
      <c r="P56" s="13">
        <f t="shared" si="22"/>
        <v>2000</v>
      </c>
      <c r="Q56" s="13">
        <f t="shared" si="22"/>
        <v>2060</v>
      </c>
      <c r="R56" s="13">
        <f t="shared" si="22"/>
        <v>2060</v>
      </c>
      <c r="S56" s="13">
        <f t="shared" si="22"/>
        <v>2060</v>
      </c>
      <c r="T56" s="13">
        <f t="shared" si="22"/>
        <v>2060</v>
      </c>
      <c r="U56" s="13">
        <f t="shared" si="22"/>
        <v>2060</v>
      </c>
      <c r="V56" s="13">
        <f t="shared" si="22"/>
        <v>2060</v>
      </c>
      <c r="W56" s="13">
        <f t="shared" si="22"/>
        <v>2060</v>
      </c>
      <c r="X56" s="13">
        <f t="shared" si="22"/>
        <v>2060</v>
      </c>
      <c r="Y56" s="13">
        <f t="shared" si="23"/>
        <v>2060</v>
      </c>
      <c r="Z56" s="13">
        <f t="shared" si="23"/>
        <v>2060</v>
      </c>
      <c r="AA56" s="13">
        <f t="shared" si="23"/>
        <v>2060</v>
      </c>
      <c r="AB56" s="13">
        <f t="shared" si="23"/>
        <v>2060</v>
      </c>
      <c r="AC56" s="13">
        <f t="shared" si="23"/>
        <v>2121.7999999999997</v>
      </c>
      <c r="AD56" s="13">
        <f t="shared" si="23"/>
        <v>2121.7999999999997</v>
      </c>
      <c r="AE56" s="13">
        <f t="shared" si="23"/>
        <v>2121.7999999999997</v>
      </c>
      <c r="AF56" s="13">
        <f t="shared" si="23"/>
        <v>2121.7999999999997</v>
      </c>
      <c r="AG56" s="13">
        <f t="shared" si="23"/>
        <v>2121.7999999999997</v>
      </c>
      <c r="AH56" s="13">
        <f t="shared" si="23"/>
        <v>2121.7999999999997</v>
      </c>
      <c r="AI56" s="13">
        <f t="shared" si="24"/>
        <v>2121.7999999999997</v>
      </c>
      <c r="AJ56" s="13">
        <f t="shared" si="24"/>
        <v>2121.7999999999997</v>
      </c>
      <c r="AK56" s="13">
        <f t="shared" si="24"/>
        <v>2121.7999999999997</v>
      </c>
      <c r="AL56" s="13">
        <f t="shared" si="24"/>
        <v>2121.7999999999997</v>
      </c>
      <c r="AM56" s="13">
        <f t="shared" si="24"/>
        <v>2121.7999999999997</v>
      </c>
      <c r="AN56" s="13">
        <f t="shared" si="24"/>
        <v>2121.7999999999997</v>
      </c>
    </row>
    <row r="57" spans="1:40" ht="15" x14ac:dyDescent="0.25">
      <c r="A57" s="21" t="s">
        <v>163</v>
      </c>
      <c r="B57" s="10">
        <v>0.5</v>
      </c>
      <c r="C57" s="11">
        <v>1600</v>
      </c>
      <c r="D57" s="24">
        <v>46296</v>
      </c>
      <c r="E57" s="13">
        <f t="shared" si="21"/>
        <v>0</v>
      </c>
      <c r="F57" s="13">
        <f t="shared" si="21"/>
        <v>0</v>
      </c>
      <c r="G57" s="13">
        <f t="shared" si="21"/>
        <v>0</v>
      </c>
      <c r="H57" s="13">
        <f t="shared" si="21"/>
        <v>0</v>
      </c>
      <c r="I57" s="13">
        <f t="shared" si="21"/>
        <v>0</v>
      </c>
      <c r="J57" s="13">
        <f t="shared" si="21"/>
        <v>0</v>
      </c>
      <c r="K57" s="13">
        <f t="shared" si="21"/>
        <v>800</v>
      </c>
      <c r="L57" s="13">
        <f t="shared" si="21"/>
        <v>800</v>
      </c>
      <c r="M57" s="13">
        <f t="shared" si="21"/>
        <v>800</v>
      </c>
      <c r="N57" s="13">
        <f t="shared" si="21"/>
        <v>800</v>
      </c>
      <c r="O57" s="13">
        <f t="shared" si="22"/>
        <v>800</v>
      </c>
      <c r="P57" s="13">
        <f t="shared" si="22"/>
        <v>800</v>
      </c>
      <c r="Q57" s="13">
        <f t="shared" si="22"/>
        <v>824</v>
      </c>
      <c r="R57" s="13">
        <f t="shared" si="22"/>
        <v>824</v>
      </c>
      <c r="S57" s="13">
        <f t="shared" si="22"/>
        <v>824</v>
      </c>
      <c r="T57" s="13">
        <f t="shared" si="22"/>
        <v>824</v>
      </c>
      <c r="U57" s="13">
        <f t="shared" si="22"/>
        <v>824</v>
      </c>
      <c r="V57" s="13">
        <f t="shared" si="22"/>
        <v>824</v>
      </c>
      <c r="W57" s="13">
        <f t="shared" si="22"/>
        <v>824</v>
      </c>
      <c r="X57" s="13">
        <f t="shared" si="22"/>
        <v>824</v>
      </c>
      <c r="Y57" s="13">
        <f t="shared" si="23"/>
        <v>824</v>
      </c>
      <c r="Z57" s="13">
        <f t="shared" si="23"/>
        <v>824</v>
      </c>
      <c r="AA57" s="13">
        <f t="shared" si="23"/>
        <v>824</v>
      </c>
      <c r="AB57" s="13">
        <f t="shared" si="23"/>
        <v>824</v>
      </c>
      <c r="AC57" s="13">
        <f t="shared" si="23"/>
        <v>848.71999999999991</v>
      </c>
      <c r="AD57" s="13">
        <f t="shared" si="23"/>
        <v>848.71999999999991</v>
      </c>
      <c r="AE57" s="13">
        <f t="shared" si="23"/>
        <v>848.71999999999991</v>
      </c>
      <c r="AF57" s="13">
        <f t="shared" si="23"/>
        <v>848.71999999999991</v>
      </c>
      <c r="AG57" s="13">
        <f t="shared" si="23"/>
        <v>848.71999999999991</v>
      </c>
      <c r="AH57" s="13">
        <f t="shared" si="23"/>
        <v>848.71999999999991</v>
      </c>
      <c r="AI57" s="13">
        <f t="shared" si="24"/>
        <v>848.71999999999991</v>
      </c>
      <c r="AJ57" s="13">
        <f t="shared" si="24"/>
        <v>848.71999999999991</v>
      </c>
      <c r="AK57" s="13">
        <f t="shared" si="24"/>
        <v>848.71999999999991</v>
      </c>
      <c r="AL57" s="13">
        <f t="shared" si="24"/>
        <v>848.71999999999991</v>
      </c>
      <c r="AM57" s="13">
        <f t="shared" si="24"/>
        <v>848.71999999999991</v>
      </c>
      <c r="AN57" s="13">
        <f t="shared" si="24"/>
        <v>848.71999999999991</v>
      </c>
    </row>
    <row r="58" spans="1:40" ht="15" x14ac:dyDescent="0.25">
      <c r="A58" s="8" t="s">
        <v>164</v>
      </c>
      <c r="E58" s="13">
        <f t="shared" ref="E58:AN58" si="25">SUM(E53:E57)</f>
        <v>7200</v>
      </c>
      <c r="F58" s="13">
        <f t="shared" si="25"/>
        <v>9500</v>
      </c>
      <c r="G58" s="13">
        <f t="shared" si="25"/>
        <v>9500</v>
      </c>
      <c r="H58" s="13">
        <f t="shared" si="25"/>
        <v>9500</v>
      </c>
      <c r="I58" s="13">
        <f t="shared" si="25"/>
        <v>9500</v>
      </c>
      <c r="J58" s="13">
        <f t="shared" si="25"/>
        <v>9500</v>
      </c>
      <c r="K58" s="13">
        <f t="shared" si="25"/>
        <v>10300</v>
      </c>
      <c r="L58" s="13">
        <f t="shared" si="25"/>
        <v>10300</v>
      </c>
      <c r="M58" s="13">
        <f t="shared" si="25"/>
        <v>10300</v>
      </c>
      <c r="N58" s="13">
        <f t="shared" si="25"/>
        <v>10300</v>
      </c>
      <c r="O58" s="13">
        <f t="shared" si="25"/>
        <v>10300</v>
      </c>
      <c r="P58" s="13">
        <f t="shared" si="25"/>
        <v>10300</v>
      </c>
      <c r="Q58" s="13">
        <f t="shared" si="25"/>
        <v>10609</v>
      </c>
      <c r="R58" s="13">
        <f t="shared" si="25"/>
        <v>10609</v>
      </c>
      <c r="S58" s="13">
        <f t="shared" si="25"/>
        <v>10609</v>
      </c>
      <c r="T58" s="13">
        <f t="shared" si="25"/>
        <v>10609</v>
      </c>
      <c r="U58" s="13">
        <f t="shared" si="25"/>
        <v>10609</v>
      </c>
      <c r="V58" s="13">
        <f t="shared" si="25"/>
        <v>10609</v>
      </c>
      <c r="W58" s="13">
        <f t="shared" si="25"/>
        <v>10609</v>
      </c>
      <c r="X58" s="13">
        <f t="shared" si="25"/>
        <v>10609</v>
      </c>
      <c r="Y58" s="13">
        <f t="shared" si="25"/>
        <v>10609</v>
      </c>
      <c r="Z58" s="13">
        <f t="shared" si="25"/>
        <v>10609</v>
      </c>
      <c r="AA58" s="13">
        <f t="shared" si="25"/>
        <v>10609</v>
      </c>
      <c r="AB58" s="13">
        <f t="shared" si="25"/>
        <v>10609</v>
      </c>
      <c r="AC58" s="13">
        <f t="shared" si="25"/>
        <v>10927.269999999999</v>
      </c>
      <c r="AD58" s="13">
        <f t="shared" si="25"/>
        <v>10927.269999999999</v>
      </c>
      <c r="AE58" s="13">
        <f t="shared" si="25"/>
        <v>10927.269999999999</v>
      </c>
      <c r="AF58" s="13">
        <f t="shared" si="25"/>
        <v>10927.269999999999</v>
      </c>
      <c r="AG58" s="13">
        <f t="shared" si="25"/>
        <v>10927.269999999999</v>
      </c>
      <c r="AH58" s="13">
        <f t="shared" si="25"/>
        <v>10927.269999999999</v>
      </c>
      <c r="AI58" s="13">
        <f t="shared" si="25"/>
        <v>10927.269999999999</v>
      </c>
      <c r="AJ58" s="13">
        <f t="shared" si="25"/>
        <v>10927.269999999999</v>
      </c>
      <c r="AK58" s="13">
        <f t="shared" si="25"/>
        <v>10927.269999999999</v>
      </c>
      <c r="AL58" s="13">
        <f t="shared" si="25"/>
        <v>10927.269999999999</v>
      </c>
      <c r="AM58" s="13">
        <f t="shared" si="25"/>
        <v>10927.269999999999</v>
      </c>
      <c r="AN58" s="13">
        <f t="shared" si="25"/>
        <v>10927.269999999999</v>
      </c>
    </row>
    <row r="59" spans="1:40" ht="15" x14ac:dyDescent="0.25"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</row>
    <row r="60" spans="1:40" ht="15" x14ac:dyDescent="0.25">
      <c r="A60" s="27" t="s">
        <v>165</v>
      </c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</row>
    <row r="61" spans="1:40" ht="15" x14ac:dyDescent="0.25">
      <c r="B61" s="9" t="s">
        <v>166</v>
      </c>
      <c r="C61" s="9" t="s">
        <v>86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</row>
    <row r="62" spans="1:40" ht="15" x14ac:dyDescent="0.25">
      <c r="A62" s="21" t="s">
        <v>167</v>
      </c>
      <c r="B62" s="11">
        <v>2200</v>
      </c>
      <c r="C62" s="24">
        <v>46113</v>
      </c>
      <c r="E62" s="13">
        <f t="shared" ref="E62:N66" si="26">IF(E$4&lt;$C62,0,$B62*(1+$B$10)^INT((E$5-1)/12))</f>
        <v>2200</v>
      </c>
      <c r="F62" s="13">
        <f t="shared" si="26"/>
        <v>2200</v>
      </c>
      <c r="G62" s="13">
        <f t="shared" si="26"/>
        <v>2200</v>
      </c>
      <c r="H62" s="13">
        <f t="shared" si="26"/>
        <v>2200</v>
      </c>
      <c r="I62" s="13">
        <f t="shared" si="26"/>
        <v>2200</v>
      </c>
      <c r="J62" s="13">
        <f t="shared" si="26"/>
        <v>2200</v>
      </c>
      <c r="K62" s="13">
        <f t="shared" si="26"/>
        <v>2200</v>
      </c>
      <c r="L62" s="13">
        <f t="shared" si="26"/>
        <v>2200</v>
      </c>
      <c r="M62" s="13">
        <f t="shared" si="26"/>
        <v>2200</v>
      </c>
      <c r="N62" s="13">
        <f t="shared" si="26"/>
        <v>2200</v>
      </c>
      <c r="O62" s="13">
        <f t="shared" ref="O62:X66" si="27">IF(O$4&lt;$C62,0,$B62*(1+$B$10)^INT((O$5-1)/12))</f>
        <v>2200</v>
      </c>
      <c r="P62" s="13">
        <f t="shared" si="27"/>
        <v>2200</v>
      </c>
      <c r="Q62" s="13">
        <f t="shared" si="27"/>
        <v>2266</v>
      </c>
      <c r="R62" s="13">
        <f t="shared" si="27"/>
        <v>2266</v>
      </c>
      <c r="S62" s="13">
        <f t="shared" si="27"/>
        <v>2266</v>
      </c>
      <c r="T62" s="13">
        <f t="shared" si="27"/>
        <v>2266</v>
      </c>
      <c r="U62" s="13">
        <f t="shared" si="27"/>
        <v>2266</v>
      </c>
      <c r="V62" s="13">
        <f t="shared" si="27"/>
        <v>2266</v>
      </c>
      <c r="W62" s="13">
        <f t="shared" si="27"/>
        <v>2266</v>
      </c>
      <c r="X62" s="13">
        <f t="shared" si="27"/>
        <v>2266</v>
      </c>
      <c r="Y62" s="13">
        <f t="shared" ref="Y62:AH66" si="28">IF(Y$4&lt;$C62,0,$B62*(1+$B$10)^INT((Y$5-1)/12))</f>
        <v>2266</v>
      </c>
      <c r="Z62" s="13">
        <f t="shared" si="28"/>
        <v>2266</v>
      </c>
      <c r="AA62" s="13">
        <f t="shared" si="28"/>
        <v>2266</v>
      </c>
      <c r="AB62" s="13">
        <f t="shared" si="28"/>
        <v>2266</v>
      </c>
      <c r="AC62" s="13">
        <f t="shared" si="28"/>
        <v>2333.98</v>
      </c>
      <c r="AD62" s="13">
        <f t="shared" si="28"/>
        <v>2333.98</v>
      </c>
      <c r="AE62" s="13">
        <f t="shared" si="28"/>
        <v>2333.98</v>
      </c>
      <c r="AF62" s="13">
        <f t="shared" si="28"/>
        <v>2333.98</v>
      </c>
      <c r="AG62" s="13">
        <f t="shared" si="28"/>
        <v>2333.98</v>
      </c>
      <c r="AH62" s="13">
        <f t="shared" si="28"/>
        <v>2333.98</v>
      </c>
      <c r="AI62" s="13">
        <f t="shared" ref="AI62:AN66" si="29">IF(AI$4&lt;$C62,0,$B62*(1+$B$10)^INT((AI$5-1)/12))</f>
        <v>2333.98</v>
      </c>
      <c r="AJ62" s="13">
        <f t="shared" si="29"/>
        <v>2333.98</v>
      </c>
      <c r="AK62" s="13">
        <f t="shared" si="29"/>
        <v>2333.98</v>
      </c>
      <c r="AL62" s="13">
        <f t="shared" si="29"/>
        <v>2333.98</v>
      </c>
      <c r="AM62" s="13">
        <f t="shared" si="29"/>
        <v>2333.98</v>
      </c>
      <c r="AN62" s="13">
        <f t="shared" si="29"/>
        <v>2333.98</v>
      </c>
    </row>
    <row r="63" spans="1:40" ht="15" x14ac:dyDescent="0.25">
      <c r="A63" s="21" t="s">
        <v>168</v>
      </c>
      <c r="B63" s="11">
        <v>1200</v>
      </c>
      <c r="C63" s="24">
        <v>46113</v>
      </c>
      <c r="E63" s="13">
        <f t="shared" si="26"/>
        <v>1200</v>
      </c>
      <c r="F63" s="13">
        <f t="shared" si="26"/>
        <v>1200</v>
      </c>
      <c r="G63" s="13">
        <f t="shared" si="26"/>
        <v>1200</v>
      </c>
      <c r="H63" s="13">
        <f t="shared" si="26"/>
        <v>1200</v>
      </c>
      <c r="I63" s="13">
        <f t="shared" si="26"/>
        <v>1200</v>
      </c>
      <c r="J63" s="13">
        <f t="shared" si="26"/>
        <v>1200</v>
      </c>
      <c r="K63" s="13">
        <f t="shared" si="26"/>
        <v>1200</v>
      </c>
      <c r="L63" s="13">
        <f t="shared" si="26"/>
        <v>1200</v>
      </c>
      <c r="M63" s="13">
        <f t="shared" si="26"/>
        <v>1200</v>
      </c>
      <c r="N63" s="13">
        <f t="shared" si="26"/>
        <v>1200</v>
      </c>
      <c r="O63" s="13">
        <f t="shared" si="27"/>
        <v>1200</v>
      </c>
      <c r="P63" s="13">
        <f t="shared" si="27"/>
        <v>1200</v>
      </c>
      <c r="Q63" s="13">
        <f t="shared" si="27"/>
        <v>1236</v>
      </c>
      <c r="R63" s="13">
        <f t="shared" si="27"/>
        <v>1236</v>
      </c>
      <c r="S63" s="13">
        <f t="shared" si="27"/>
        <v>1236</v>
      </c>
      <c r="T63" s="13">
        <f t="shared" si="27"/>
        <v>1236</v>
      </c>
      <c r="U63" s="13">
        <f t="shared" si="27"/>
        <v>1236</v>
      </c>
      <c r="V63" s="13">
        <f t="shared" si="27"/>
        <v>1236</v>
      </c>
      <c r="W63" s="13">
        <f t="shared" si="27"/>
        <v>1236</v>
      </c>
      <c r="X63" s="13">
        <f t="shared" si="27"/>
        <v>1236</v>
      </c>
      <c r="Y63" s="13">
        <f t="shared" si="28"/>
        <v>1236</v>
      </c>
      <c r="Z63" s="13">
        <f t="shared" si="28"/>
        <v>1236</v>
      </c>
      <c r="AA63" s="13">
        <f t="shared" si="28"/>
        <v>1236</v>
      </c>
      <c r="AB63" s="13">
        <f t="shared" si="28"/>
        <v>1236</v>
      </c>
      <c r="AC63" s="13">
        <f t="shared" si="28"/>
        <v>1273.08</v>
      </c>
      <c r="AD63" s="13">
        <f t="shared" si="28"/>
        <v>1273.08</v>
      </c>
      <c r="AE63" s="13">
        <f t="shared" si="28"/>
        <v>1273.08</v>
      </c>
      <c r="AF63" s="13">
        <f t="shared" si="28"/>
        <v>1273.08</v>
      </c>
      <c r="AG63" s="13">
        <f t="shared" si="28"/>
        <v>1273.08</v>
      </c>
      <c r="AH63" s="13">
        <f t="shared" si="28"/>
        <v>1273.08</v>
      </c>
      <c r="AI63" s="13">
        <f t="shared" si="29"/>
        <v>1273.08</v>
      </c>
      <c r="AJ63" s="13">
        <f t="shared" si="29"/>
        <v>1273.08</v>
      </c>
      <c r="AK63" s="13">
        <f t="shared" si="29"/>
        <v>1273.08</v>
      </c>
      <c r="AL63" s="13">
        <f t="shared" si="29"/>
        <v>1273.08</v>
      </c>
      <c r="AM63" s="13">
        <f t="shared" si="29"/>
        <v>1273.08</v>
      </c>
      <c r="AN63" s="13">
        <f t="shared" si="29"/>
        <v>1273.08</v>
      </c>
    </row>
    <row r="64" spans="1:40" ht="15" x14ac:dyDescent="0.25">
      <c r="A64" s="21" t="s">
        <v>169</v>
      </c>
      <c r="B64" s="11">
        <v>900</v>
      </c>
      <c r="C64" s="24">
        <v>46113</v>
      </c>
      <c r="E64" s="13">
        <f t="shared" si="26"/>
        <v>900</v>
      </c>
      <c r="F64" s="13">
        <f t="shared" si="26"/>
        <v>900</v>
      </c>
      <c r="G64" s="13">
        <f t="shared" si="26"/>
        <v>900</v>
      </c>
      <c r="H64" s="13">
        <f t="shared" si="26"/>
        <v>900</v>
      </c>
      <c r="I64" s="13">
        <f t="shared" si="26"/>
        <v>900</v>
      </c>
      <c r="J64" s="13">
        <f t="shared" si="26"/>
        <v>900</v>
      </c>
      <c r="K64" s="13">
        <f t="shared" si="26"/>
        <v>900</v>
      </c>
      <c r="L64" s="13">
        <f t="shared" si="26"/>
        <v>900</v>
      </c>
      <c r="M64" s="13">
        <f t="shared" si="26"/>
        <v>900</v>
      </c>
      <c r="N64" s="13">
        <f t="shared" si="26"/>
        <v>900</v>
      </c>
      <c r="O64" s="13">
        <f t="shared" si="27"/>
        <v>900</v>
      </c>
      <c r="P64" s="13">
        <f t="shared" si="27"/>
        <v>900</v>
      </c>
      <c r="Q64" s="13">
        <f t="shared" si="27"/>
        <v>927</v>
      </c>
      <c r="R64" s="13">
        <f t="shared" si="27"/>
        <v>927</v>
      </c>
      <c r="S64" s="13">
        <f t="shared" si="27"/>
        <v>927</v>
      </c>
      <c r="T64" s="13">
        <f t="shared" si="27"/>
        <v>927</v>
      </c>
      <c r="U64" s="13">
        <f t="shared" si="27"/>
        <v>927</v>
      </c>
      <c r="V64" s="13">
        <f t="shared" si="27"/>
        <v>927</v>
      </c>
      <c r="W64" s="13">
        <f t="shared" si="27"/>
        <v>927</v>
      </c>
      <c r="X64" s="13">
        <f t="shared" si="27"/>
        <v>927</v>
      </c>
      <c r="Y64" s="13">
        <f t="shared" si="28"/>
        <v>927</v>
      </c>
      <c r="Z64" s="13">
        <f t="shared" si="28"/>
        <v>927</v>
      </c>
      <c r="AA64" s="13">
        <f t="shared" si="28"/>
        <v>927</v>
      </c>
      <c r="AB64" s="13">
        <f t="shared" si="28"/>
        <v>927</v>
      </c>
      <c r="AC64" s="13">
        <f t="shared" si="28"/>
        <v>954.81</v>
      </c>
      <c r="AD64" s="13">
        <f t="shared" si="28"/>
        <v>954.81</v>
      </c>
      <c r="AE64" s="13">
        <f t="shared" si="28"/>
        <v>954.81</v>
      </c>
      <c r="AF64" s="13">
        <f t="shared" si="28"/>
        <v>954.81</v>
      </c>
      <c r="AG64" s="13">
        <f t="shared" si="28"/>
        <v>954.81</v>
      </c>
      <c r="AH64" s="13">
        <f t="shared" si="28"/>
        <v>954.81</v>
      </c>
      <c r="AI64" s="13">
        <f t="shared" si="29"/>
        <v>954.81</v>
      </c>
      <c r="AJ64" s="13">
        <f t="shared" si="29"/>
        <v>954.81</v>
      </c>
      <c r="AK64" s="13">
        <f t="shared" si="29"/>
        <v>954.81</v>
      </c>
      <c r="AL64" s="13">
        <f t="shared" si="29"/>
        <v>954.81</v>
      </c>
      <c r="AM64" s="13">
        <f t="shared" si="29"/>
        <v>954.81</v>
      </c>
      <c r="AN64" s="13">
        <f t="shared" si="29"/>
        <v>954.81</v>
      </c>
    </row>
    <row r="65" spans="1:40" ht="15" x14ac:dyDescent="0.25">
      <c r="A65" s="21" t="s">
        <v>170</v>
      </c>
      <c r="B65" s="11">
        <v>350</v>
      </c>
      <c r="C65" s="24">
        <v>46113</v>
      </c>
      <c r="E65" s="13">
        <f t="shared" si="26"/>
        <v>350</v>
      </c>
      <c r="F65" s="13">
        <f t="shared" si="26"/>
        <v>350</v>
      </c>
      <c r="G65" s="13">
        <f t="shared" si="26"/>
        <v>350</v>
      </c>
      <c r="H65" s="13">
        <f t="shared" si="26"/>
        <v>350</v>
      </c>
      <c r="I65" s="13">
        <f t="shared" si="26"/>
        <v>350</v>
      </c>
      <c r="J65" s="13">
        <f t="shared" si="26"/>
        <v>350</v>
      </c>
      <c r="K65" s="13">
        <f t="shared" si="26"/>
        <v>350</v>
      </c>
      <c r="L65" s="13">
        <f t="shared" si="26"/>
        <v>350</v>
      </c>
      <c r="M65" s="13">
        <f t="shared" si="26"/>
        <v>350</v>
      </c>
      <c r="N65" s="13">
        <f t="shared" si="26"/>
        <v>350</v>
      </c>
      <c r="O65" s="13">
        <f t="shared" si="27"/>
        <v>350</v>
      </c>
      <c r="P65" s="13">
        <f t="shared" si="27"/>
        <v>350</v>
      </c>
      <c r="Q65" s="13">
        <f t="shared" si="27"/>
        <v>360.5</v>
      </c>
      <c r="R65" s="13">
        <f t="shared" si="27"/>
        <v>360.5</v>
      </c>
      <c r="S65" s="13">
        <f t="shared" si="27"/>
        <v>360.5</v>
      </c>
      <c r="T65" s="13">
        <f t="shared" si="27"/>
        <v>360.5</v>
      </c>
      <c r="U65" s="13">
        <f t="shared" si="27"/>
        <v>360.5</v>
      </c>
      <c r="V65" s="13">
        <f t="shared" si="27"/>
        <v>360.5</v>
      </c>
      <c r="W65" s="13">
        <f t="shared" si="27"/>
        <v>360.5</v>
      </c>
      <c r="X65" s="13">
        <f t="shared" si="27"/>
        <v>360.5</v>
      </c>
      <c r="Y65" s="13">
        <f t="shared" si="28"/>
        <v>360.5</v>
      </c>
      <c r="Z65" s="13">
        <f t="shared" si="28"/>
        <v>360.5</v>
      </c>
      <c r="AA65" s="13">
        <f t="shared" si="28"/>
        <v>360.5</v>
      </c>
      <c r="AB65" s="13">
        <f t="shared" si="28"/>
        <v>360.5</v>
      </c>
      <c r="AC65" s="13">
        <f t="shared" si="28"/>
        <v>371.315</v>
      </c>
      <c r="AD65" s="13">
        <f t="shared" si="28"/>
        <v>371.315</v>
      </c>
      <c r="AE65" s="13">
        <f t="shared" si="28"/>
        <v>371.315</v>
      </c>
      <c r="AF65" s="13">
        <f t="shared" si="28"/>
        <v>371.315</v>
      </c>
      <c r="AG65" s="13">
        <f t="shared" si="28"/>
        <v>371.315</v>
      </c>
      <c r="AH65" s="13">
        <f t="shared" si="28"/>
        <v>371.315</v>
      </c>
      <c r="AI65" s="13">
        <f t="shared" si="29"/>
        <v>371.315</v>
      </c>
      <c r="AJ65" s="13">
        <f t="shared" si="29"/>
        <v>371.315</v>
      </c>
      <c r="AK65" s="13">
        <f t="shared" si="29"/>
        <v>371.315</v>
      </c>
      <c r="AL65" s="13">
        <f t="shared" si="29"/>
        <v>371.315</v>
      </c>
      <c r="AM65" s="13">
        <f t="shared" si="29"/>
        <v>371.315</v>
      </c>
      <c r="AN65" s="13">
        <f t="shared" si="29"/>
        <v>371.315</v>
      </c>
    </row>
    <row r="66" spans="1:40" ht="15" x14ac:dyDescent="0.25">
      <c r="A66" s="21" t="s">
        <v>171</v>
      </c>
      <c r="B66" s="11">
        <v>600</v>
      </c>
      <c r="C66" s="24">
        <v>46113</v>
      </c>
      <c r="E66" s="13">
        <f t="shared" si="26"/>
        <v>600</v>
      </c>
      <c r="F66" s="13">
        <f t="shared" si="26"/>
        <v>600</v>
      </c>
      <c r="G66" s="13">
        <f t="shared" si="26"/>
        <v>600</v>
      </c>
      <c r="H66" s="13">
        <f t="shared" si="26"/>
        <v>600</v>
      </c>
      <c r="I66" s="13">
        <f t="shared" si="26"/>
        <v>600</v>
      </c>
      <c r="J66" s="13">
        <f t="shared" si="26"/>
        <v>600</v>
      </c>
      <c r="K66" s="13">
        <f t="shared" si="26"/>
        <v>600</v>
      </c>
      <c r="L66" s="13">
        <f t="shared" si="26"/>
        <v>600</v>
      </c>
      <c r="M66" s="13">
        <f t="shared" si="26"/>
        <v>600</v>
      </c>
      <c r="N66" s="13">
        <f t="shared" si="26"/>
        <v>600</v>
      </c>
      <c r="O66" s="13">
        <f t="shared" si="27"/>
        <v>600</v>
      </c>
      <c r="P66" s="13">
        <f t="shared" si="27"/>
        <v>600</v>
      </c>
      <c r="Q66" s="13">
        <f t="shared" si="27"/>
        <v>618</v>
      </c>
      <c r="R66" s="13">
        <f t="shared" si="27"/>
        <v>618</v>
      </c>
      <c r="S66" s="13">
        <f t="shared" si="27"/>
        <v>618</v>
      </c>
      <c r="T66" s="13">
        <f t="shared" si="27"/>
        <v>618</v>
      </c>
      <c r="U66" s="13">
        <f t="shared" si="27"/>
        <v>618</v>
      </c>
      <c r="V66" s="13">
        <f t="shared" si="27"/>
        <v>618</v>
      </c>
      <c r="W66" s="13">
        <f t="shared" si="27"/>
        <v>618</v>
      </c>
      <c r="X66" s="13">
        <f t="shared" si="27"/>
        <v>618</v>
      </c>
      <c r="Y66" s="13">
        <f t="shared" si="28"/>
        <v>618</v>
      </c>
      <c r="Z66" s="13">
        <f t="shared" si="28"/>
        <v>618</v>
      </c>
      <c r="AA66" s="13">
        <f t="shared" si="28"/>
        <v>618</v>
      </c>
      <c r="AB66" s="13">
        <f t="shared" si="28"/>
        <v>618</v>
      </c>
      <c r="AC66" s="13">
        <f t="shared" si="28"/>
        <v>636.54</v>
      </c>
      <c r="AD66" s="13">
        <f t="shared" si="28"/>
        <v>636.54</v>
      </c>
      <c r="AE66" s="13">
        <f t="shared" si="28"/>
        <v>636.54</v>
      </c>
      <c r="AF66" s="13">
        <f t="shared" si="28"/>
        <v>636.54</v>
      </c>
      <c r="AG66" s="13">
        <f t="shared" si="28"/>
        <v>636.54</v>
      </c>
      <c r="AH66" s="13">
        <f t="shared" si="28"/>
        <v>636.54</v>
      </c>
      <c r="AI66" s="13">
        <f t="shared" si="29"/>
        <v>636.54</v>
      </c>
      <c r="AJ66" s="13">
        <f t="shared" si="29"/>
        <v>636.54</v>
      </c>
      <c r="AK66" s="13">
        <f t="shared" si="29"/>
        <v>636.54</v>
      </c>
      <c r="AL66" s="13">
        <f t="shared" si="29"/>
        <v>636.54</v>
      </c>
      <c r="AM66" s="13">
        <f t="shared" si="29"/>
        <v>636.54</v>
      </c>
      <c r="AN66" s="13">
        <f t="shared" si="29"/>
        <v>636.54</v>
      </c>
    </row>
    <row r="67" spans="1:40" ht="15" x14ac:dyDescent="0.25">
      <c r="A67" s="21" t="s">
        <v>172</v>
      </c>
      <c r="E67" s="11">
        <v>3000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2500</v>
      </c>
      <c r="L67" s="11">
        <v>0</v>
      </c>
      <c r="M67" s="11">
        <v>0</v>
      </c>
      <c r="N67" s="11">
        <v>0</v>
      </c>
      <c r="O67" s="11">
        <v>0</v>
      </c>
      <c r="P67" s="11">
        <v>1500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2000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2500</v>
      </c>
      <c r="AL67" s="11">
        <v>0</v>
      </c>
      <c r="AM67" s="11">
        <v>0</v>
      </c>
      <c r="AN67" s="11">
        <v>0</v>
      </c>
    </row>
    <row r="68" spans="1:40" ht="15" x14ac:dyDescent="0.25">
      <c r="A68" s="8" t="s">
        <v>173</v>
      </c>
      <c r="E68" s="13">
        <f t="shared" ref="E68:AN68" si="30">SUM(E62:E67)</f>
        <v>8250</v>
      </c>
      <c r="F68" s="13">
        <f t="shared" si="30"/>
        <v>5250</v>
      </c>
      <c r="G68" s="13">
        <f t="shared" si="30"/>
        <v>5250</v>
      </c>
      <c r="H68" s="13">
        <f t="shared" si="30"/>
        <v>5250</v>
      </c>
      <c r="I68" s="13">
        <f t="shared" si="30"/>
        <v>5250</v>
      </c>
      <c r="J68" s="13">
        <f t="shared" si="30"/>
        <v>5250</v>
      </c>
      <c r="K68" s="13">
        <f t="shared" si="30"/>
        <v>7750</v>
      </c>
      <c r="L68" s="13">
        <f t="shared" si="30"/>
        <v>5250</v>
      </c>
      <c r="M68" s="13">
        <f t="shared" si="30"/>
        <v>5250</v>
      </c>
      <c r="N68" s="13">
        <f t="shared" si="30"/>
        <v>5250</v>
      </c>
      <c r="O68" s="13">
        <f t="shared" si="30"/>
        <v>5250</v>
      </c>
      <c r="P68" s="13">
        <f t="shared" si="30"/>
        <v>6750</v>
      </c>
      <c r="Q68" s="13">
        <f t="shared" si="30"/>
        <v>5407.5</v>
      </c>
      <c r="R68" s="13">
        <f t="shared" si="30"/>
        <v>5407.5</v>
      </c>
      <c r="S68" s="13">
        <f t="shared" si="30"/>
        <v>5407.5</v>
      </c>
      <c r="T68" s="13">
        <f t="shared" si="30"/>
        <v>5407.5</v>
      </c>
      <c r="U68" s="13">
        <f t="shared" si="30"/>
        <v>5407.5</v>
      </c>
      <c r="V68" s="13">
        <f t="shared" si="30"/>
        <v>5407.5</v>
      </c>
      <c r="W68" s="13">
        <f t="shared" si="30"/>
        <v>5407.5</v>
      </c>
      <c r="X68" s="13">
        <f t="shared" si="30"/>
        <v>5407.5</v>
      </c>
      <c r="Y68" s="13">
        <f t="shared" si="30"/>
        <v>5407.5</v>
      </c>
      <c r="Z68" s="13">
        <f t="shared" si="30"/>
        <v>5407.5</v>
      </c>
      <c r="AA68" s="13">
        <f t="shared" si="30"/>
        <v>5407.5</v>
      </c>
      <c r="AB68" s="13">
        <f t="shared" si="30"/>
        <v>5407.5</v>
      </c>
      <c r="AC68" s="13">
        <f t="shared" si="30"/>
        <v>7569.7249999999995</v>
      </c>
      <c r="AD68" s="13">
        <f t="shared" si="30"/>
        <v>5569.7249999999995</v>
      </c>
      <c r="AE68" s="13">
        <f t="shared" si="30"/>
        <v>5569.7249999999995</v>
      </c>
      <c r="AF68" s="13">
        <f t="shared" si="30"/>
        <v>5569.7249999999995</v>
      </c>
      <c r="AG68" s="13">
        <f t="shared" si="30"/>
        <v>5569.7249999999995</v>
      </c>
      <c r="AH68" s="13">
        <f t="shared" si="30"/>
        <v>5569.7249999999995</v>
      </c>
      <c r="AI68" s="13">
        <f t="shared" si="30"/>
        <v>5569.7249999999995</v>
      </c>
      <c r="AJ68" s="13">
        <f t="shared" si="30"/>
        <v>5569.7249999999995</v>
      </c>
      <c r="AK68" s="13">
        <f t="shared" si="30"/>
        <v>8069.7249999999995</v>
      </c>
      <c r="AL68" s="13">
        <f t="shared" si="30"/>
        <v>5569.7249999999995</v>
      </c>
      <c r="AM68" s="13">
        <f t="shared" si="30"/>
        <v>5569.7249999999995</v>
      </c>
      <c r="AN68" s="13">
        <f t="shared" si="30"/>
        <v>5569.7249999999995</v>
      </c>
    </row>
    <row r="69" spans="1:40" ht="15" x14ac:dyDescent="0.25"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</row>
    <row r="70" spans="1:40" ht="15" x14ac:dyDescent="0.25">
      <c r="A70" s="27" t="s">
        <v>174</v>
      </c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</row>
    <row r="71" spans="1:40" ht="15" x14ac:dyDescent="0.25">
      <c r="A71" s="21" t="s">
        <v>175</v>
      </c>
      <c r="E71" s="11">
        <v>12000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3500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W71" s="11">
        <v>0</v>
      </c>
      <c r="X71" s="11">
        <v>0</v>
      </c>
      <c r="Y71" s="11">
        <v>0</v>
      </c>
      <c r="Z71" s="11">
        <v>0</v>
      </c>
      <c r="AA71" s="11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1">
        <v>0</v>
      </c>
      <c r="AI71" s="11">
        <v>0</v>
      </c>
      <c r="AJ71" s="11">
        <v>0</v>
      </c>
      <c r="AK71" s="11">
        <v>0</v>
      </c>
      <c r="AL71" s="11">
        <v>0</v>
      </c>
      <c r="AM71" s="11">
        <v>0</v>
      </c>
      <c r="AN71" s="11">
        <v>0</v>
      </c>
    </row>
    <row r="72" spans="1:40" ht="15" x14ac:dyDescent="0.25">
      <c r="A72" s="21" t="s">
        <v>176</v>
      </c>
      <c r="E72" s="11">
        <v>6000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1">
        <v>0</v>
      </c>
      <c r="AI72" s="11">
        <v>0</v>
      </c>
      <c r="AJ72" s="11">
        <v>0</v>
      </c>
      <c r="AK72" s="11">
        <v>0</v>
      </c>
      <c r="AL72" s="11">
        <v>0</v>
      </c>
      <c r="AM72" s="11">
        <v>0</v>
      </c>
      <c r="AN72" s="11">
        <v>0</v>
      </c>
    </row>
    <row r="73" spans="1:40" ht="15" x14ac:dyDescent="0.25">
      <c r="A73" s="21" t="s">
        <v>177</v>
      </c>
      <c r="E73" s="13">
        <f t="shared" ref="E73:AN73" si="31">IF(E$5=1,$B$14,0)</f>
        <v>40000</v>
      </c>
      <c r="F73" s="13">
        <f t="shared" si="31"/>
        <v>0</v>
      </c>
      <c r="G73" s="13">
        <f t="shared" si="31"/>
        <v>0</v>
      </c>
      <c r="H73" s="13">
        <f t="shared" si="31"/>
        <v>0</v>
      </c>
      <c r="I73" s="13">
        <f t="shared" si="31"/>
        <v>0</v>
      </c>
      <c r="J73" s="13">
        <f t="shared" si="31"/>
        <v>0</v>
      </c>
      <c r="K73" s="13">
        <f t="shared" si="31"/>
        <v>0</v>
      </c>
      <c r="L73" s="13">
        <f t="shared" si="31"/>
        <v>0</v>
      </c>
      <c r="M73" s="13">
        <f t="shared" si="31"/>
        <v>0</v>
      </c>
      <c r="N73" s="13">
        <f t="shared" si="31"/>
        <v>0</v>
      </c>
      <c r="O73" s="13">
        <f t="shared" si="31"/>
        <v>0</v>
      </c>
      <c r="P73" s="13">
        <f t="shared" si="31"/>
        <v>0</v>
      </c>
      <c r="Q73" s="13">
        <f t="shared" si="31"/>
        <v>0</v>
      </c>
      <c r="R73" s="13">
        <f t="shared" si="31"/>
        <v>0</v>
      </c>
      <c r="S73" s="13">
        <f t="shared" si="31"/>
        <v>0</v>
      </c>
      <c r="T73" s="13">
        <f t="shared" si="31"/>
        <v>0</v>
      </c>
      <c r="U73" s="13">
        <f t="shared" si="31"/>
        <v>0</v>
      </c>
      <c r="V73" s="13">
        <f t="shared" si="31"/>
        <v>0</v>
      </c>
      <c r="W73" s="13">
        <f t="shared" si="31"/>
        <v>0</v>
      </c>
      <c r="X73" s="13">
        <f t="shared" si="31"/>
        <v>0</v>
      </c>
      <c r="Y73" s="13">
        <f t="shared" si="31"/>
        <v>0</v>
      </c>
      <c r="Z73" s="13">
        <f t="shared" si="31"/>
        <v>0</v>
      </c>
      <c r="AA73" s="13">
        <f t="shared" si="31"/>
        <v>0</v>
      </c>
      <c r="AB73" s="13">
        <f t="shared" si="31"/>
        <v>0</v>
      </c>
      <c r="AC73" s="13">
        <f t="shared" si="31"/>
        <v>0</v>
      </c>
      <c r="AD73" s="13">
        <f t="shared" si="31"/>
        <v>0</v>
      </c>
      <c r="AE73" s="13">
        <f t="shared" si="31"/>
        <v>0</v>
      </c>
      <c r="AF73" s="13">
        <f t="shared" si="31"/>
        <v>0</v>
      </c>
      <c r="AG73" s="13">
        <f t="shared" si="31"/>
        <v>0</v>
      </c>
      <c r="AH73" s="13">
        <f t="shared" si="31"/>
        <v>0</v>
      </c>
      <c r="AI73" s="13">
        <f t="shared" si="31"/>
        <v>0</v>
      </c>
      <c r="AJ73" s="13">
        <f t="shared" si="31"/>
        <v>0</v>
      </c>
      <c r="AK73" s="13">
        <f t="shared" si="31"/>
        <v>0</v>
      </c>
      <c r="AL73" s="13">
        <f t="shared" si="31"/>
        <v>0</v>
      </c>
      <c r="AM73" s="13">
        <f t="shared" si="31"/>
        <v>0</v>
      </c>
      <c r="AN73" s="13">
        <f t="shared" si="31"/>
        <v>0</v>
      </c>
    </row>
    <row r="74" spans="1:40" ht="15" x14ac:dyDescent="0.25">
      <c r="A74" s="21" t="s">
        <v>178</v>
      </c>
      <c r="E74" s="13">
        <f t="shared" ref="E74:AN74" si="32">IF(E$5=1,$B$15,0)</f>
        <v>50000</v>
      </c>
      <c r="F74" s="13">
        <f t="shared" si="32"/>
        <v>0</v>
      </c>
      <c r="G74" s="13">
        <f t="shared" si="32"/>
        <v>0</v>
      </c>
      <c r="H74" s="13">
        <f t="shared" si="32"/>
        <v>0</v>
      </c>
      <c r="I74" s="13">
        <f t="shared" si="32"/>
        <v>0</v>
      </c>
      <c r="J74" s="13">
        <f t="shared" si="32"/>
        <v>0</v>
      </c>
      <c r="K74" s="13">
        <f t="shared" si="32"/>
        <v>0</v>
      </c>
      <c r="L74" s="13">
        <f t="shared" si="32"/>
        <v>0</v>
      </c>
      <c r="M74" s="13">
        <f t="shared" si="32"/>
        <v>0</v>
      </c>
      <c r="N74" s="13">
        <f t="shared" si="32"/>
        <v>0</v>
      </c>
      <c r="O74" s="13">
        <f t="shared" si="32"/>
        <v>0</v>
      </c>
      <c r="P74" s="13">
        <f t="shared" si="32"/>
        <v>0</v>
      </c>
      <c r="Q74" s="13">
        <f t="shared" si="32"/>
        <v>0</v>
      </c>
      <c r="R74" s="13">
        <f t="shared" si="32"/>
        <v>0</v>
      </c>
      <c r="S74" s="13">
        <f t="shared" si="32"/>
        <v>0</v>
      </c>
      <c r="T74" s="13">
        <f t="shared" si="32"/>
        <v>0</v>
      </c>
      <c r="U74" s="13">
        <f t="shared" si="32"/>
        <v>0</v>
      </c>
      <c r="V74" s="13">
        <f t="shared" si="32"/>
        <v>0</v>
      </c>
      <c r="W74" s="13">
        <f t="shared" si="32"/>
        <v>0</v>
      </c>
      <c r="X74" s="13">
        <f t="shared" si="32"/>
        <v>0</v>
      </c>
      <c r="Y74" s="13">
        <f t="shared" si="32"/>
        <v>0</v>
      </c>
      <c r="Z74" s="13">
        <f t="shared" si="32"/>
        <v>0</v>
      </c>
      <c r="AA74" s="13">
        <f t="shared" si="32"/>
        <v>0</v>
      </c>
      <c r="AB74" s="13">
        <f t="shared" si="32"/>
        <v>0</v>
      </c>
      <c r="AC74" s="13">
        <f t="shared" si="32"/>
        <v>0</v>
      </c>
      <c r="AD74" s="13">
        <f t="shared" si="32"/>
        <v>0</v>
      </c>
      <c r="AE74" s="13">
        <f t="shared" si="32"/>
        <v>0</v>
      </c>
      <c r="AF74" s="13">
        <f t="shared" si="32"/>
        <v>0</v>
      </c>
      <c r="AG74" s="13">
        <f t="shared" si="32"/>
        <v>0</v>
      </c>
      <c r="AH74" s="13">
        <f t="shared" si="32"/>
        <v>0</v>
      </c>
      <c r="AI74" s="13">
        <f t="shared" si="32"/>
        <v>0</v>
      </c>
      <c r="AJ74" s="13">
        <f t="shared" si="32"/>
        <v>0</v>
      </c>
      <c r="AK74" s="13">
        <f t="shared" si="32"/>
        <v>0</v>
      </c>
      <c r="AL74" s="13">
        <f t="shared" si="32"/>
        <v>0</v>
      </c>
      <c r="AM74" s="13">
        <f t="shared" si="32"/>
        <v>0</v>
      </c>
      <c r="AN74" s="13">
        <f t="shared" si="32"/>
        <v>0</v>
      </c>
    </row>
    <row r="75" spans="1:40" ht="15" x14ac:dyDescent="0.25">
      <c r="A75" s="21" t="s">
        <v>179</v>
      </c>
      <c r="E75" s="13">
        <f>$B$15</f>
        <v>50000</v>
      </c>
      <c r="F75" s="13">
        <f t="shared" ref="F75:AN75" si="33">E79</f>
        <v>50000</v>
      </c>
      <c r="G75" s="13">
        <f t="shared" si="33"/>
        <v>50000</v>
      </c>
      <c r="H75" s="13">
        <f t="shared" si="33"/>
        <v>50000</v>
      </c>
      <c r="I75" s="13">
        <f t="shared" si="33"/>
        <v>48071.968760524127</v>
      </c>
      <c r="J75" s="13">
        <f t="shared" si="33"/>
        <v>46131.083979451745</v>
      </c>
      <c r="K75" s="13">
        <f t="shared" si="33"/>
        <v>44177.259966505546</v>
      </c>
      <c r="L75" s="13">
        <f t="shared" si="33"/>
        <v>42210.410460139712</v>
      </c>
      <c r="M75" s="13">
        <f t="shared" si="33"/>
        <v>40230.448623731434</v>
      </c>
      <c r="N75" s="13">
        <f t="shared" si="33"/>
        <v>38237.287041747106</v>
      </c>
      <c r="O75" s="13">
        <f t="shared" si="33"/>
        <v>36230.837715882881</v>
      </c>
      <c r="P75" s="13">
        <f t="shared" si="33"/>
        <v>34211.012061179557</v>
      </c>
      <c r="Q75" s="13">
        <f t="shared" si="33"/>
        <v>32177.720902111549</v>
      </c>
      <c r="R75" s="13">
        <f t="shared" si="33"/>
        <v>30130.874468649752</v>
      </c>
      <c r="S75" s="13">
        <f t="shared" si="33"/>
        <v>28070.382392298208</v>
      </c>
      <c r="T75" s="13">
        <f t="shared" si="33"/>
        <v>25996.153702104322</v>
      </c>
      <c r="U75" s="13">
        <f t="shared" si="33"/>
        <v>23908.096820642477</v>
      </c>
      <c r="V75" s="13">
        <f t="shared" si="33"/>
        <v>21806.119559970884</v>
      </c>
      <c r="W75" s="13">
        <f t="shared" si="33"/>
        <v>19690.129117561482</v>
      </c>
      <c r="X75" s="13">
        <f t="shared" si="33"/>
        <v>17560.032072202685</v>
      </c>
      <c r="Y75" s="13">
        <f t="shared" si="33"/>
        <v>15415.734379874828</v>
      </c>
      <c r="Z75" s="13">
        <f t="shared" si="33"/>
        <v>13257.141369598119</v>
      </c>
      <c r="AA75" s="13">
        <f t="shared" si="33"/>
        <v>11084.1577392529</v>
      </c>
      <c r="AB75" s="13">
        <f t="shared" si="33"/>
        <v>8896.6875513720443</v>
      </c>
      <c r="AC75" s="13">
        <f t="shared" si="33"/>
        <v>6694.6342289053173</v>
      </c>
      <c r="AD75" s="13">
        <f t="shared" si="33"/>
        <v>4477.900550955479</v>
      </c>
      <c r="AE75" s="13">
        <f t="shared" si="33"/>
        <v>2246.388648485975</v>
      </c>
      <c r="AF75" s="13">
        <f t="shared" si="33"/>
        <v>7.2759576141834259E-12</v>
      </c>
      <c r="AG75" s="13">
        <f t="shared" si="33"/>
        <v>7.2759576141834259E-12</v>
      </c>
      <c r="AH75" s="13">
        <f t="shared" si="33"/>
        <v>7.2759576141834259E-12</v>
      </c>
      <c r="AI75" s="13">
        <f t="shared" si="33"/>
        <v>7.2759576141834259E-12</v>
      </c>
      <c r="AJ75" s="13">
        <f t="shared" si="33"/>
        <v>7.2759576141834259E-12</v>
      </c>
      <c r="AK75" s="13">
        <f t="shared" si="33"/>
        <v>7.2759576141834259E-12</v>
      </c>
      <c r="AL75" s="13">
        <f t="shared" si="33"/>
        <v>7.2759576141834259E-12</v>
      </c>
      <c r="AM75" s="13">
        <f t="shared" si="33"/>
        <v>7.2759576141834259E-12</v>
      </c>
      <c r="AN75" s="13">
        <f t="shared" si="33"/>
        <v>7.2759576141834259E-12</v>
      </c>
    </row>
    <row r="76" spans="1:40" ht="15" x14ac:dyDescent="0.25">
      <c r="A76" s="21" t="s">
        <v>180</v>
      </c>
      <c r="E76" s="13">
        <f t="shared" ref="E76:AN76" si="34">IF(OR(E$5&lt;$B$18,E$5&gt;=$B$18+$B$17,$B$15=0),0,-PMT($B$16/12,$B$17,$B$15))</f>
        <v>0</v>
      </c>
      <c r="F76" s="13">
        <f t="shared" si="34"/>
        <v>0</v>
      </c>
      <c r="G76" s="13">
        <f t="shared" si="34"/>
        <v>0</v>
      </c>
      <c r="H76" s="13">
        <f t="shared" si="34"/>
        <v>2261.3645728092074</v>
      </c>
      <c r="I76" s="13">
        <f t="shared" si="34"/>
        <v>2261.3645728092074</v>
      </c>
      <c r="J76" s="13">
        <f t="shared" si="34"/>
        <v>2261.3645728092074</v>
      </c>
      <c r="K76" s="13">
        <f t="shared" si="34"/>
        <v>2261.3645728092074</v>
      </c>
      <c r="L76" s="13">
        <f t="shared" si="34"/>
        <v>2261.3645728092074</v>
      </c>
      <c r="M76" s="13">
        <f t="shared" si="34"/>
        <v>2261.3645728092074</v>
      </c>
      <c r="N76" s="13">
        <f t="shared" si="34"/>
        <v>2261.3645728092074</v>
      </c>
      <c r="O76" s="13">
        <f t="shared" si="34"/>
        <v>2261.3645728092074</v>
      </c>
      <c r="P76" s="13">
        <f t="shared" si="34"/>
        <v>2261.3645728092074</v>
      </c>
      <c r="Q76" s="13">
        <f t="shared" si="34"/>
        <v>2261.3645728092074</v>
      </c>
      <c r="R76" s="13">
        <f t="shared" si="34"/>
        <v>2261.3645728092074</v>
      </c>
      <c r="S76" s="13">
        <f t="shared" si="34"/>
        <v>2261.3645728092074</v>
      </c>
      <c r="T76" s="13">
        <f t="shared" si="34"/>
        <v>2261.3645728092074</v>
      </c>
      <c r="U76" s="13">
        <f t="shared" si="34"/>
        <v>2261.3645728092074</v>
      </c>
      <c r="V76" s="13">
        <f t="shared" si="34"/>
        <v>2261.3645728092074</v>
      </c>
      <c r="W76" s="13">
        <f t="shared" si="34"/>
        <v>2261.3645728092074</v>
      </c>
      <c r="X76" s="13">
        <f t="shared" si="34"/>
        <v>2261.3645728092074</v>
      </c>
      <c r="Y76" s="13">
        <f t="shared" si="34"/>
        <v>2261.3645728092074</v>
      </c>
      <c r="Z76" s="13">
        <f t="shared" si="34"/>
        <v>2261.3645728092074</v>
      </c>
      <c r="AA76" s="13">
        <f t="shared" si="34"/>
        <v>2261.3645728092074</v>
      </c>
      <c r="AB76" s="13">
        <f t="shared" si="34"/>
        <v>2261.3645728092074</v>
      </c>
      <c r="AC76" s="13">
        <f t="shared" si="34"/>
        <v>2261.3645728092074</v>
      </c>
      <c r="AD76" s="13">
        <f t="shared" si="34"/>
        <v>2261.3645728092074</v>
      </c>
      <c r="AE76" s="13">
        <f t="shared" si="34"/>
        <v>2261.3645728092074</v>
      </c>
      <c r="AF76" s="13">
        <f t="shared" si="34"/>
        <v>0</v>
      </c>
      <c r="AG76" s="13">
        <f t="shared" si="34"/>
        <v>0</v>
      </c>
      <c r="AH76" s="13">
        <f t="shared" si="34"/>
        <v>0</v>
      </c>
      <c r="AI76" s="13">
        <f t="shared" si="34"/>
        <v>0</v>
      </c>
      <c r="AJ76" s="13">
        <f t="shared" si="34"/>
        <v>0</v>
      </c>
      <c r="AK76" s="13">
        <f t="shared" si="34"/>
        <v>0</v>
      </c>
      <c r="AL76" s="13">
        <f t="shared" si="34"/>
        <v>0</v>
      </c>
      <c r="AM76" s="13">
        <f t="shared" si="34"/>
        <v>0</v>
      </c>
      <c r="AN76" s="13">
        <f t="shared" si="34"/>
        <v>0</v>
      </c>
    </row>
    <row r="77" spans="1:40" ht="15" x14ac:dyDescent="0.25">
      <c r="A77" s="21" t="s">
        <v>181</v>
      </c>
      <c r="E77" s="13">
        <f t="shared" ref="E77:AN77" si="35">IF(E76=0,0,E75*$B$16/12)</f>
        <v>0</v>
      </c>
      <c r="F77" s="13">
        <f t="shared" si="35"/>
        <v>0</v>
      </c>
      <c r="G77" s="13">
        <f t="shared" si="35"/>
        <v>0</v>
      </c>
      <c r="H77" s="13">
        <f t="shared" si="35"/>
        <v>333.33333333333331</v>
      </c>
      <c r="I77" s="13">
        <f t="shared" si="35"/>
        <v>320.47979173682751</v>
      </c>
      <c r="J77" s="13">
        <f t="shared" si="35"/>
        <v>307.54055986301165</v>
      </c>
      <c r="K77" s="13">
        <f t="shared" si="35"/>
        <v>294.5150664433703</v>
      </c>
      <c r="L77" s="13">
        <f t="shared" si="35"/>
        <v>281.40273640093142</v>
      </c>
      <c r="M77" s="13">
        <f t="shared" si="35"/>
        <v>268.20299082487622</v>
      </c>
      <c r="N77" s="13">
        <f t="shared" si="35"/>
        <v>254.91524694498071</v>
      </c>
      <c r="O77" s="13">
        <f t="shared" si="35"/>
        <v>241.53891810588587</v>
      </c>
      <c r="P77" s="13">
        <f t="shared" si="35"/>
        <v>228.07341374119707</v>
      </c>
      <c r="Q77" s="13">
        <f t="shared" si="35"/>
        <v>214.51813934741031</v>
      </c>
      <c r="R77" s="13">
        <f t="shared" si="35"/>
        <v>200.87249645766499</v>
      </c>
      <c r="S77" s="13">
        <f t="shared" si="35"/>
        <v>187.13588261532141</v>
      </c>
      <c r="T77" s="13">
        <f t="shared" si="35"/>
        <v>173.30769134736215</v>
      </c>
      <c r="U77" s="13">
        <f t="shared" si="35"/>
        <v>159.38731213761653</v>
      </c>
      <c r="V77" s="13">
        <f t="shared" si="35"/>
        <v>145.37413039980589</v>
      </c>
      <c r="W77" s="13">
        <f t="shared" si="35"/>
        <v>131.26752745040989</v>
      </c>
      <c r="X77" s="13">
        <f t="shared" si="35"/>
        <v>117.06688048135123</v>
      </c>
      <c r="Y77" s="13">
        <f t="shared" si="35"/>
        <v>102.77156253249886</v>
      </c>
      <c r="Z77" s="13">
        <f t="shared" si="35"/>
        <v>88.380942463987466</v>
      </c>
      <c r="AA77" s="13">
        <f t="shared" si="35"/>
        <v>73.894384928352665</v>
      </c>
      <c r="AB77" s="13">
        <f t="shared" si="35"/>
        <v>59.311250342480292</v>
      </c>
      <c r="AC77" s="13">
        <f t="shared" si="35"/>
        <v>44.630894859368787</v>
      </c>
      <c r="AD77" s="13">
        <f t="shared" si="35"/>
        <v>29.852670339703195</v>
      </c>
      <c r="AE77" s="13">
        <f t="shared" si="35"/>
        <v>14.975924323239832</v>
      </c>
      <c r="AF77" s="13">
        <f t="shared" si="35"/>
        <v>0</v>
      </c>
      <c r="AG77" s="13">
        <f t="shared" si="35"/>
        <v>0</v>
      </c>
      <c r="AH77" s="13">
        <f t="shared" si="35"/>
        <v>0</v>
      </c>
      <c r="AI77" s="13">
        <f t="shared" si="35"/>
        <v>0</v>
      </c>
      <c r="AJ77" s="13">
        <f t="shared" si="35"/>
        <v>0</v>
      </c>
      <c r="AK77" s="13">
        <f t="shared" si="35"/>
        <v>0</v>
      </c>
      <c r="AL77" s="13">
        <f t="shared" si="35"/>
        <v>0</v>
      </c>
      <c r="AM77" s="13">
        <f t="shared" si="35"/>
        <v>0</v>
      </c>
      <c r="AN77" s="13">
        <f t="shared" si="35"/>
        <v>0</v>
      </c>
    </row>
    <row r="78" spans="1:40" ht="15" x14ac:dyDescent="0.25">
      <c r="A78" s="21" t="s">
        <v>182</v>
      </c>
      <c r="E78" s="13">
        <f t="shared" ref="E78:AN78" si="36">IF(E76=0,0,E76-E77)</f>
        <v>0</v>
      </c>
      <c r="F78" s="13">
        <f t="shared" si="36"/>
        <v>0</v>
      </c>
      <c r="G78" s="13">
        <f t="shared" si="36"/>
        <v>0</v>
      </c>
      <c r="H78" s="13">
        <f t="shared" si="36"/>
        <v>1928.0312394758741</v>
      </c>
      <c r="I78" s="13">
        <f t="shared" si="36"/>
        <v>1940.8847810723798</v>
      </c>
      <c r="J78" s="13">
        <f t="shared" si="36"/>
        <v>1953.8240129461958</v>
      </c>
      <c r="K78" s="13">
        <f t="shared" si="36"/>
        <v>1966.849506365837</v>
      </c>
      <c r="L78" s="13">
        <f t="shared" si="36"/>
        <v>1979.961836408276</v>
      </c>
      <c r="M78" s="13">
        <f t="shared" si="36"/>
        <v>1993.1615819843312</v>
      </c>
      <c r="N78" s="13">
        <f t="shared" si="36"/>
        <v>2006.4493258642267</v>
      </c>
      <c r="O78" s="13">
        <f t="shared" si="36"/>
        <v>2019.8256547033216</v>
      </c>
      <c r="P78" s="13">
        <f t="shared" si="36"/>
        <v>2033.2911590680103</v>
      </c>
      <c r="Q78" s="13">
        <f t="shared" si="36"/>
        <v>2046.846433461797</v>
      </c>
      <c r="R78" s="13">
        <f t="shared" si="36"/>
        <v>2060.4920763515424</v>
      </c>
      <c r="S78" s="13">
        <f t="shared" si="36"/>
        <v>2074.228690193886</v>
      </c>
      <c r="T78" s="13">
        <f t="shared" si="36"/>
        <v>2088.0568814618455</v>
      </c>
      <c r="U78" s="13">
        <f t="shared" si="36"/>
        <v>2101.977260671591</v>
      </c>
      <c r="V78" s="13">
        <f t="shared" si="36"/>
        <v>2115.9904424094016</v>
      </c>
      <c r="W78" s="13">
        <f t="shared" si="36"/>
        <v>2130.0970453587975</v>
      </c>
      <c r="X78" s="13">
        <f t="shared" si="36"/>
        <v>2144.2976923278561</v>
      </c>
      <c r="Y78" s="13">
        <f t="shared" si="36"/>
        <v>2158.5930102767084</v>
      </c>
      <c r="Z78" s="13">
        <f t="shared" si="36"/>
        <v>2172.9836303452198</v>
      </c>
      <c r="AA78" s="13">
        <f t="shared" si="36"/>
        <v>2187.4701878808546</v>
      </c>
      <c r="AB78" s="13">
        <f t="shared" si="36"/>
        <v>2202.053322466727</v>
      </c>
      <c r="AC78" s="13">
        <f t="shared" si="36"/>
        <v>2216.7336779498387</v>
      </c>
      <c r="AD78" s="13">
        <f t="shared" si="36"/>
        <v>2231.5119024695041</v>
      </c>
      <c r="AE78" s="13">
        <f t="shared" si="36"/>
        <v>2246.3886484859677</v>
      </c>
      <c r="AF78" s="13">
        <f t="shared" si="36"/>
        <v>0</v>
      </c>
      <c r="AG78" s="13">
        <f t="shared" si="36"/>
        <v>0</v>
      </c>
      <c r="AH78" s="13">
        <f t="shared" si="36"/>
        <v>0</v>
      </c>
      <c r="AI78" s="13">
        <f t="shared" si="36"/>
        <v>0</v>
      </c>
      <c r="AJ78" s="13">
        <f t="shared" si="36"/>
        <v>0</v>
      </c>
      <c r="AK78" s="13">
        <f t="shared" si="36"/>
        <v>0</v>
      </c>
      <c r="AL78" s="13">
        <f t="shared" si="36"/>
        <v>0</v>
      </c>
      <c r="AM78" s="13">
        <f t="shared" si="36"/>
        <v>0</v>
      </c>
      <c r="AN78" s="13">
        <f t="shared" si="36"/>
        <v>0</v>
      </c>
    </row>
    <row r="79" spans="1:40" ht="15" x14ac:dyDescent="0.25">
      <c r="A79" s="21" t="s">
        <v>183</v>
      </c>
      <c r="E79" s="13">
        <f t="shared" ref="E79:AN79" si="37">MAX(0,E75-E78)</f>
        <v>50000</v>
      </c>
      <c r="F79" s="13">
        <f t="shared" si="37"/>
        <v>50000</v>
      </c>
      <c r="G79" s="13">
        <f t="shared" si="37"/>
        <v>50000</v>
      </c>
      <c r="H79" s="13">
        <f t="shared" si="37"/>
        <v>48071.968760524127</v>
      </c>
      <c r="I79" s="13">
        <f t="shared" si="37"/>
        <v>46131.083979451745</v>
      </c>
      <c r="J79" s="13">
        <f t="shared" si="37"/>
        <v>44177.259966505546</v>
      </c>
      <c r="K79" s="13">
        <f t="shared" si="37"/>
        <v>42210.410460139712</v>
      </c>
      <c r="L79" s="13">
        <f t="shared" si="37"/>
        <v>40230.448623731434</v>
      </c>
      <c r="M79" s="13">
        <f t="shared" si="37"/>
        <v>38237.287041747106</v>
      </c>
      <c r="N79" s="13">
        <f t="shared" si="37"/>
        <v>36230.837715882881</v>
      </c>
      <c r="O79" s="13">
        <f t="shared" si="37"/>
        <v>34211.012061179557</v>
      </c>
      <c r="P79" s="13">
        <f t="shared" si="37"/>
        <v>32177.720902111549</v>
      </c>
      <c r="Q79" s="13">
        <f t="shared" si="37"/>
        <v>30130.874468649752</v>
      </c>
      <c r="R79" s="13">
        <f t="shared" si="37"/>
        <v>28070.382392298208</v>
      </c>
      <c r="S79" s="13">
        <f t="shared" si="37"/>
        <v>25996.153702104322</v>
      </c>
      <c r="T79" s="13">
        <f t="shared" si="37"/>
        <v>23908.096820642477</v>
      </c>
      <c r="U79" s="13">
        <f t="shared" si="37"/>
        <v>21806.119559970884</v>
      </c>
      <c r="V79" s="13">
        <f t="shared" si="37"/>
        <v>19690.129117561482</v>
      </c>
      <c r="W79" s="13">
        <f t="shared" si="37"/>
        <v>17560.032072202685</v>
      </c>
      <c r="X79" s="13">
        <f t="shared" si="37"/>
        <v>15415.734379874828</v>
      </c>
      <c r="Y79" s="13">
        <f t="shared" si="37"/>
        <v>13257.141369598119</v>
      </c>
      <c r="Z79" s="13">
        <f t="shared" si="37"/>
        <v>11084.1577392529</v>
      </c>
      <c r="AA79" s="13">
        <f t="shared" si="37"/>
        <v>8896.6875513720443</v>
      </c>
      <c r="AB79" s="13">
        <f t="shared" si="37"/>
        <v>6694.6342289053173</v>
      </c>
      <c r="AC79" s="13">
        <f t="shared" si="37"/>
        <v>4477.900550955479</v>
      </c>
      <c r="AD79" s="13">
        <f t="shared" si="37"/>
        <v>2246.388648485975</v>
      </c>
      <c r="AE79" s="13">
        <f t="shared" si="37"/>
        <v>7.2759576141834259E-12</v>
      </c>
      <c r="AF79" s="13">
        <f t="shared" si="37"/>
        <v>7.2759576141834259E-12</v>
      </c>
      <c r="AG79" s="13">
        <f t="shared" si="37"/>
        <v>7.2759576141834259E-12</v>
      </c>
      <c r="AH79" s="13">
        <f t="shared" si="37"/>
        <v>7.2759576141834259E-12</v>
      </c>
      <c r="AI79" s="13">
        <f t="shared" si="37"/>
        <v>7.2759576141834259E-12</v>
      </c>
      <c r="AJ79" s="13">
        <f t="shared" si="37"/>
        <v>7.2759576141834259E-12</v>
      </c>
      <c r="AK79" s="13">
        <f t="shared" si="37"/>
        <v>7.2759576141834259E-12</v>
      </c>
      <c r="AL79" s="13">
        <f t="shared" si="37"/>
        <v>7.2759576141834259E-12</v>
      </c>
      <c r="AM79" s="13">
        <f t="shared" si="37"/>
        <v>7.2759576141834259E-12</v>
      </c>
      <c r="AN79" s="13">
        <f t="shared" si="37"/>
        <v>7.2759576141834259E-12</v>
      </c>
    </row>
    <row r="80" spans="1:40" ht="15" x14ac:dyDescent="0.25">
      <c r="A80" s="8" t="s">
        <v>184</v>
      </c>
      <c r="E80" s="13">
        <f t="shared" ref="E80:AN80" si="38">E47-E58-E68</f>
        <v>-13245</v>
      </c>
      <c r="F80" s="13">
        <f t="shared" si="38"/>
        <v>-11765</v>
      </c>
      <c r="G80" s="13">
        <f t="shared" si="38"/>
        <v>-8725</v>
      </c>
      <c r="H80" s="13">
        <f t="shared" si="38"/>
        <v>-7750</v>
      </c>
      <c r="I80" s="13">
        <f t="shared" si="38"/>
        <v>-6775</v>
      </c>
      <c r="J80" s="13">
        <f t="shared" si="38"/>
        <v>-5605</v>
      </c>
      <c r="K80" s="13">
        <f t="shared" si="38"/>
        <v>-7930</v>
      </c>
      <c r="L80" s="13">
        <f t="shared" si="38"/>
        <v>-2835</v>
      </c>
      <c r="M80" s="13">
        <f t="shared" si="38"/>
        <v>-3285</v>
      </c>
      <c r="N80" s="13">
        <f t="shared" si="38"/>
        <v>145</v>
      </c>
      <c r="O80" s="13">
        <f t="shared" si="38"/>
        <v>-750</v>
      </c>
      <c r="P80" s="13">
        <f t="shared" si="38"/>
        <v>1375</v>
      </c>
      <c r="Q80" s="13">
        <f t="shared" si="38"/>
        <v>3997.5</v>
      </c>
      <c r="R80" s="13">
        <f t="shared" si="38"/>
        <v>6091.4499999999971</v>
      </c>
      <c r="S80" s="13">
        <f t="shared" si="38"/>
        <v>7721.4499999999971</v>
      </c>
      <c r="T80" s="13">
        <f t="shared" si="38"/>
        <v>9147.6999999999971</v>
      </c>
      <c r="U80" s="13">
        <f t="shared" si="38"/>
        <v>10573.949999999997</v>
      </c>
      <c r="V80" s="13">
        <f t="shared" si="38"/>
        <v>13898.549999999996</v>
      </c>
      <c r="W80" s="13">
        <f t="shared" si="38"/>
        <v>13833.949999999997</v>
      </c>
      <c r="X80" s="13">
        <f t="shared" si="38"/>
        <v>17158.550000000003</v>
      </c>
      <c r="Y80" s="13">
        <f t="shared" si="38"/>
        <v>17297.700000000004</v>
      </c>
      <c r="Z80" s="13">
        <f t="shared" si="38"/>
        <v>21493.75</v>
      </c>
      <c r="AA80" s="13">
        <f t="shared" si="38"/>
        <v>22456.050000000003</v>
      </c>
      <c r="AB80" s="13">
        <f t="shared" si="38"/>
        <v>24957.5</v>
      </c>
      <c r="AC80" s="13">
        <f t="shared" si="38"/>
        <v>25536.768500000013</v>
      </c>
      <c r="AD80" s="13">
        <f t="shared" si="38"/>
        <v>30149.246000000028</v>
      </c>
      <c r="AE80" s="13">
        <f t="shared" si="38"/>
        <v>32065.152500000018</v>
      </c>
      <c r="AF80" s="13">
        <f t="shared" si="38"/>
        <v>35966.415500000017</v>
      </c>
      <c r="AG80" s="13">
        <f t="shared" si="38"/>
        <v>36322.722500000018</v>
      </c>
      <c r="AH80" s="13">
        <f t="shared" si="38"/>
        <v>40223.985500000024</v>
      </c>
      <c r="AI80" s="13">
        <f t="shared" si="38"/>
        <v>40580.292500000018</v>
      </c>
      <c r="AJ80" s="13">
        <f t="shared" si="38"/>
        <v>45178.12650000002</v>
      </c>
      <c r="AK80" s="13">
        <f t="shared" si="38"/>
        <v>44110.34050000002</v>
      </c>
      <c r="AL80" s="13">
        <f t="shared" si="38"/>
        <v>49648.575000000026</v>
      </c>
      <c r="AM80" s="13">
        <f t="shared" si="38"/>
        <v>51990.238500000021</v>
      </c>
      <c r="AN80" s="13">
        <f t="shared" si="38"/>
        <v>54119.023500000025</v>
      </c>
    </row>
    <row r="81" spans="1:40" ht="15" x14ac:dyDescent="0.25">
      <c r="A81" s="8" t="s">
        <v>185</v>
      </c>
      <c r="E81" s="13">
        <f t="shared" ref="E81:AN81" si="39">E80-E71-E72</f>
        <v>-31245</v>
      </c>
      <c r="F81" s="13">
        <f t="shared" si="39"/>
        <v>-11765</v>
      </c>
      <c r="G81" s="13">
        <f t="shared" si="39"/>
        <v>-8725</v>
      </c>
      <c r="H81" s="13">
        <f t="shared" si="39"/>
        <v>-7750</v>
      </c>
      <c r="I81" s="13">
        <f t="shared" si="39"/>
        <v>-6775</v>
      </c>
      <c r="J81" s="13">
        <f t="shared" si="39"/>
        <v>-5605</v>
      </c>
      <c r="K81" s="13">
        <f t="shared" si="39"/>
        <v>-11430</v>
      </c>
      <c r="L81" s="13">
        <f t="shared" si="39"/>
        <v>-2835</v>
      </c>
      <c r="M81" s="13">
        <f t="shared" si="39"/>
        <v>-3285</v>
      </c>
      <c r="N81" s="13">
        <f t="shared" si="39"/>
        <v>145</v>
      </c>
      <c r="O81" s="13">
        <f t="shared" si="39"/>
        <v>-750</v>
      </c>
      <c r="P81" s="13">
        <f t="shared" si="39"/>
        <v>1375</v>
      </c>
      <c r="Q81" s="13">
        <f t="shared" si="39"/>
        <v>3997.5</v>
      </c>
      <c r="R81" s="13">
        <f t="shared" si="39"/>
        <v>6091.4499999999971</v>
      </c>
      <c r="S81" s="13">
        <f t="shared" si="39"/>
        <v>7721.4499999999971</v>
      </c>
      <c r="T81" s="13">
        <f t="shared" si="39"/>
        <v>9147.6999999999971</v>
      </c>
      <c r="U81" s="13">
        <f t="shared" si="39"/>
        <v>10573.949999999997</v>
      </c>
      <c r="V81" s="13">
        <f t="shared" si="39"/>
        <v>13898.549999999996</v>
      </c>
      <c r="W81" s="13">
        <f t="shared" si="39"/>
        <v>13833.949999999997</v>
      </c>
      <c r="X81" s="13">
        <f t="shared" si="39"/>
        <v>17158.550000000003</v>
      </c>
      <c r="Y81" s="13">
        <f t="shared" si="39"/>
        <v>17297.700000000004</v>
      </c>
      <c r="Z81" s="13">
        <f t="shared" si="39"/>
        <v>21493.75</v>
      </c>
      <c r="AA81" s="13">
        <f t="shared" si="39"/>
        <v>22456.050000000003</v>
      </c>
      <c r="AB81" s="13">
        <f t="shared" si="39"/>
        <v>24957.5</v>
      </c>
      <c r="AC81" s="13">
        <f t="shared" si="39"/>
        <v>25536.768500000013</v>
      </c>
      <c r="AD81" s="13">
        <f t="shared" si="39"/>
        <v>30149.246000000028</v>
      </c>
      <c r="AE81" s="13">
        <f t="shared" si="39"/>
        <v>32065.152500000018</v>
      </c>
      <c r="AF81" s="13">
        <f t="shared" si="39"/>
        <v>35966.415500000017</v>
      </c>
      <c r="AG81" s="13">
        <f t="shared" si="39"/>
        <v>36322.722500000018</v>
      </c>
      <c r="AH81" s="13">
        <f t="shared" si="39"/>
        <v>40223.985500000024</v>
      </c>
      <c r="AI81" s="13">
        <f t="shared" si="39"/>
        <v>40580.292500000018</v>
      </c>
      <c r="AJ81" s="13">
        <f t="shared" si="39"/>
        <v>45178.12650000002</v>
      </c>
      <c r="AK81" s="13">
        <f t="shared" si="39"/>
        <v>44110.34050000002</v>
      </c>
      <c r="AL81" s="13">
        <f t="shared" si="39"/>
        <v>49648.575000000026</v>
      </c>
      <c r="AM81" s="13">
        <f t="shared" si="39"/>
        <v>51990.238500000021</v>
      </c>
      <c r="AN81" s="13">
        <f t="shared" si="39"/>
        <v>54119.023500000025</v>
      </c>
    </row>
    <row r="82" spans="1:40" ht="15" x14ac:dyDescent="0.25">
      <c r="A82" s="8" t="s">
        <v>186</v>
      </c>
      <c r="E82" s="13">
        <f t="shared" ref="E82:AN82" si="40">E73+E74-E76</f>
        <v>90000</v>
      </c>
      <c r="F82" s="13">
        <f t="shared" si="40"/>
        <v>0</v>
      </c>
      <c r="G82" s="13">
        <f t="shared" si="40"/>
        <v>0</v>
      </c>
      <c r="H82" s="13">
        <f t="shared" si="40"/>
        <v>-2261.3645728092074</v>
      </c>
      <c r="I82" s="13">
        <f t="shared" si="40"/>
        <v>-2261.3645728092074</v>
      </c>
      <c r="J82" s="13">
        <f t="shared" si="40"/>
        <v>-2261.3645728092074</v>
      </c>
      <c r="K82" s="13">
        <f t="shared" si="40"/>
        <v>-2261.3645728092074</v>
      </c>
      <c r="L82" s="13">
        <f t="shared" si="40"/>
        <v>-2261.3645728092074</v>
      </c>
      <c r="M82" s="13">
        <f t="shared" si="40"/>
        <v>-2261.3645728092074</v>
      </c>
      <c r="N82" s="13">
        <f t="shared" si="40"/>
        <v>-2261.3645728092074</v>
      </c>
      <c r="O82" s="13">
        <f t="shared" si="40"/>
        <v>-2261.3645728092074</v>
      </c>
      <c r="P82" s="13">
        <f t="shared" si="40"/>
        <v>-2261.3645728092074</v>
      </c>
      <c r="Q82" s="13">
        <f t="shared" si="40"/>
        <v>-2261.3645728092074</v>
      </c>
      <c r="R82" s="13">
        <f t="shared" si="40"/>
        <v>-2261.3645728092074</v>
      </c>
      <c r="S82" s="13">
        <f t="shared" si="40"/>
        <v>-2261.3645728092074</v>
      </c>
      <c r="T82" s="13">
        <f t="shared" si="40"/>
        <v>-2261.3645728092074</v>
      </c>
      <c r="U82" s="13">
        <f t="shared" si="40"/>
        <v>-2261.3645728092074</v>
      </c>
      <c r="V82" s="13">
        <f t="shared" si="40"/>
        <v>-2261.3645728092074</v>
      </c>
      <c r="W82" s="13">
        <f t="shared" si="40"/>
        <v>-2261.3645728092074</v>
      </c>
      <c r="X82" s="13">
        <f t="shared" si="40"/>
        <v>-2261.3645728092074</v>
      </c>
      <c r="Y82" s="13">
        <f t="shared" si="40"/>
        <v>-2261.3645728092074</v>
      </c>
      <c r="Z82" s="13">
        <f t="shared" si="40"/>
        <v>-2261.3645728092074</v>
      </c>
      <c r="AA82" s="13">
        <f t="shared" si="40"/>
        <v>-2261.3645728092074</v>
      </c>
      <c r="AB82" s="13">
        <f t="shared" si="40"/>
        <v>-2261.3645728092074</v>
      </c>
      <c r="AC82" s="13">
        <f t="shared" si="40"/>
        <v>-2261.3645728092074</v>
      </c>
      <c r="AD82" s="13">
        <f t="shared" si="40"/>
        <v>-2261.3645728092074</v>
      </c>
      <c r="AE82" s="13">
        <f t="shared" si="40"/>
        <v>-2261.3645728092074</v>
      </c>
      <c r="AF82" s="13">
        <f t="shared" si="40"/>
        <v>0</v>
      </c>
      <c r="AG82" s="13">
        <f t="shared" si="40"/>
        <v>0</v>
      </c>
      <c r="AH82" s="13">
        <f t="shared" si="40"/>
        <v>0</v>
      </c>
      <c r="AI82" s="13">
        <f t="shared" si="40"/>
        <v>0</v>
      </c>
      <c r="AJ82" s="13">
        <f t="shared" si="40"/>
        <v>0</v>
      </c>
      <c r="AK82" s="13">
        <f t="shared" si="40"/>
        <v>0</v>
      </c>
      <c r="AL82" s="13">
        <f t="shared" si="40"/>
        <v>0</v>
      </c>
      <c r="AM82" s="13">
        <f t="shared" si="40"/>
        <v>0</v>
      </c>
      <c r="AN82" s="13">
        <f t="shared" si="40"/>
        <v>0</v>
      </c>
    </row>
    <row r="83" spans="1:40" ht="15" x14ac:dyDescent="0.25">
      <c r="A83" s="8" t="s">
        <v>187</v>
      </c>
      <c r="E83" s="13">
        <f t="shared" ref="E83:AN83" si="41">E81+E82</f>
        <v>58755</v>
      </c>
      <c r="F83" s="13">
        <f t="shared" si="41"/>
        <v>-11765</v>
      </c>
      <c r="G83" s="13">
        <f t="shared" si="41"/>
        <v>-8725</v>
      </c>
      <c r="H83" s="13">
        <f t="shared" si="41"/>
        <v>-10011.364572809207</v>
      </c>
      <c r="I83" s="13">
        <f t="shared" si="41"/>
        <v>-9036.3645728092069</v>
      </c>
      <c r="J83" s="13">
        <f t="shared" si="41"/>
        <v>-7866.3645728092069</v>
      </c>
      <c r="K83" s="13">
        <f t="shared" si="41"/>
        <v>-13691.364572809207</v>
      </c>
      <c r="L83" s="13">
        <f t="shared" si="41"/>
        <v>-5096.3645728092069</v>
      </c>
      <c r="M83" s="13">
        <f t="shared" si="41"/>
        <v>-5546.3645728092069</v>
      </c>
      <c r="N83" s="13">
        <f t="shared" si="41"/>
        <v>-2116.3645728092074</v>
      </c>
      <c r="O83" s="13">
        <f t="shared" si="41"/>
        <v>-3011.3645728092074</v>
      </c>
      <c r="P83" s="13">
        <f t="shared" si="41"/>
        <v>-886.3645728092074</v>
      </c>
      <c r="Q83" s="13">
        <f t="shared" si="41"/>
        <v>1736.1354271907926</v>
      </c>
      <c r="R83" s="13">
        <f t="shared" si="41"/>
        <v>3830.0854271907897</v>
      </c>
      <c r="S83" s="13">
        <f t="shared" si="41"/>
        <v>5460.0854271907901</v>
      </c>
      <c r="T83" s="13">
        <f t="shared" si="41"/>
        <v>6886.3354271907901</v>
      </c>
      <c r="U83" s="13">
        <f t="shared" si="41"/>
        <v>8312.5854271907901</v>
      </c>
      <c r="V83" s="13">
        <f t="shared" si="41"/>
        <v>11637.185427190789</v>
      </c>
      <c r="W83" s="13">
        <f t="shared" si="41"/>
        <v>11572.58542719079</v>
      </c>
      <c r="X83" s="13">
        <f t="shared" si="41"/>
        <v>14897.185427190796</v>
      </c>
      <c r="Y83" s="13">
        <f t="shared" si="41"/>
        <v>15036.335427190797</v>
      </c>
      <c r="Z83" s="13">
        <f t="shared" si="41"/>
        <v>19232.385427190791</v>
      </c>
      <c r="AA83" s="13">
        <f t="shared" si="41"/>
        <v>20194.685427190794</v>
      </c>
      <c r="AB83" s="13">
        <f t="shared" si="41"/>
        <v>22696.135427190791</v>
      </c>
      <c r="AC83" s="13">
        <f t="shared" si="41"/>
        <v>23275.403927190804</v>
      </c>
      <c r="AD83" s="13">
        <f t="shared" si="41"/>
        <v>27887.88142719082</v>
      </c>
      <c r="AE83" s="13">
        <f t="shared" si="41"/>
        <v>29803.78792719081</v>
      </c>
      <c r="AF83" s="13">
        <f t="shared" si="41"/>
        <v>35966.415500000017</v>
      </c>
      <c r="AG83" s="13">
        <f t="shared" si="41"/>
        <v>36322.722500000018</v>
      </c>
      <c r="AH83" s="13">
        <f t="shared" si="41"/>
        <v>40223.985500000024</v>
      </c>
      <c r="AI83" s="13">
        <f t="shared" si="41"/>
        <v>40580.292500000018</v>
      </c>
      <c r="AJ83" s="13">
        <f t="shared" si="41"/>
        <v>45178.12650000002</v>
      </c>
      <c r="AK83" s="13">
        <f t="shared" si="41"/>
        <v>44110.34050000002</v>
      </c>
      <c r="AL83" s="13">
        <f t="shared" si="41"/>
        <v>49648.575000000026</v>
      </c>
      <c r="AM83" s="13">
        <f t="shared" si="41"/>
        <v>51990.238500000021</v>
      </c>
      <c r="AN83" s="13">
        <f t="shared" si="41"/>
        <v>54119.023500000025</v>
      </c>
    </row>
    <row r="84" spans="1:40" ht="15" x14ac:dyDescent="0.25">
      <c r="A84" s="8" t="s">
        <v>188</v>
      </c>
      <c r="E84" s="13">
        <f>$B$5+E83</f>
        <v>93755</v>
      </c>
      <c r="F84" s="13">
        <f t="shared" ref="F84:AN84" si="42">E84+F83</f>
        <v>81990</v>
      </c>
      <c r="G84" s="13">
        <f t="shared" si="42"/>
        <v>73265</v>
      </c>
      <c r="H84" s="13">
        <f t="shared" si="42"/>
        <v>63253.635427190791</v>
      </c>
      <c r="I84" s="13">
        <f t="shared" si="42"/>
        <v>54217.270854381582</v>
      </c>
      <c r="J84" s="13">
        <f t="shared" si="42"/>
        <v>46350.906281572374</v>
      </c>
      <c r="K84" s="13">
        <f t="shared" si="42"/>
        <v>32659.541708763165</v>
      </c>
      <c r="L84" s="13">
        <f t="shared" si="42"/>
        <v>27563.177135953956</v>
      </c>
      <c r="M84" s="13">
        <f t="shared" si="42"/>
        <v>22016.812563144747</v>
      </c>
      <c r="N84" s="13">
        <f t="shared" si="42"/>
        <v>19900.447990335539</v>
      </c>
      <c r="O84" s="13">
        <f t="shared" si="42"/>
        <v>16889.08341752633</v>
      </c>
      <c r="P84" s="13">
        <f t="shared" si="42"/>
        <v>16002.718844717123</v>
      </c>
      <c r="Q84" s="13">
        <f t="shared" si="42"/>
        <v>17738.854271907916</v>
      </c>
      <c r="R84" s="13">
        <f t="shared" si="42"/>
        <v>21568.939699098704</v>
      </c>
      <c r="S84" s="13">
        <f t="shared" si="42"/>
        <v>27029.025126289496</v>
      </c>
      <c r="T84" s="13">
        <f t="shared" si="42"/>
        <v>33915.360553480285</v>
      </c>
      <c r="U84" s="13">
        <f t="shared" si="42"/>
        <v>42227.945980671073</v>
      </c>
      <c r="V84" s="13">
        <f t="shared" si="42"/>
        <v>53865.13140786186</v>
      </c>
      <c r="W84" s="13">
        <f t="shared" si="42"/>
        <v>65437.716835052648</v>
      </c>
      <c r="X84" s="13">
        <f t="shared" si="42"/>
        <v>80334.902262243442</v>
      </c>
      <c r="Y84" s="13">
        <f t="shared" si="42"/>
        <v>95371.237689434245</v>
      </c>
      <c r="Z84" s="13">
        <f t="shared" si="42"/>
        <v>114603.62311662504</v>
      </c>
      <c r="AA84" s="13">
        <f t="shared" si="42"/>
        <v>134798.30854381583</v>
      </c>
      <c r="AB84" s="13">
        <f t="shared" si="42"/>
        <v>157494.44397100661</v>
      </c>
      <c r="AC84" s="13">
        <f t="shared" si="42"/>
        <v>180769.84789819742</v>
      </c>
      <c r="AD84" s="13">
        <f t="shared" si="42"/>
        <v>208657.72932538824</v>
      </c>
      <c r="AE84" s="13">
        <f t="shared" si="42"/>
        <v>238461.51725257904</v>
      </c>
      <c r="AF84" s="13">
        <f t="shared" si="42"/>
        <v>274427.93275257904</v>
      </c>
      <c r="AG84" s="13">
        <f t="shared" si="42"/>
        <v>310750.65525257908</v>
      </c>
      <c r="AH84" s="13">
        <f t="shared" si="42"/>
        <v>350974.64075257909</v>
      </c>
      <c r="AI84" s="13">
        <f t="shared" si="42"/>
        <v>391554.93325257913</v>
      </c>
      <c r="AJ84" s="13">
        <f t="shared" si="42"/>
        <v>436733.05975257914</v>
      </c>
      <c r="AK84" s="13">
        <f t="shared" si="42"/>
        <v>480843.40025257913</v>
      </c>
      <c r="AL84" s="13">
        <f t="shared" si="42"/>
        <v>530491.9752525792</v>
      </c>
      <c r="AM84" s="13">
        <f t="shared" si="42"/>
        <v>582482.21375257918</v>
      </c>
      <c r="AN84" s="13">
        <f t="shared" si="42"/>
        <v>636601.23725257919</v>
      </c>
    </row>
    <row r="85" spans="1:40" ht="15" x14ac:dyDescent="0.25">
      <c r="A85" s="21" t="s">
        <v>189</v>
      </c>
      <c r="E85" s="23">
        <f t="shared" ref="E85:AN85" si="43">IF(E80&gt;0,1,0)</f>
        <v>0</v>
      </c>
      <c r="F85" s="23">
        <f t="shared" si="43"/>
        <v>0</v>
      </c>
      <c r="G85" s="23">
        <f t="shared" si="43"/>
        <v>0</v>
      </c>
      <c r="H85" s="23">
        <f t="shared" si="43"/>
        <v>0</v>
      </c>
      <c r="I85" s="23">
        <f t="shared" si="43"/>
        <v>0</v>
      </c>
      <c r="J85" s="23">
        <f t="shared" si="43"/>
        <v>0</v>
      </c>
      <c r="K85" s="23">
        <f t="shared" si="43"/>
        <v>0</v>
      </c>
      <c r="L85" s="23">
        <f t="shared" si="43"/>
        <v>0</v>
      </c>
      <c r="M85" s="23">
        <f t="shared" si="43"/>
        <v>0</v>
      </c>
      <c r="N85" s="23">
        <f t="shared" si="43"/>
        <v>1</v>
      </c>
      <c r="O85" s="23">
        <f t="shared" si="43"/>
        <v>0</v>
      </c>
      <c r="P85" s="23">
        <f t="shared" si="43"/>
        <v>1</v>
      </c>
      <c r="Q85" s="23">
        <f t="shared" si="43"/>
        <v>1</v>
      </c>
      <c r="R85" s="23">
        <f t="shared" si="43"/>
        <v>1</v>
      </c>
      <c r="S85" s="23">
        <f t="shared" si="43"/>
        <v>1</v>
      </c>
      <c r="T85" s="23">
        <f t="shared" si="43"/>
        <v>1</v>
      </c>
      <c r="U85" s="23">
        <f t="shared" si="43"/>
        <v>1</v>
      </c>
      <c r="V85" s="23">
        <f t="shared" si="43"/>
        <v>1</v>
      </c>
      <c r="W85" s="23">
        <f t="shared" si="43"/>
        <v>1</v>
      </c>
      <c r="X85" s="23">
        <f t="shared" si="43"/>
        <v>1</v>
      </c>
      <c r="Y85" s="23">
        <f t="shared" si="43"/>
        <v>1</v>
      </c>
      <c r="Z85" s="23">
        <f t="shared" si="43"/>
        <v>1</v>
      </c>
      <c r="AA85" s="23">
        <f t="shared" si="43"/>
        <v>1</v>
      </c>
      <c r="AB85" s="23">
        <f t="shared" si="43"/>
        <v>1</v>
      </c>
      <c r="AC85" s="23">
        <f t="shared" si="43"/>
        <v>1</v>
      </c>
      <c r="AD85" s="23">
        <f t="shared" si="43"/>
        <v>1</v>
      </c>
      <c r="AE85" s="23">
        <f t="shared" si="43"/>
        <v>1</v>
      </c>
      <c r="AF85" s="23">
        <f t="shared" si="43"/>
        <v>1</v>
      </c>
      <c r="AG85" s="23">
        <f t="shared" si="43"/>
        <v>1</v>
      </c>
      <c r="AH85" s="23">
        <f t="shared" si="43"/>
        <v>1</v>
      </c>
      <c r="AI85" s="23">
        <f t="shared" si="43"/>
        <v>1</v>
      </c>
      <c r="AJ85" s="23">
        <f t="shared" si="43"/>
        <v>1</v>
      </c>
      <c r="AK85" s="23">
        <f t="shared" si="43"/>
        <v>1</v>
      </c>
      <c r="AL85" s="23">
        <f t="shared" si="43"/>
        <v>1</v>
      </c>
      <c r="AM85" s="23">
        <f t="shared" si="43"/>
        <v>1</v>
      </c>
      <c r="AN85" s="23">
        <f t="shared" si="43"/>
        <v>1</v>
      </c>
    </row>
    <row r="86" spans="1:40" ht="15" x14ac:dyDescent="0.25">
      <c r="A86" s="21" t="s">
        <v>190</v>
      </c>
      <c r="E86" s="23">
        <f t="shared" ref="E86:AN86" si="44">IF(E84&lt;0,1,0)</f>
        <v>0</v>
      </c>
      <c r="F86" s="23">
        <f t="shared" si="44"/>
        <v>0</v>
      </c>
      <c r="G86" s="23">
        <f t="shared" si="44"/>
        <v>0</v>
      </c>
      <c r="H86" s="23">
        <f t="shared" si="44"/>
        <v>0</v>
      </c>
      <c r="I86" s="23">
        <f t="shared" si="44"/>
        <v>0</v>
      </c>
      <c r="J86" s="23">
        <f t="shared" si="44"/>
        <v>0</v>
      </c>
      <c r="K86" s="23">
        <f t="shared" si="44"/>
        <v>0</v>
      </c>
      <c r="L86" s="23">
        <f t="shared" si="44"/>
        <v>0</v>
      </c>
      <c r="M86" s="23">
        <f t="shared" si="44"/>
        <v>0</v>
      </c>
      <c r="N86" s="23">
        <f t="shared" si="44"/>
        <v>0</v>
      </c>
      <c r="O86" s="23">
        <f t="shared" si="44"/>
        <v>0</v>
      </c>
      <c r="P86" s="23">
        <f t="shared" si="44"/>
        <v>0</v>
      </c>
      <c r="Q86" s="23">
        <f t="shared" si="44"/>
        <v>0</v>
      </c>
      <c r="R86" s="23">
        <f t="shared" si="44"/>
        <v>0</v>
      </c>
      <c r="S86" s="23">
        <f t="shared" si="44"/>
        <v>0</v>
      </c>
      <c r="T86" s="23">
        <f t="shared" si="44"/>
        <v>0</v>
      </c>
      <c r="U86" s="23">
        <f t="shared" si="44"/>
        <v>0</v>
      </c>
      <c r="V86" s="23">
        <f t="shared" si="44"/>
        <v>0</v>
      </c>
      <c r="W86" s="23">
        <f t="shared" si="44"/>
        <v>0</v>
      </c>
      <c r="X86" s="23">
        <f t="shared" si="44"/>
        <v>0</v>
      </c>
      <c r="Y86" s="23">
        <f t="shared" si="44"/>
        <v>0</v>
      </c>
      <c r="Z86" s="23">
        <f t="shared" si="44"/>
        <v>0</v>
      </c>
      <c r="AA86" s="23">
        <f t="shared" si="44"/>
        <v>0</v>
      </c>
      <c r="AB86" s="23">
        <f t="shared" si="44"/>
        <v>0</v>
      </c>
      <c r="AC86" s="23">
        <f t="shared" si="44"/>
        <v>0</v>
      </c>
      <c r="AD86" s="23">
        <f t="shared" si="44"/>
        <v>0</v>
      </c>
      <c r="AE86" s="23">
        <f t="shared" si="44"/>
        <v>0</v>
      </c>
      <c r="AF86" s="23">
        <f t="shared" si="44"/>
        <v>0</v>
      </c>
      <c r="AG86" s="23">
        <f t="shared" si="44"/>
        <v>0</v>
      </c>
      <c r="AH86" s="23">
        <f t="shared" si="44"/>
        <v>0</v>
      </c>
      <c r="AI86" s="23">
        <f t="shared" si="44"/>
        <v>0</v>
      </c>
      <c r="AJ86" s="23">
        <f t="shared" si="44"/>
        <v>0</v>
      </c>
      <c r="AK86" s="23">
        <f t="shared" si="44"/>
        <v>0</v>
      </c>
      <c r="AL86" s="23">
        <f t="shared" si="44"/>
        <v>0</v>
      </c>
      <c r="AM86" s="23">
        <f t="shared" si="44"/>
        <v>0</v>
      </c>
      <c r="AN86" s="23">
        <f t="shared" si="44"/>
        <v>0</v>
      </c>
    </row>
  </sheetData>
  <mergeCells count="6">
    <mergeCell ref="A70:AN70"/>
    <mergeCell ref="A1:AN2"/>
    <mergeCell ref="A23:AN23"/>
    <mergeCell ref="A39:AN39"/>
    <mergeCell ref="A50:AN50"/>
    <mergeCell ref="A60:AN60"/>
  </mergeCells>
  <conditionalFormatting sqref="E48:AN48">
    <cfRule type="cellIs" dxfId="3" priority="4" operator="lessThan">
      <formula>0.35</formula>
    </cfRule>
  </conditionalFormatting>
  <conditionalFormatting sqref="E80:AN80">
    <cfRule type="cellIs" dxfId="2" priority="3" operator="lessThan">
      <formula>0</formula>
    </cfRule>
  </conditionalFormatting>
  <conditionalFormatting sqref="E84:AN84">
    <cfRule type="cellIs" dxfId="1" priority="2" operator="lessThan">
      <formula>0</formula>
    </cfRule>
  </conditionalFormatting>
  <pageMargins left="0.75" right="0.75" top="1" bottom="1" header="0.511811023622047" footer="0.511811023622047"/>
  <pageSetup paperSize="9" orientation="portrait" horizontalDpi="300" verticalDpi="300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equal" xr:uid="{00000000-0002-0000-0200-000000000000}">
          <x14:formula1>
            <xm:f>Listas!$A$2:$A$4</xm:f>
          </x14:formula1>
          <x14:formula2>
            <xm:f>0</xm:f>
          </x14:formula2>
          <xm:sqref>B4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P38"/>
  <sheetViews>
    <sheetView tabSelected="1" zoomScaleNormal="100" zoomScalePageLayoutView="60" workbookViewId="0">
      <selection activeCell="V34" sqref="V34"/>
    </sheetView>
  </sheetViews>
  <sheetFormatPr baseColWidth="10" defaultColWidth="8.7109375" defaultRowHeight="12.75" customHeight="1" x14ac:dyDescent="0.25"/>
  <cols>
    <col min="1" max="1" width="24" customWidth="1"/>
    <col min="2" max="2" width="16" customWidth="1"/>
    <col min="3" max="5" width="14" customWidth="1"/>
    <col min="6" max="6" width="18" customWidth="1"/>
    <col min="7" max="42" width="10" customWidth="1"/>
  </cols>
  <sheetData>
    <row r="1" spans="1:42" ht="15" x14ac:dyDescent="0.25">
      <c r="A1" s="36" t="s">
        <v>191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</row>
    <row r="2" spans="1:42" ht="15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</row>
    <row r="3" spans="1:42" ht="15" x14ac:dyDescent="0.25"/>
    <row r="4" spans="1:42" ht="15" x14ac:dyDescent="0.25">
      <c r="A4" s="8" t="s">
        <v>192</v>
      </c>
      <c r="B4" s="11">
        <f>C10</f>
        <v>181050</v>
      </c>
    </row>
    <row r="5" spans="1:42" ht="15" x14ac:dyDescent="0.25">
      <c r="A5" s="8" t="s">
        <v>22</v>
      </c>
      <c r="B5" s="11">
        <f>C15</f>
        <v>-67145</v>
      </c>
    </row>
    <row r="6" spans="1:42" ht="15" x14ac:dyDescent="0.25">
      <c r="A6" s="8" t="s">
        <v>193</v>
      </c>
      <c r="B6" s="20">
        <f>C12</f>
        <v>0.65923777961888985</v>
      </c>
    </row>
    <row r="7" spans="1:42" ht="15" x14ac:dyDescent="0.25">
      <c r="A7" s="8" t="s">
        <v>23</v>
      </c>
      <c r="B7" s="11">
        <f>B21</f>
        <v>16002.718844717123</v>
      </c>
    </row>
    <row r="8" spans="1:42" ht="15" x14ac:dyDescent="0.25">
      <c r="A8" s="30" t="s">
        <v>194</v>
      </c>
      <c r="B8" s="30"/>
      <c r="C8" s="30"/>
      <c r="D8" s="30"/>
      <c r="E8" s="30"/>
      <c r="F8" s="32"/>
      <c r="G8" s="30" t="s">
        <v>195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</row>
    <row r="9" spans="1:42" ht="15" x14ac:dyDescent="0.25">
      <c r="A9" s="32"/>
      <c r="B9" s="34" t="s">
        <v>196</v>
      </c>
      <c r="C9" s="34" t="s">
        <v>197</v>
      </c>
      <c r="D9" s="34" t="s">
        <v>198</v>
      </c>
      <c r="E9" s="34" t="s">
        <v>199</v>
      </c>
      <c r="F9" s="32"/>
      <c r="G9" s="35">
        <f>'02_Modelo'!E4</f>
        <v>46113</v>
      </c>
      <c r="H9" s="35">
        <f>'02_Modelo'!F4</f>
        <v>46143</v>
      </c>
      <c r="I9" s="35">
        <f>'02_Modelo'!G4</f>
        <v>46174</v>
      </c>
      <c r="J9" s="35">
        <f>'02_Modelo'!H4</f>
        <v>46204</v>
      </c>
      <c r="K9" s="35">
        <f>'02_Modelo'!I4</f>
        <v>46235</v>
      </c>
      <c r="L9" s="35">
        <f>'02_Modelo'!J4</f>
        <v>46266</v>
      </c>
      <c r="M9" s="35">
        <f>'02_Modelo'!K4</f>
        <v>46296</v>
      </c>
      <c r="N9" s="35">
        <f>'02_Modelo'!L4</f>
        <v>46327</v>
      </c>
      <c r="O9" s="35">
        <f>'02_Modelo'!M4</f>
        <v>46357</v>
      </c>
      <c r="P9" s="35">
        <f>'02_Modelo'!N4</f>
        <v>46388</v>
      </c>
      <c r="Q9" s="35">
        <f>'02_Modelo'!O4</f>
        <v>46419</v>
      </c>
      <c r="R9" s="35">
        <f>'02_Modelo'!P4</f>
        <v>46447</v>
      </c>
      <c r="S9" s="35">
        <f>'02_Modelo'!Q4</f>
        <v>46478</v>
      </c>
      <c r="T9" s="35">
        <f>'02_Modelo'!R4</f>
        <v>46508</v>
      </c>
      <c r="U9" s="35">
        <f>'02_Modelo'!S4</f>
        <v>46539</v>
      </c>
      <c r="V9" s="35">
        <f>'02_Modelo'!T4</f>
        <v>46569</v>
      </c>
      <c r="W9" s="35">
        <f>'02_Modelo'!U4</f>
        <v>46600</v>
      </c>
      <c r="X9" s="35">
        <f>'02_Modelo'!V4</f>
        <v>46631</v>
      </c>
      <c r="Y9" s="35">
        <f>'02_Modelo'!W4</f>
        <v>46661</v>
      </c>
      <c r="Z9" s="35">
        <f>'02_Modelo'!X4</f>
        <v>46692</v>
      </c>
      <c r="AA9" s="35">
        <f>'02_Modelo'!Y4</f>
        <v>46722</v>
      </c>
      <c r="AB9" s="35">
        <f>'02_Modelo'!Z4</f>
        <v>46753</v>
      </c>
      <c r="AC9" s="35">
        <f>'02_Modelo'!AA4</f>
        <v>46784</v>
      </c>
      <c r="AD9" s="35">
        <f>'02_Modelo'!AB4</f>
        <v>46813</v>
      </c>
      <c r="AE9" s="35">
        <f>'02_Modelo'!AC4</f>
        <v>46844</v>
      </c>
      <c r="AF9" s="35">
        <f>'02_Modelo'!AD4</f>
        <v>46874</v>
      </c>
      <c r="AG9" s="35">
        <f>'02_Modelo'!AE4</f>
        <v>46905</v>
      </c>
      <c r="AH9" s="35">
        <f>'02_Modelo'!AF4</f>
        <v>46935</v>
      </c>
      <c r="AI9" s="35">
        <f>'02_Modelo'!AG4</f>
        <v>46966</v>
      </c>
      <c r="AJ9" s="35">
        <f>'02_Modelo'!AH4</f>
        <v>46997</v>
      </c>
      <c r="AK9" s="35">
        <f>'02_Modelo'!AI4</f>
        <v>47027</v>
      </c>
      <c r="AL9" s="35">
        <f>'02_Modelo'!AJ4</f>
        <v>47058</v>
      </c>
      <c r="AM9" s="35">
        <f>'02_Modelo'!AK4</f>
        <v>47088</v>
      </c>
      <c r="AN9" s="35">
        <f>'02_Modelo'!AL4</f>
        <v>47119</v>
      </c>
      <c r="AO9" s="35">
        <f>'02_Modelo'!AM4</f>
        <v>47150</v>
      </c>
      <c r="AP9" s="35">
        <f>'02_Modelo'!AN4</f>
        <v>47178</v>
      </c>
    </row>
    <row r="10" spans="1:42" ht="15" x14ac:dyDescent="0.25">
      <c r="B10" s="12" t="s">
        <v>200</v>
      </c>
      <c r="C10" s="13">
        <f>SUM('02_Modelo'!E38:P38)</f>
        <v>181050</v>
      </c>
      <c r="D10" s="13">
        <f>SUM('02_Modelo'!Q38:AB38)</f>
        <v>539520.80000000005</v>
      </c>
      <c r="E10" s="13">
        <f>SUM('02_Modelo'!AC38:AN38)</f>
        <v>1021106.1120000004</v>
      </c>
      <c r="F10" s="8" t="s">
        <v>200</v>
      </c>
      <c r="G10" s="13">
        <f>'02_Modelo'!E38</f>
        <v>3470</v>
      </c>
      <c r="H10" s="13">
        <f>'02_Modelo'!F38</f>
        <v>4630</v>
      </c>
      <c r="I10" s="13">
        <f>'02_Modelo'!G38</f>
        <v>9240</v>
      </c>
      <c r="J10" s="13">
        <f>'02_Modelo'!H38</f>
        <v>10690</v>
      </c>
      <c r="K10" s="13">
        <f>'02_Modelo'!I38</f>
        <v>12140</v>
      </c>
      <c r="L10" s="13">
        <f>'02_Modelo'!J38</f>
        <v>13880</v>
      </c>
      <c r="M10" s="13">
        <f>'02_Modelo'!K38</f>
        <v>15330</v>
      </c>
      <c r="N10" s="13">
        <f>'02_Modelo'!L38</f>
        <v>19380</v>
      </c>
      <c r="O10" s="13">
        <f>'02_Modelo'!M38</f>
        <v>18520</v>
      </c>
      <c r="P10" s="13">
        <f>'02_Modelo'!N38</f>
        <v>23710</v>
      </c>
      <c r="Q10" s="13">
        <f>'02_Modelo'!O38</f>
        <v>22290</v>
      </c>
      <c r="R10" s="13">
        <f>'02_Modelo'!P38</f>
        <v>27770</v>
      </c>
      <c r="S10" s="13">
        <f>'02_Modelo'!Q38</f>
        <v>30108</v>
      </c>
      <c r="T10" s="13">
        <f>'02_Modelo'!R38</f>
        <v>33103.199999999997</v>
      </c>
      <c r="U10" s="13">
        <f>'02_Modelo'!S38</f>
        <v>35516</v>
      </c>
      <c r="V10" s="13">
        <f>'02_Modelo'!T38</f>
        <v>37627.199999999997</v>
      </c>
      <c r="W10" s="13">
        <f>'02_Modelo'!U38</f>
        <v>39738.400000000001</v>
      </c>
      <c r="X10" s="13">
        <f>'02_Modelo'!V38</f>
        <v>44855.199999999997</v>
      </c>
      <c r="Y10" s="13">
        <f>'02_Modelo'!W38</f>
        <v>44564</v>
      </c>
      <c r="Z10" s="13">
        <f>'02_Modelo'!X38</f>
        <v>49680.800000000003</v>
      </c>
      <c r="AA10" s="13">
        <f>'02_Modelo'!Y38</f>
        <v>49691.200000000004</v>
      </c>
      <c r="AB10" s="13">
        <f>'02_Modelo'!Z38</f>
        <v>55993.600000000006</v>
      </c>
      <c r="AC10" s="13">
        <f>'02_Modelo'!AA38</f>
        <v>57522.400000000001</v>
      </c>
      <c r="AD10" s="13">
        <f>'02_Modelo'!AB38</f>
        <v>61120.800000000003</v>
      </c>
      <c r="AE10" s="13">
        <f>'02_Modelo'!AC38</f>
        <v>65469.248000000007</v>
      </c>
      <c r="AF10" s="13">
        <f>'02_Modelo'!AD38</f>
        <v>69211.584000000017</v>
      </c>
      <c r="AG10" s="13">
        <f>'02_Modelo'!AE38</f>
        <v>72034.560000000012</v>
      </c>
      <c r="AH10" s="13">
        <f>'02_Modelo'!AF38</f>
        <v>77983.360000000015</v>
      </c>
      <c r="AI10" s="13">
        <f>'02_Modelo'!AG38</f>
        <v>78307.840000000011</v>
      </c>
      <c r="AJ10" s="13">
        <f>'02_Modelo'!AH38</f>
        <v>84256.640000000014</v>
      </c>
      <c r="AK10" s="13">
        <f>'02_Modelo'!AI38</f>
        <v>84581.12000000001</v>
      </c>
      <c r="AL10" s="13">
        <f>'02_Modelo'!AJ38</f>
        <v>91449.280000000013</v>
      </c>
      <c r="AM10" s="13">
        <f>'02_Modelo'!AK38</f>
        <v>93666.560000000012</v>
      </c>
      <c r="AN10" s="13">
        <f>'02_Modelo'!AL38</f>
        <v>98036.224000000017</v>
      </c>
      <c r="AO10" s="13">
        <f>'02_Modelo'!AM38</f>
        <v>101486.52800000002</v>
      </c>
      <c r="AP10" s="13">
        <f>'02_Modelo'!AN38</f>
        <v>104623.16800000002</v>
      </c>
    </row>
    <row r="11" spans="1:42" ht="15" x14ac:dyDescent="0.25">
      <c r="B11" s="12" t="s">
        <v>153</v>
      </c>
      <c r="C11" s="13">
        <f>SUM('02_Modelo'!E47:P47)</f>
        <v>119355</v>
      </c>
      <c r="D11" s="13">
        <f>SUM('02_Modelo'!Q47:AB47)</f>
        <v>360826.1</v>
      </c>
      <c r="E11" s="13">
        <f>SUM('02_Modelo'!AC47:AN47)</f>
        <v>688354.82700000016</v>
      </c>
      <c r="F11" s="8" t="s">
        <v>153</v>
      </c>
      <c r="G11" s="13">
        <f>'02_Modelo'!E47</f>
        <v>2205</v>
      </c>
      <c r="H11" s="13">
        <f>'02_Modelo'!F47</f>
        <v>2985</v>
      </c>
      <c r="I11" s="13">
        <f>'02_Modelo'!G47</f>
        <v>6025</v>
      </c>
      <c r="J11" s="13">
        <f>'02_Modelo'!H47</f>
        <v>7000</v>
      </c>
      <c r="K11" s="13">
        <f>'02_Modelo'!I47</f>
        <v>7975</v>
      </c>
      <c r="L11" s="13">
        <f>'02_Modelo'!J47</f>
        <v>9145</v>
      </c>
      <c r="M11" s="13">
        <f>'02_Modelo'!K47</f>
        <v>10120</v>
      </c>
      <c r="N11" s="13">
        <f>'02_Modelo'!L47</f>
        <v>12715</v>
      </c>
      <c r="O11" s="13">
        <f>'02_Modelo'!M47</f>
        <v>12265</v>
      </c>
      <c r="P11" s="13">
        <f>'02_Modelo'!N47</f>
        <v>15695</v>
      </c>
      <c r="Q11" s="13">
        <f>'02_Modelo'!O47</f>
        <v>14800</v>
      </c>
      <c r="R11" s="13">
        <f>'02_Modelo'!P47</f>
        <v>18425</v>
      </c>
      <c r="S11" s="13">
        <f>'02_Modelo'!Q47</f>
        <v>20014</v>
      </c>
      <c r="T11" s="13">
        <f>'02_Modelo'!R47</f>
        <v>22107.949999999997</v>
      </c>
      <c r="U11" s="13">
        <f>'02_Modelo'!S47</f>
        <v>23737.949999999997</v>
      </c>
      <c r="V11" s="13">
        <f>'02_Modelo'!T47</f>
        <v>25164.199999999997</v>
      </c>
      <c r="W11" s="13">
        <f>'02_Modelo'!U47</f>
        <v>26590.449999999997</v>
      </c>
      <c r="X11" s="13">
        <f>'02_Modelo'!V47</f>
        <v>29915.049999999996</v>
      </c>
      <c r="Y11" s="13">
        <f>'02_Modelo'!W47</f>
        <v>29850.449999999997</v>
      </c>
      <c r="Z11" s="13">
        <f>'02_Modelo'!X47</f>
        <v>33175.050000000003</v>
      </c>
      <c r="AA11" s="13">
        <f>'02_Modelo'!Y47</f>
        <v>33314.200000000004</v>
      </c>
      <c r="AB11" s="13">
        <f>'02_Modelo'!Z47</f>
        <v>37510.25</v>
      </c>
      <c r="AC11" s="13">
        <f>'02_Modelo'!AA47</f>
        <v>38472.550000000003</v>
      </c>
      <c r="AD11" s="13">
        <f>'02_Modelo'!AB47</f>
        <v>40974</v>
      </c>
      <c r="AE11" s="13">
        <f>'02_Modelo'!AC47</f>
        <v>44033.763500000008</v>
      </c>
      <c r="AF11" s="13">
        <f>'02_Modelo'!AD47</f>
        <v>46646.241000000024</v>
      </c>
      <c r="AG11" s="13">
        <f>'02_Modelo'!AE47</f>
        <v>48562.147500000014</v>
      </c>
      <c r="AH11" s="13">
        <f>'02_Modelo'!AF47</f>
        <v>52463.410500000013</v>
      </c>
      <c r="AI11" s="13">
        <f>'02_Modelo'!AG47</f>
        <v>52819.717500000013</v>
      </c>
      <c r="AJ11" s="13">
        <f>'02_Modelo'!AH47</f>
        <v>56720.98050000002</v>
      </c>
      <c r="AK11" s="13">
        <f>'02_Modelo'!AI47</f>
        <v>57077.287500000013</v>
      </c>
      <c r="AL11" s="13">
        <f>'02_Modelo'!AJ47</f>
        <v>61675.121500000016</v>
      </c>
      <c r="AM11" s="13">
        <f>'02_Modelo'!AK47</f>
        <v>63107.335500000016</v>
      </c>
      <c r="AN11" s="13">
        <f>'02_Modelo'!AL47</f>
        <v>66145.570000000022</v>
      </c>
      <c r="AO11" s="13">
        <f>'02_Modelo'!AM47</f>
        <v>68487.233500000017</v>
      </c>
      <c r="AP11" s="13">
        <f>'02_Modelo'!AN47</f>
        <v>70616.01850000002</v>
      </c>
    </row>
    <row r="12" spans="1:42" ht="15" x14ac:dyDescent="0.25">
      <c r="B12" s="12" t="s">
        <v>154</v>
      </c>
      <c r="C12" s="17">
        <f>IF(C10=0,0,C11/C10)</f>
        <v>0.65923777961888985</v>
      </c>
      <c r="D12" s="17">
        <f>IF(D10=0,0,D11/D10)</f>
        <v>0.66878997065544077</v>
      </c>
      <c r="E12" s="17">
        <f>IF(E10=0,0,E11/E10)</f>
        <v>0.6741266347448911</v>
      </c>
      <c r="F12" s="8" t="s">
        <v>201</v>
      </c>
      <c r="G12" s="13">
        <f>'02_Modelo'!E58</f>
        <v>7200</v>
      </c>
      <c r="H12" s="13">
        <f>'02_Modelo'!F58</f>
        <v>9500</v>
      </c>
      <c r="I12" s="13">
        <f>'02_Modelo'!G58</f>
        <v>9500</v>
      </c>
      <c r="J12" s="13">
        <f>'02_Modelo'!H58</f>
        <v>9500</v>
      </c>
      <c r="K12" s="13">
        <f>'02_Modelo'!I58</f>
        <v>9500</v>
      </c>
      <c r="L12" s="13">
        <f>'02_Modelo'!J58</f>
        <v>9500</v>
      </c>
      <c r="M12" s="13">
        <f>'02_Modelo'!K58</f>
        <v>10300</v>
      </c>
      <c r="N12" s="13">
        <f>'02_Modelo'!L58</f>
        <v>10300</v>
      </c>
      <c r="O12" s="13">
        <f>'02_Modelo'!M58</f>
        <v>10300</v>
      </c>
      <c r="P12" s="13">
        <f>'02_Modelo'!N58</f>
        <v>10300</v>
      </c>
      <c r="Q12" s="13">
        <f>'02_Modelo'!O58</f>
        <v>10300</v>
      </c>
      <c r="R12" s="13">
        <f>'02_Modelo'!P58</f>
        <v>10300</v>
      </c>
      <c r="S12" s="13">
        <f>'02_Modelo'!Q58</f>
        <v>10609</v>
      </c>
      <c r="T12" s="13">
        <f>'02_Modelo'!R58</f>
        <v>10609</v>
      </c>
      <c r="U12" s="13">
        <f>'02_Modelo'!S58</f>
        <v>10609</v>
      </c>
      <c r="V12" s="13">
        <f>'02_Modelo'!T58</f>
        <v>10609</v>
      </c>
      <c r="W12" s="13">
        <f>'02_Modelo'!U58</f>
        <v>10609</v>
      </c>
      <c r="X12" s="13">
        <f>'02_Modelo'!V58</f>
        <v>10609</v>
      </c>
      <c r="Y12" s="13">
        <f>'02_Modelo'!W58</f>
        <v>10609</v>
      </c>
      <c r="Z12" s="13">
        <f>'02_Modelo'!X58</f>
        <v>10609</v>
      </c>
      <c r="AA12" s="13">
        <f>'02_Modelo'!Y58</f>
        <v>10609</v>
      </c>
      <c r="AB12" s="13">
        <f>'02_Modelo'!Z58</f>
        <v>10609</v>
      </c>
      <c r="AC12" s="13">
        <f>'02_Modelo'!AA58</f>
        <v>10609</v>
      </c>
      <c r="AD12" s="13">
        <f>'02_Modelo'!AB58</f>
        <v>10609</v>
      </c>
      <c r="AE12" s="13">
        <f>'02_Modelo'!AC58</f>
        <v>10927.269999999999</v>
      </c>
      <c r="AF12" s="13">
        <f>'02_Modelo'!AD58</f>
        <v>10927.269999999999</v>
      </c>
      <c r="AG12" s="13">
        <f>'02_Modelo'!AE58</f>
        <v>10927.269999999999</v>
      </c>
      <c r="AH12" s="13">
        <f>'02_Modelo'!AF58</f>
        <v>10927.269999999999</v>
      </c>
      <c r="AI12" s="13">
        <f>'02_Modelo'!AG58</f>
        <v>10927.269999999999</v>
      </c>
      <c r="AJ12" s="13">
        <f>'02_Modelo'!AH58</f>
        <v>10927.269999999999</v>
      </c>
      <c r="AK12" s="13">
        <f>'02_Modelo'!AI58</f>
        <v>10927.269999999999</v>
      </c>
      <c r="AL12" s="13">
        <f>'02_Modelo'!AJ58</f>
        <v>10927.269999999999</v>
      </c>
      <c r="AM12" s="13">
        <f>'02_Modelo'!AK58</f>
        <v>10927.269999999999</v>
      </c>
      <c r="AN12" s="13">
        <f>'02_Modelo'!AL58</f>
        <v>10927.269999999999</v>
      </c>
      <c r="AO12" s="13">
        <f>'02_Modelo'!AM58</f>
        <v>10927.269999999999</v>
      </c>
      <c r="AP12" s="13">
        <f>'02_Modelo'!AN58</f>
        <v>10927.269999999999</v>
      </c>
    </row>
    <row r="13" spans="1:42" ht="15" x14ac:dyDescent="0.25">
      <c r="B13" s="12" t="s">
        <v>201</v>
      </c>
      <c r="C13" s="13">
        <f>SUM('02_Modelo'!E58:P58)</f>
        <v>116500</v>
      </c>
      <c r="D13" s="13">
        <f>SUM('02_Modelo'!Q58:AB58)</f>
        <v>127308</v>
      </c>
      <c r="E13" s="13">
        <f>SUM('02_Modelo'!AC58:AN58)</f>
        <v>131127.24000000002</v>
      </c>
      <c r="F13" s="8" t="s">
        <v>202</v>
      </c>
      <c r="G13" s="13">
        <f>'02_Modelo'!E68</f>
        <v>8250</v>
      </c>
      <c r="H13" s="13">
        <f>'02_Modelo'!F68</f>
        <v>5250</v>
      </c>
      <c r="I13" s="13">
        <f>'02_Modelo'!G68</f>
        <v>5250</v>
      </c>
      <c r="J13" s="13">
        <f>'02_Modelo'!H68</f>
        <v>5250</v>
      </c>
      <c r="K13" s="13">
        <f>'02_Modelo'!I68</f>
        <v>5250</v>
      </c>
      <c r="L13" s="13">
        <f>'02_Modelo'!J68</f>
        <v>5250</v>
      </c>
      <c r="M13" s="13">
        <f>'02_Modelo'!K68</f>
        <v>7750</v>
      </c>
      <c r="N13" s="13">
        <f>'02_Modelo'!L68</f>
        <v>5250</v>
      </c>
      <c r="O13" s="13">
        <f>'02_Modelo'!M68</f>
        <v>5250</v>
      </c>
      <c r="P13" s="13">
        <f>'02_Modelo'!N68</f>
        <v>5250</v>
      </c>
      <c r="Q13" s="13">
        <f>'02_Modelo'!O68</f>
        <v>5250</v>
      </c>
      <c r="R13" s="13">
        <f>'02_Modelo'!P68</f>
        <v>6750</v>
      </c>
      <c r="S13" s="13">
        <f>'02_Modelo'!Q68</f>
        <v>5407.5</v>
      </c>
      <c r="T13" s="13">
        <f>'02_Modelo'!R68</f>
        <v>5407.5</v>
      </c>
      <c r="U13" s="13">
        <f>'02_Modelo'!S68</f>
        <v>5407.5</v>
      </c>
      <c r="V13" s="13">
        <f>'02_Modelo'!T68</f>
        <v>5407.5</v>
      </c>
      <c r="W13" s="13">
        <f>'02_Modelo'!U68</f>
        <v>5407.5</v>
      </c>
      <c r="X13" s="13">
        <f>'02_Modelo'!V68</f>
        <v>5407.5</v>
      </c>
      <c r="Y13" s="13">
        <f>'02_Modelo'!W68</f>
        <v>5407.5</v>
      </c>
      <c r="Z13" s="13">
        <f>'02_Modelo'!X68</f>
        <v>5407.5</v>
      </c>
      <c r="AA13" s="13">
        <f>'02_Modelo'!Y68</f>
        <v>5407.5</v>
      </c>
      <c r="AB13" s="13">
        <f>'02_Modelo'!Z68</f>
        <v>5407.5</v>
      </c>
      <c r="AC13" s="13">
        <f>'02_Modelo'!AA68</f>
        <v>5407.5</v>
      </c>
      <c r="AD13" s="13">
        <f>'02_Modelo'!AB68</f>
        <v>5407.5</v>
      </c>
      <c r="AE13" s="13">
        <f>'02_Modelo'!AC68</f>
        <v>7569.7249999999995</v>
      </c>
      <c r="AF13" s="13">
        <f>'02_Modelo'!AD68</f>
        <v>5569.7249999999995</v>
      </c>
      <c r="AG13" s="13">
        <f>'02_Modelo'!AE68</f>
        <v>5569.7249999999995</v>
      </c>
      <c r="AH13" s="13">
        <f>'02_Modelo'!AF68</f>
        <v>5569.7249999999995</v>
      </c>
      <c r="AI13" s="13">
        <f>'02_Modelo'!AG68</f>
        <v>5569.7249999999995</v>
      </c>
      <c r="AJ13" s="13">
        <f>'02_Modelo'!AH68</f>
        <v>5569.7249999999995</v>
      </c>
      <c r="AK13" s="13">
        <f>'02_Modelo'!AI68</f>
        <v>5569.7249999999995</v>
      </c>
      <c r="AL13" s="13">
        <f>'02_Modelo'!AJ68</f>
        <v>5569.7249999999995</v>
      </c>
      <c r="AM13" s="13">
        <f>'02_Modelo'!AK68</f>
        <v>8069.7249999999995</v>
      </c>
      <c r="AN13" s="13">
        <f>'02_Modelo'!AL68</f>
        <v>5569.7249999999995</v>
      </c>
      <c r="AO13" s="13">
        <f>'02_Modelo'!AM68</f>
        <v>5569.7249999999995</v>
      </c>
      <c r="AP13" s="13">
        <f>'02_Modelo'!AN68</f>
        <v>5569.7249999999995</v>
      </c>
    </row>
    <row r="14" spans="1:42" ht="15" x14ac:dyDescent="0.25">
      <c r="B14" s="12" t="s">
        <v>165</v>
      </c>
      <c r="C14" s="13">
        <f>SUM('02_Modelo'!E68:P68)</f>
        <v>70000</v>
      </c>
      <c r="D14" s="13">
        <f>SUM('02_Modelo'!Q68:AB68)</f>
        <v>64890</v>
      </c>
      <c r="E14" s="13">
        <f>SUM('02_Modelo'!AC68:AN68)</f>
        <v>71336.7</v>
      </c>
      <c r="F14" s="8" t="s">
        <v>184</v>
      </c>
      <c r="G14" s="13">
        <f>'02_Modelo'!E80</f>
        <v>-13245</v>
      </c>
      <c r="H14" s="13">
        <f>'02_Modelo'!F80</f>
        <v>-11765</v>
      </c>
      <c r="I14" s="13">
        <f>'02_Modelo'!G80</f>
        <v>-8725</v>
      </c>
      <c r="J14" s="13">
        <f>'02_Modelo'!H80</f>
        <v>-7750</v>
      </c>
      <c r="K14" s="13">
        <f>'02_Modelo'!I80</f>
        <v>-6775</v>
      </c>
      <c r="L14" s="13">
        <f>'02_Modelo'!J80</f>
        <v>-5605</v>
      </c>
      <c r="M14" s="13">
        <f>'02_Modelo'!K80</f>
        <v>-7930</v>
      </c>
      <c r="N14" s="13">
        <f>'02_Modelo'!L80</f>
        <v>-2835</v>
      </c>
      <c r="O14" s="13">
        <f>'02_Modelo'!M80</f>
        <v>-3285</v>
      </c>
      <c r="P14" s="13">
        <f>'02_Modelo'!N80</f>
        <v>145</v>
      </c>
      <c r="Q14" s="13">
        <f>'02_Modelo'!O80</f>
        <v>-750</v>
      </c>
      <c r="R14" s="13">
        <f>'02_Modelo'!P80</f>
        <v>1375</v>
      </c>
      <c r="S14" s="13">
        <f>'02_Modelo'!Q80</f>
        <v>3997.5</v>
      </c>
      <c r="T14" s="13">
        <f>'02_Modelo'!R80</f>
        <v>6091.4499999999971</v>
      </c>
      <c r="U14" s="13">
        <f>'02_Modelo'!S80</f>
        <v>7721.4499999999971</v>
      </c>
      <c r="V14" s="13">
        <f>'02_Modelo'!T80</f>
        <v>9147.6999999999971</v>
      </c>
      <c r="W14" s="13">
        <f>'02_Modelo'!U80</f>
        <v>10573.949999999997</v>
      </c>
      <c r="X14" s="13">
        <f>'02_Modelo'!V80</f>
        <v>13898.549999999996</v>
      </c>
      <c r="Y14" s="13">
        <f>'02_Modelo'!W80</f>
        <v>13833.949999999997</v>
      </c>
      <c r="Z14" s="13">
        <f>'02_Modelo'!X80</f>
        <v>17158.550000000003</v>
      </c>
      <c r="AA14" s="13">
        <f>'02_Modelo'!Y80</f>
        <v>17297.700000000004</v>
      </c>
      <c r="AB14" s="13">
        <f>'02_Modelo'!Z80</f>
        <v>21493.75</v>
      </c>
      <c r="AC14" s="13">
        <f>'02_Modelo'!AA80</f>
        <v>22456.050000000003</v>
      </c>
      <c r="AD14" s="13">
        <f>'02_Modelo'!AB80</f>
        <v>24957.5</v>
      </c>
      <c r="AE14" s="13">
        <f>'02_Modelo'!AC80</f>
        <v>25536.768500000013</v>
      </c>
      <c r="AF14" s="13">
        <f>'02_Modelo'!AD80</f>
        <v>30149.246000000028</v>
      </c>
      <c r="AG14" s="13">
        <f>'02_Modelo'!AE80</f>
        <v>32065.152500000018</v>
      </c>
      <c r="AH14" s="13">
        <f>'02_Modelo'!AF80</f>
        <v>35966.415500000017</v>
      </c>
      <c r="AI14" s="13">
        <f>'02_Modelo'!AG80</f>
        <v>36322.722500000018</v>
      </c>
      <c r="AJ14" s="13">
        <f>'02_Modelo'!AH80</f>
        <v>40223.985500000024</v>
      </c>
      <c r="AK14" s="13">
        <f>'02_Modelo'!AI80</f>
        <v>40580.292500000018</v>
      </c>
      <c r="AL14" s="13">
        <f>'02_Modelo'!AJ80</f>
        <v>45178.12650000002</v>
      </c>
      <c r="AM14" s="13">
        <f>'02_Modelo'!AK80</f>
        <v>44110.34050000002</v>
      </c>
      <c r="AN14" s="13">
        <f>'02_Modelo'!AL80</f>
        <v>49648.575000000026</v>
      </c>
      <c r="AO14" s="13">
        <f>'02_Modelo'!AM80</f>
        <v>51990.238500000021</v>
      </c>
      <c r="AP14" s="13">
        <f>'02_Modelo'!AN80</f>
        <v>54119.023500000025</v>
      </c>
    </row>
    <row r="15" spans="1:42" ht="15" x14ac:dyDescent="0.25">
      <c r="B15" s="12" t="s">
        <v>184</v>
      </c>
      <c r="C15" s="13">
        <f>SUM('02_Modelo'!E80:P80)</f>
        <v>-67145</v>
      </c>
      <c r="D15" s="13">
        <f>SUM('02_Modelo'!Q80:AB80)</f>
        <v>168628.09999999998</v>
      </c>
      <c r="E15" s="13">
        <f>SUM('02_Modelo'!AC80:AN80)</f>
        <v>485890.88700000022</v>
      </c>
      <c r="F15" s="8" t="s">
        <v>203</v>
      </c>
      <c r="G15" s="13">
        <f>'02_Modelo'!E83</f>
        <v>58755</v>
      </c>
      <c r="H15" s="13">
        <f>'02_Modelo'!F83</f>
        <v>-11765</v>
      </c>
      <c r="I15" s="13">
        <f>'02_Modelo'!G83</f>
        <v>-8725</v>
      </c>
      <c r="J15" s="13">
        <f>'02_Modelo'!H83</f>
        <v>-10011.364572809207</v>
      </c>
      <c r="K15" s="13">
        <f>'02_Modelo'!I83</f>
        <v>-9036.3645728092069</v>
      </c>
      <c r="L15" s="13">
        <f>'02_Modelo'!J83</f>
        <v>-7866.3645728092069</v>
      </c>
      <c r="M15" s="13">
        <f>'02_Modelo'!K83</f>
        <v>-13691.364572809207</v>
      </c>
      <c r="N15" s="13">
        <f>'02_Modelo'!L83</f>
        <v>-5096.3645728092069</v>
      </c>
      <c r="O15" s="13">
        <f>'02_Modelo'!M83</f>
        <v>-5546.3645728092069</v>
      </c>
      <c r="P15" s="13">
        <f>'02_Modelo'!N83</f>
        <v>-2116.3645728092074</v>
      </c>
      <c r="Q15" s="13">
        <f>'02_Modelo'!O83</f>
        <v>-3011.3645728092074</v>
      </c>
      <c r="R15" s="13">
        <f>'02_Modelo'!P83</f>
        <v>-886.3645728092074</v>
      </c>
      <c r="S15" s="13">
        <f>'02_Modelo'!Q83</f>
        <v>1736.1354271907926</v>
      </c>
      <c r="T15" s="13">
        <f>'02_Modelo'!R83</f>
        <v>3830.0854271907897</v>
      </c>
      <c r="U15" s="13">
        <f>'02_Modelo'!S83</f>
        <v>5460.0854271907901</v>
      </c>
      <c r="V15" s="13">
        <f>'02_Modelo'!T83</f>
        <v>6886.3354271907901</v>
      </c>
      <c r="W15" s="13">
        <f>'02_Modelo'!U83</f>
        <v>8312.5854271907901</v>
      </c>
      <c r="X15" s="13">
        <f>'02_Modelo'!V83</f>
        <v>11637.185427190789</v>
      </c>
      <c r="Y15" s="13">
        <f>'02_Modelo'!W83</f>
        <v>11572.58542719079</v>
      </c>
      <c r="Z15" s="13">
        <f>'02_Modelo'!X83</f>
        <v>14897.185427190796</v>
      </c>
      <c r="AA15" s="13">
        <f>'02_Modelo'!Y83</f>
        <v>15036.335427190797</v>
      </c>
      <c r="AB15" s="13">
        <f>'02_Modelo'!Z83</f>
        <v>19232.385427190791</v>
      </c>
      <c r="AC15" s="13">
        <f>'02_Modelo'!AA83</f>
        <v>20194.685427190794</v>
      </c>
      <c r="AD15" s="13">
        <f>'02_Modelo'!AB83</f>
        <v>22696.135427190791</v>
      </c>
      <c r="AE15" s="13">
        <f>'02_Modelo'!AC83</f>
        <v>23275.403927190804</v>
      </c>
      <c r="AF15" s="13">
        <f>'02_Modelo'!AD83</f>
        <v>27887.88142719082</v>
      </c>
      <c r="AG15" s="13">
        <f>'02_Modelo'!AE83</f>
        <v>29803.78792719081</v>
      </c>
      <c r="AH15" s="13">
        <f>'02_Modelo'!AF83</f>
        <v>35966.415500000017</v>
      </c>
      <c r="AI15" s="13">
        <f>'02_Modelo'!AG83</f>
        <v>36322.722500000018</v>
      </c>
      <c r="AJ15" s="13">
        <f>'02_Modelo'!AH83</f>
        <v>40223.985500000024</v>
      </c>
      <c r="AK15" s="13">
        <f>'02_Modelo'!AI83</f>
        <v>40580.292500000018</v>
      </c>
      <c r="AL15" s="13">
        <f>'02_Modelo'!AJ83</f>
        <v>45178.12650000002</v>
      </c>
      <c r="AM15" s="13">
        <f>'02_Modelo'!AK83</f>
        <v>44110.34050000002</v>
      </c>
      <c r="AN15" s="13">
        <f>'02_Modelo'!AL83</f>
        <v>49648.575000000026</v>
      </c>
      <c r="AO15" s="13">
        <f>'02_Modelo'!AM83</f>
        <v>51990.238500000021</v>
      </c>
      <c r="AP15" s="13">
        <f>'02_Modelo'!AN83</f>
        <v>54119.023500000025</v>
      </c>
    </row>
    <row r="16" spans="1:42" ht="15" x14ac:dyDescent="0.25">
      <c r="B16" s="12" t="s">
        <v>204</v>
      </c>
      <c r="C16" s="13">
        <f>SUM('02_Modelo'!E71:P72)</f>
        <v>21500</v>
      </c>
      <c r="D16" s="13">
        <f>SUM('02_Modelo'!Q71:AB72)</f>
        <v>0</v>
      </c>
      <c r="E16" s="13">
        <f>SUM('02_Modelo'!AC71:AN72)</f>
        <v>0</v>
      </c>
      <c r="F16" s="8" t="s">
        <v>188</v>
      </c>
      <c r="G16" s="13">
        <f>'02_Modelo'!E84</f>
        <v>93755</v>
      </c>
      <c r="H16" s="13">
        <f>'02_Modelo'!F84</f>
        <v>81990</v>
      </c>
      <c r="I16" s="13">
        <f>'02_Modelo'!G84</f>
        <v>73265</v>
      </c>
      <c r="J16" s="13">
        <f>'02_Modelo'!H84</f>
        <v>63253.635427190791</v>
      </c>
      <c r="K16" s="13">
        <f>'02_Modelo'!I84</f>
        <v>54217.270854381582</v>
      </c>
      <c r="L16" s="13">
        <f>'02_Modelo'!J84</f>
        <v>46350.906281572374</v>
      </c>
      <c r="M16" s="13">
        <f>'02_Modelo'!K84</f>
        <v>32659.541708763165</v>
      </c>
      <c r="N16" s="13">
        <f>'02_Modelo'!L84</f>
        <v>27563.177135953956</v>
      </c>
      <c r="O16" s="13">
        <f>'02_Modelo'!M84</f>
        <v>22016.812563144747</v>
      </c>
      <c r="P16" s="13">
        <f>'02_Modelo'!N84</f>
        <v>19900.447990335539</v>
      </c>
      <c r="Q16" s="13">
        <f>'02_Modelo'!O84</f>
        <v>16889.08341752633</v>
      </c>
      <c r="R16" s="13">
        <f>'02_Modelo'!P84</f>
        <v>16002.718844717123</v>
      </c>
      <c r="S16" s="13">
        <f>'02_Modelo'!Q84</f>
        <v>17738.854271907916</v>
      </c>
      <c r="T16" s="13">
        <f>'02_Modelo'!R84</f>
        <v>21568.939699098704</v>
      </c>
      <c r="U16" s="13">
        <f>'02_Modelo'!S84</f>
        <v>27029.025126289496</v>
      </c>
      <c r="V16" s="13">
        <f>'02_Modelo'!T84</f>
        <v>33915.360553480285</v>
      </c>
      <c r="W16" s="13">
        <f>'02_Modelo'!U84</f>
        <v>42227.945980671073</v>
      </c>
      <c r="X16" s="13">
        <f>'02_Modelo'!V84</f>
        <v>53865.13140786186</v>
      </c>
      <c r="Y16" s="13">
        <f>'02_Modelo'!W84</f>
        <v>65437.716835052648</v>
      </c>
      <c r="Z16" s="13">
        <f>'02_Modelo'!X84</f>
        <v>80334.902262243442</v>
      </c>
      <c r="AA16" s="13">
        <f>'02_Modelo'!Y84</f>
        <v>95371.237689434245</v>
      </c>
      <c r="AB16" s="13">
        <f>'02_Modelo'!Z84</f>
        <v>114603.62311662504</v>
      </c>
      <c r="AC16" s="13">
        <f>'02_Modelo'!AA84</f>
        <v>134798.30854381583</v>
      </c>
      <c r="AD16" s="13">
        <f>'02_Modelo'!AB84</f>
        <v>157494.44397100661</v>
      </c>
      <c r="AE16" s="13">
        <f>'02_Modelo'!AC84</f>
        <v>180769.84789819742</v>
      </c>
      <c r="AF16" s="13">
        <f>'02_Modelo'!AD84</f>
        <v>208657.72932538824</v>
      </c>
      <c r="AG16" s="13">
        <f>'02_Modelo'!AE84</f>
        <v>238461.51725257904</v>
      </c>
      <c r="AH16" s="13">
        <f>'02_Modelo'!AF84</f>
        <v>274427.93275257904</v>
      </c>
      <c r="AI16" s="13">
        <f>'02_Modelo'!AG84</f>
        <v>310750.65525257908</v>
      </c>
      <c r="AJ16" s="13">
        <f>'02_Modelo'!AH84</f>
        <v>350974.64075257909</v>
      </c>
      <c r="AK16" s="13">
        <f>'02_Modelo'!AI84</f>
        <v>391554.93325257913</v>
      </c>
      <c r="AL16" s="13">
        <f>'02_Modelo'!AJ84</f>
        <v>436733.05975257914</v>
      </c>
      <c r="AM16" s="13">
        <f>'02_Modelo'!AK84</f>
        <v>480843.40025257913</v>
      </c>
      <c r="AN16" s="13">
        <f>'02_Modelo'!AL84</f>
        <v>530491.9752525792</v>
      </c>
      <c r="AO16" s="13">
        <f>'02_Modelo'!AM84</f>
        <v>582482.21375257918</v>
      </c>
      <c r="AP16" s="13">
        <f>'02_Modelo'!AN84</f>
        <v>636601.23725257919</v>
      </c>
    </row>
    <row r="17" spans="1:42" ht="15" x14ac:dyDescent="0.25">
      <c r="B17" s="12" t="s">
        <v>205</v>
      </c>
      <c r="C17" s="13">
        <f>'02_Modelo'!P84</f>
        <v>16002.718844717123</v>
      </c>
      <c r="D17" s="13">
        <f>'02_Modelo'!AB84</f>
        <v>157494.44397100661</v>
      </c>
      <c r="E17" s="13">
        <f>'02_Modelo'!AN84</f>
        <v>636601.23725257919</v>
      </c>
      <c r="F17" s="8" t="s">
        <v>206</v>
      </c>
      <c r="G17" s="13">
        <f>'02_Modelo'!E79</f>
        <v>50000</v>
      </c>
      <c r="H17" s="13">
        <f>'02_Modelo'!F79</f>
        <v>50000</v>
      </c>
      <c r="I17" s="13">
        <f>'02_Modelo'!G79</f>
        <v>50000</v>
      </c>
      <c r="J17" s="13">
        <f>'02_Modelo'!H79</f>
        <v>48071.968760524127</v>
      </c>
      <c r="K17" s="13">
        <f>'02_Modelo'!I79</f>
        <v>46131.083979451745</v>
      </c>
      <c r="L17" s="13">
        <f>'02_Modelo'!J79</f>
        <v>44177.259966505546</v>
      </c>
      <c r="M17" s="13">
        <f>'02_Modelo'!K79</f>
        <v>42210.410460139712</v>
      </c>
      <c r="N17" s="13">
        <f>'02_Modelo'!L79</f>
        <v>40230.448623731434</v>
      </c>
      <c r="O17" s="13">
        <f>'02_Modelo'!M79</f>
        <v>38237.287041747106</v>
      </c>
      <c r="P17" s="13">
        <f>'02_Modelo'!N79</f>
        <v>36230.837715882881</v>
      </c>
      <c r="Q17" s="13">
        <f>'02_Modelo'!O79</f>
        <v>34211.012061179557</v>
      </c>
      <c r="R17" s="13">
        <f>'02_Modelo'!P79</f>
        <v>32177.720902111549</v>
      </c>
      <c r="S17" s="13">
        <f>'02_Modelo'!Q79</f>
        <v>30130.874468649752</v>
      </c>
      <c r="T17" s="13">
        <f>'02_Modelo'!R79</f>
        <v>28070.382392298208</v>
      </c>
      <c r="U17" s="13">
        <f>'02_Modelo'!S79</f>
        <v>25996.153702104322</v>
      </c>
      <c r="V17" s="13">
        <f>'02_Modelo'!T79</f>
        <v>23908.096820642477</v>
      </c>
      <c r="W17" s="13">
        <f>'02_Modelo'!U79</f>
        <v>21806.119559970884</v>
      </c>
      <c r="X17" s="13">
        <f>'02_Modelo'!V79</f>
        <v>19690.129117561482</v>
      </c>
      <c r="Y17" s="13">
        <f>'02_Modelo'!W79</f>
        <v>17560.032072202685</v>
      </c>
      <c r="Z17" s="13">
        <f>'02_Modelo'!X79</f>
        <v>15415.734379874828</v>
      </c>
      <c r="AA17" s="13">
        <f>'02_Modelo'!Y79</f>
        <v>13257.141369598119</v>
      </c>
      <c r="AB17" s="13">
        <f>'02_Modelo'!Z79</f>
        <v>11084.1577392529</v>
      </c>
      <c r="AC17" s="13">
        <f>'02_Modelo'!AA79</f>
        <v>8896.6875513720443</v>
      </c>
      <c r="AD17" s="13">
        <f>'02_Modelo'!AB79</f>
        <v>6694.6342289053173</v>
      </c>
      <c r="AE17" s="13">
        <f>'02_Modelo'!AC79</f>
        <v>4477.900550955479</v>
      </c>
      <c r="AF17" s="13">
        <f>'02_Modelo'!AD79</f>
        <v>2246.388648485975</v>
      </c>
      <c r="AG17" s="13">
        <f>'02_Modelo'!AE79</f>
        <v>7.2759576141834259E-12</v>
      </c>
      <c r="AH17" s="13">
        <f>'02_Modelo'!AF79</f>
        <v>7.2759576141834259E-12</v>
      </c>
      <c r="AI17" s="13">
        <f>'02_Modelo'!AG79</f>
        <v>7.2759576141834259E-12</v>
      </c>
      <c r="AJ17" s="13">
        <f>'02_Modelo'!AH79</f>
        <v>7.2759576141834259E-12</v>
      </c>
      <c r="AK17" s="13">
        <f>'02_Modelo'!AI79</f>
        <v>7.2759576141834259E-12</v>
      </c>
      <c r="AL17" s="13">
        <f>'02_Modelo'!AJ79</f>
        <v>7.2759576141834259E-12</v>
      </c>
      <c r="AM17" s="13">
        <f>'02_Modelo'!AK79</f>
        <v>7.2759576141834259E-12</v>
      </c>
      <c r="AN17" s="13">
        <f>'02_Modelo'!AL79</f>
        <v>7.2759576141834259E-12</v>
      </c>
      <c r="AO17" s="13">
        <f>'02_Modelo'!AM79</f>
        <v>7.2759576141834259E-12</v>
      </c>
      <c r="AP17" s="13">
        <f>'02_Modelo'!AN79</f>
        <v>7.2759576141834259E-12</v>
      </c>
    </row>
    <row r="18" spans="1:42" ht="15" x14ac:dyDescent="0.25">
      <c r="B18" s="12" t="s">
        <v>207</v>
      </c>
      <c r="C18" s="13">
        <f>'02_Modelo'!P79</f>
        <v>32177.720902111549</v>
      </c>
      <c r="D18" s="13">
        <f>'02_Modelo'!AB79</f>
        <v>6694.6342289053173</v>
      </c>
      <c r="E18" s="13">
        <f>'02_Modelo'!AN79</f>
        <v>7.2759576141834259E-12</v>
      </c>
    </row>
    <row r="19" spans="1:42" ht="15" x14ac:dyDescent="0.25"/>
    <row r="20" spans="1:42" ht="15" x14ac:dyDescent="0.25">
      <c r="A20" s="30" t="s">
        <v>208</v>
      </c>
      <c r="B20" s="30"/>
      <c r="C20" s="30"/>
      <c r="D20" s="30"/>
    </row>
    <row r="21" spans="1:42" ht="15" x14ac:dyDescent="0.25">
      <c r="A21" t="s">
        <v>23</v>
      </c>
      <c r="B21" s="11">
        <f>MIN('02_Modelo'!E84:AN84)</f>
        <v>16002.718844717123</v>
      </c>
    </row>
    <row r="22" spans="1:42" ht="15" x14ac:dyDescent="0.25">
      <c r="A22" t="s">
        <v>24</v>
      </c>
      <c r="B22" s="25">
        <f>IFERROR(MATCH(1,'02_Modelo'!E85:AN85,0),0)</f>
        <v>10</v>
      </c>
    </row>
    <row r="23" spans="1:42" ht="15" x14ac:dyDescent="0.25">
      <c r="A23" t="s">
        <v>209</v>
      </c>
      <c r="B23" s="25">
        <f>IFERROR(MATCH(1,'02_Modelo'!E86:AN86,0),0)</f>
        <v>0</v>
      </c>
    </row>
    <row r="24" spans="1:42" ht="15" x14ac:dyDescent="0.25"/>
    <row r="25" spans="1:42" ht="15" x14ac:dyDescent="0.25">
      <c r="A25" s="30" t="s">
        <v>210</v>
      </c>
      <c r="B25" s="30"/>
      <c r="C25" s="30"/>
      <c r="D25" s="30"/>
    </row>
    <row r="26" spans="1:42" ht="15" x14ac:dyDescent="0.25">
      <c r="A26" t="s">
        <v>211</v>
      </c>
      <c r="B26" s="20">
        <f>IF(C10=0,0,C11/C10)</f>
        <v>0.65923777961888985</v>
      </c>
    </row>
    <row r="27" spans="1:42" ht="15" x14ac:dyDescent="0.25">
      <c r="A27" t="s">
        <v>212</v>
      </c>
      <c r="B27" s="11">
        <f>(C13+C14)/12</f>
        <v>15541.666666666666</v>
      </c>
    </row>
    <row r="28" spans="1:42" ht="15" x14ac:dyDescent="0.25">
      <c r="A28" t="s">
        <v>213</v>
      </c>
      <c r="B28" s="22">
        <f>AVERAGE('02_Modelo'!E27:P27)</f>
        <v>30.416666666666668</v>
      </c>
    </row>
    <row r="29" spans="1:42" ht="15" x14ac:dyDescent="0.25">
      <c r="A29" t="s">
        <v>214</v>
      </c>
      <c r="B29" s="11">
        <f>AVERAGE('02_Modelo'!E28:P28)</f>
        <v>290</v>
      </c>
    </row>
    <row r="30" spans="1:42" ht="15" x14ac:dyDescent="0.25">
      <c r="A30" t="s">
        <v>215</v>
      </c>
      <c r="B30" s="11">
        <f>IF(B26=0,0,B27/B26)</f>
        <v>23575.206317288757</v>
      </c>
    </row>
    <row r="31" spans="1:42" ht="15" x14ac:dyDescent="0.25">
      <c r="A31" t="s">
        <v>216</v>
      </c>
      <c r="B31" s="22">
        <f>IF(B29=0,0,B30/B29)</f>
        <v>81.293814887202615</v>
      </c>
    </row>
    <row r="32" spans="1:42" ht="15" x14ac:dyDescent="0.25"/>
    <row r="33" spans="1:2" ht="15" x14ac:dyDescent="0.25"/>
    <row r="34" spans="1:2" ht="15" x14ac:dyDescent="0.25"/>
    <row r="35" spans="1:2" ht="15" x14ac:dyDescent="0.25">
      <c r="A35" t="s">
        <v>217</v>
      </c>
    </row>
    <row r="36" spans="1:2" ht="15" x14ac:dyDescent="0.25">
      <c r="A36" t="s">
        <v>218</v>
      </c>
      <c r="B36" s="26">
        <f>SUM('02_Modelo'!E29:P29)</f>
        <v>105850</v>
      </c>
    </row>
    <row r="37" spans="1:2" ht="15" x14ac:dyDescent="0.25">
      <c r="A37" t="s">
        <v>43</v>
      </c>
      <c r="B37" s="26">
        <f>SUM('02_Modelo'!E33:P33)</f>
        <v>65000</v>
      </c>
    </row>
    <row r="38" spans="1:2" ht="15" x14ac:dyDescent="0.25">
      <c r="A38" t="s">
        <v>46</v>
      </c>
      <c r="B38" s="26">
        <f>SUM('02_Modelo'!E37:P37)</f>
        <v>10200</v>
      </c>
    </row>
  </sheetData>
  <mergeCells count="5">
    <mergeCell ref="A1:AP2"/>
    <mergeCell ref="A8:E8"/>
    <mergeCell ref="G8:AP8"/>
    <mergeCell ref="A20:D20"/>
    <mergeCell ref="A25:D25"/>
  </mergeCells>
  <conditionalFormatting sqref="G16:AP16">
    <cfRule type="cellIs" dxfId="0" priority="2" operator="lessThan">
      <formula>0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6"/>
  <sheetViews>
    <sheetView zoomScaleNormal="100" zoomScalePageLayoutView="60" workbookViewId="0"/>
  </sheetViews>
  <sheetFormatPr baseColWidth="10" defaultColWidth="8.7109375" defaultRowHeight="12.75" customHeight="1" x14ac:dyDescent="0.25"/>
  <sheetData>
    <row r="1" spans="1:8" ht="15" x14ac:dyDescent="0.25"/>
    <row r="2" spans="1:8" ht="15" x14ac:dyDescent="0.25">
      <c r="A2" t="s">
        <v>219</v>
      </c>
      <c r="B2">
        <v>0.8</v>
      </c>
      <c r="C2">
        <v>0.95</v>
      </c>
      <c r="D2">
        <v>1.05</v>
      </c>
      <c r="F2" t="s">
        <v>103</v>
      </c>
      <c r="G2" t="s">
        <v>95</v>
      </c>
      <c r="H2" t="s">
        <v>93</v>
      </c>
    </row>
    <row r="3" spans="1:8" ht="15" x14ac:dyDescent="0.25">
      <c r="A3" t="s">
        <v>111</v>
      </c>
      <c r="B3">
        <v>1</v>
      </c>
      <c r="C3">
        <v>1</v>
      </c>
      <c r="D3">
        <v>1</v>
      </c>
      <c r="F3" t="s">
        <v>98</v>
      </c>
      <c r="G3" t="s">
        <v>105</v>
      </c>
      <c r="H3" t="s">
        <v>102</v>
      </c>
    </row>
    <row r="4" spans="1:8" ht="15" x14ac:dyDescent="0.25">
      <c r="A4" t="s">
        <v>220</v>
      </c>
      <c r="B4">
        <v>1.2</v>
      </c>
      <c r="C4">
        <v>1.05</v>
      </c>
      <c r="D4">
        <v>0.98</v>
      </c>
      <c r="F4" t="s">
        <v>221</v>
      </c>
      <c r="G4" t="s">
        <v>222</v>
      </c>
      <c r="H4" t="s">
        <v>100</v>
      </c>
    </row>
    <row r="5" spans="1:8" ht="15" x14ac:dyDescent="0.25">
      <c r="F5" t="s">
        <v>94</v>
      </c>
      <c r="H5" t="s">
        <v>97</v>
      </c>
    </row>
    <row r="6" spans="1:8" ht="15" x14ac:dyDescent="0.25">
      <c r="H6" t="s">
        <v>107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00_Inicio</vt:lpstr>
      <vt:lpstr>01_Plan</vt:lpstr>
      <vt:lpstr>02_Modelo</vt:lpstr>
      <vt:lpstr>03_Finanzas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2026-03-16T08:13:52Z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2026-03-16T07:30:13Z</dcterms:created>
  <dc:creator>openpyxl</dc:creator>
  <dc:description/>
  <dc:language>en-US</dc:language>
  <cp:lastModifiedBy/>
  <dcterms:modified xsi:type="dcterms:W3CDTF">2026-03-16T07:30:13Z</dcterms:modified>
  <cp:revision>0</cp:revision>
  <dc:subject/>
  <dc:title/>
</cp:coreProperties>
</file>