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lan de negocio plantilla\"/>
    </mc:Choice>
  </mc:AlternateContent>
  <xr:revisionPtr revIDLastSave="0" documentId="8_{F45487FB-765C-4E20-B3A2-49D9AF87F0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icio" sheetId="1" r:id="rId1"/>
    <sheet name="Supuestos" sheetId="2" r:id="rId2"/>
    <sheet name="Proyeccion" sheetId="3" r:id="rId3"/>
    <sheet name="Dashboard" sheetId="4" r:id="rId4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70" i="3" l="1"/>
  <c r="AK70" i="3"/>
  <c r="Z70" i="3"/>
  <c r="Y70" i="3"/>
  <c r="X70" i="3"/>
  <c r="AJ70" i="3" s="1"/>
  <c r="W70" i="3"/>
  <c r="AI70" i="3" s="1"/>
  <c r="V70" i="3"/>
  <c r="AH70" i="3" s="1"/>
  <c r="U70" i="3"/>
  <c r="AG70" i="3" s="1"/>
  <c r="T70" i="3"/>
  <c r="AF70" i="3" s="1"/>
  <c r="S70" i="3"/>
  <c r="AE70" i="3" s="1"/>
  <c r="R70" i="3"/>
  <c r="AD70" i="3" s="1"/>
  <c r="Q70" i="3"/>
  <c r="AC70" i="3" s="1"/>
  <c r="P70" i="3"/>
  <c r="AB70" i="3" s="1"/>
  <c r="O70" i="3"/>
  <c r="AA70" i="3" s="1"/>
  <c r="N70" i="3"/>
  <c r="M70" i="3"/>
  <c r="L70" i="3"/>
  <c r="K70" i="3"/>
  <c r="J70" i="3"/>
  <c r="I70" i="3"/>
  <c r="H70" i="3"/>
  <c r="G70" i="3"/>
  <c r="F70" i="3"/>
  <c r="E70" i="3"/>
  <c r="D70" i="3"/>
  <c r="C70" i="3"/>
  <c r="AL69" i="3"/>
  <c r="AK69" i="3"/>
  <c r="AJ69" i="3"/>
  <c r="AI69" i="3"/>
  <c r="AH69" i="3"/>
  <c r="AG69" i="3"/>
  <c r="AF69" i="3"/>
  <c r="AE69" i="3"/>
  <c r="W69" i="3"/>
  <c r="V69" i="3"/>
  <c r="U69" i="3"/>
  <c r="T69" i="3"/>
  <c r="S69" i="3"/>
  <c r="R69" i="3"/>
  <c r="AD69" i="3" s="1"/>
  <c r="Q69" i="3"/>
  <c r="AC69" i="3" s="1"/>
  <c r="P69" i="3"/>
  <c r="AB69" i="3" s="1"/>
  <c r="N69" i="3"/>
  <c r="Z69" i="3" s="1"/>
  <c r="M69" i="3"/>
  <c r="Y69" i="3" s="1"/>
  <c r="L69" i="3"/>
  <c r="X69" i="3" s="1"/>
  <c r="K69" i="3"/>
  <c r="J69" i="3"/>
  <c r="I69" i="3"/>
  <c r="H69" i="3"/>
  <c r="G69" i="3"/>
  <c r="F69" i="3"/>
  <c r="E69" i="3"/>
  <c r="D69" i="3"/>
  <c r="C69" i="3"/>
  <c r="O69" i="3" s="1"/>
  <c r="AA69" i="3" s="1"/>
  <c r="S68" i="3"/>
  <c r="AE68" i="3" s="1"/>
  <c r="R68" i="3"/>
  <c r="AD68" i="3" s="1"/>
  <c r="Q68" i="3"/>
  <c r="AC68" i="3" s="1"/>
  <c r="P68" i="3"/>
  <c r="AB68" i="3" s="1"/>
  <c r="O68" i="3"/>
  <c r="AA68" i="3" s="1"/>
  <c r="N68" i="3"/>
  <c r="Z68" i="3" s="1"/>
  <c r="AL68" i="3" s="1"/>
  <c r="M68" i="3"/>
  <c r="Y68" i="3" s="1"/>
  <c r="AK68" i="3" s="1"/>
  <c r="L68" i="3"/>
  <c r="X68" i="3" s="1"/>
  <c r="AJ68" i="3" s="1"/>
  <c r="K68" i="3"/>
  <c r="W68" i="3" s="1"/>
  <c r="AI68" i="3" s="1"/>
  <c r="J68" i="3"/>
  <c r="V68" i="3" s="1"/>
  <c r="AH68" i="3" s="1"/>
  <c r="I68" i="3"/>
  <c r="U68" i="3" s="1"/>
  <c r="AG68" i="3" s="1"/>
  <c r="H68" i="3"/>
  <c r="T68" i="3" s="1"/>
  <c r="AF68" i="3" s="1"/>
  <c r="G68" i="3"/>
  <c r="F68" i="3"/>
  <c r="E68" i="3"/>
  <c r="D68" i="3"/>
  <c r="C68" i="3"/>
  <c r="AO42" i="3"/>
  <c r="AN42" i="3"/>
  <c r="AL42" i="3"/>
  <c r="AK42" i="3"/>
  <c r="AJ42" i="3"/>
  <c r="AI42" i="3"/>
  <c r="AH42" i="3"/>
  <c r="AG42" i="3"/>
  <c r="AF42" i="3"/>
  <c r="AE42" i="3"/>
  <c r="AD42" i="3"/>
  <c r="AC42" i="3"/>
  <c r="AB42" i="3"/>
  <c r="AA42" i="3"/>
  <c r="Z42" i="3"/>
  <c r="Y42" i="3"/>
  <c r="X42" i="3"/>
  <c r="W42" i="3"/>
  <c r="V42" i="3"/>
  <c r="U42" i="3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AO41" i="3"/>
  <c r="AM41" i="3"/>
  <c r="AL41" i="3"/>
  <c r="AK41" i="3"/>
  <c r="AJ41" i="3"/>
  <c r="AI41" i="3"/>
  <c r="AH41" i="3"/>
  <c r="AG41" i="3"/>
  <c r="AF41" i="3"/>
  <c r="AE41" i="3"/>
  <c r="AD41" i="3"/>
  <c r="AC41" i="3"/>
  <c r="AB41" i="3"/>
  <c r="AA41" i="3"/>
  <c r="Z41" i="3"/>
  <c r="Y41" i="3"/>
  <c r="X41" i="3"/>
  <c r="W41" i="3"/>
  <c r="V41" i="3"/>
  <c r="U41" i="3"/>
  <c r="T41" i="3"/>
  <c r="S41" i="3"/>
  <c r="AN41" i="3" s="1"/>
  <c r="R41" i="3"/>
  <c r="Q41" i="3"/>
  <c r="P41" i="3"/>
  <c r="O41" i="3"/>
  <c r="N41" i="3"/>
  <c r="M41" i="3"/>
  <c r="L41" i="3"/>
  <c r="K41" i="3"/>
  <c r="J41" i="3"/>
  <c r="I41" i="3"/>
  <c r="H41" i="3"/>
  <c r="G41" i="3"/>
  <c r="F41" i="3"/>
  <c r="E41" i="3"/>
  <c r="D41" i="3"/>
  <c r="C41" i="3"/>
  <c r="C72" i="3" s="1"/>
  <c r="AM40" i="3"/>
  <c r="AL40" i="3"/>
  <c r="AK40" i="3"/>
  <c r="AJ40" i="3"/>
  <c r="AI40" i="3"/>
  <c r="AH40" i="3"/>
  <c r="AG40" i="3"/>
  <c r="AF40" i="3"/>
  <c r="AE40" i="3"/>
  <c r="AD40" i="3"/>
  <c r="AC40" i="3"/>
  <c r="AB40" i="3"/>
  <c r="AA40" i="3"/>
  <c r="AO40" i="3" s="1"/>
  <c r="Z40" i="3"/>
  <c r="Y40" i="3"/>
  <c r="X40" i="3"/>
  <c r="W40" i="3"/>
  <c r="V40" i="3"/>
  <c r="U40" i="3"/>
  <c r="T40" i="3"/>
  <c r="S40" i="3"/>
  <c r="R40" i="3"/>
  <c r="AN40" i="3" s="1"/>
  <c r="Q40" i="3"/>
  <c r="P40" i="3"/>
  <c r="O40" i="3"/>
  <c r="N40" i="3"/>
  <c r="M40" i="3"/>
  <c r="L40" i="3"/>
  <c r="K40" i="3"/>
  <c r="J40" i="3"/>
  <c r="I40" i="3"/>
  <c r="H40" i="3"/>
  <c r="G40" i="3"/>
  <c r="F40" i="3"/>
  <c r="E40" i="3"/>
  <c r="D40" i="3"/>
  <c r="C40" i="3"/>
  <c r="C38" i="3"/>
  <c r="AM38" i="3" s="1"/>
  <c r="AM31" i="3"/>
  <c r="AL31" i="3"/>
  <c r="AK31" i="3"/>
  <c r="AJ31" i="3"/>
  <c r="AI31" i="3"/>
  <c r="AH31" i="3"/>
  <c r="AG31" i="3"/>
  <c r="AF31" i="3"/>
  <c r="AE31" i="3"/>
  <c r="AD31" i="3"/>
  <c r="AC31" i="3"/>
  <c r="AB31" i="3"/>
  <c r="AA31" i="3"/>
  <c r="AO31" i="3" s="1"/>
  <c r="Z31" i="3"/>
  <c r="Y31" i="3"/>
  <c r="X31" i="3"/>
  <c r="W31" i="3"/>
  <c r="V31" i="3"/>
  <c r="U31" i="3"/>
  <c r="T31" i="3"/>
  <c r="S31" i="3"/>
  <c r="AN31" i="3" s="1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AO22" i="3" s="1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16" i="3"/>
  <c r="B15" i="3"/>
  <c r="B14" i="3"/>
  <c r="B10" i="3"/>
  <c r="B9" i="3"/>
  <c r="B8" i="3"/>
  <c r="J32" i="2"/>
  <c r="H5" i="2"/>
  <c r="H6" i="2" s="1"/>
  <c r="C33" i="3" l="1"/>
  <c r="C43" i="3"/>
  <c r="J62" i="3"/>
  <c r="F61" i="3"/>
  <c r="I62" i="3"/>
  <c r="E61" i="3"/>
  <c r="H62" i="3"/>
  <c r="D61" i="3"/>
  <c r="G62" i="3"/>
  <c r="C61" i="3"/>
  <c r="F62" i="3"/>
  <c r="E62" i="3"/>
  <c r="D62" i="3"/>
  <c r="N61" i="3"/>
  <c r="C62" i="3"/>
  <c r="M61" i="3"/>
  <c r="L61" i="3"/>
  <c r="K61" i="3"/>
  <c r="J61" i="3"/>
  <c r="N60" i="3"/>
  <c r="I61" i="3"/>
  <c r="M60" i="3"/>
  <c r="H61" i="3"/>
  <c r="L60" i="3"/>
  <c r="G61" i="3"/>
  <c r="K60" i="3"/>
  <c r="M62" i="3"/>
  <c r="I60" i="3"/>
  <c r="K62" i="3"/>
  <c r="J60" i="3"/>
  <c r="L62" i="3"/>
  <c r="N62" i="3"/>
  <c r="AM42" i="3"/>
  <c r="H9" i="2"/>
  <c r="H7" i="2"/>
  <c r="C46" i="3"/>
  <c r="D46" i="3" s="1"/>
  <c r="E46" i="3" s="1"/>
  <c r="F46" i="3" s="1"/>
  <c r="G46" i="3" s="1"/>
  <c r="H46" i="3" s="1"/>
  <c r="I46" i="3" s="1"/>
  <c r="J46" i="3" s="1"/>
  <c r="K46" i="3" s="1"/>
  <c r="L46" i="3" s="1"/>
  <c r="M46" i="3" s="1"/>
  <c r="N46" i="3" s="1"/>
  <c r="C60" i="3"/>
  <c r="D60" i="3"/>
  <c r="H8" i="2"/>
  <c r="E60" i="3"/>
  <c r="AM22" i="3"/>
  <c r="F60" i="3"/>
  <c r="AN22" i="3"/>
  <c r="G60" i="3"/>
  <c r="H60" i="3"/>
  <c r="N64" i="3" l="1"/>
  <c r="Z64" i="3" s="1"/>
  <c r="AL64" i="3" s="1"/>
  <c r="M64" i="3"/>
  <c r="Y64" i="3" s="1"/>
  <c r="AK64" i="3" s="1"/>
  <c r="L64" i="3"/>
  <c r="X64" i="3" s="1"/>
  <c r="AJ64" i="3" s="1"/>
  <c r="K64" i="3"/>
  <c r="W64" i="3" s="1"/>
  <c r="AI64" i="3" s="1"/>
  <c r="N65" i="3"/>
  <c r="Z65" i="3" s="1"/>
  <c r="AL65" i="3" s="1"/>
  <c r="J64" i="3"/>
  <c r="V64" i="3" s="1"/>
  <c r="AH64" i="3" s="1"/>
  <c r="M65" i="3"/>
  <c r="Y65" i="3" s="1"/>
  <c r="AK65" i="3" s="1"/>
  <c r="I64" i="3"/>
  <c r="U64" i="3" s="1"/>
  <c r="AG64" i="3" s="1"/>
  <c r="M66" i="3"/>
  <c r="Y66" i="3" s="1"/>
  <c r="AK66" i="3" s="1"/>
  <c r="L66" i="3"/>
  <c r="X66" i="3" s="1"/>
  <c r="AJ66" i="3" s="1"/>
  <c r="K66" i="3"/>
  <c r="W66" i="3" s="1"/>
  <c r="AI66" i="3" s="1"/>
  <c r="J66" i="3"/>
  <c r="V66" i="3" s="1"/>
  <c r="AH66" i="3" s="1"/>
  <c r="I66" i="3"/>
  <c r="U66" i="3" s="1"/>
  <c r="AG66" i="3" s="1"/>
  <c r="L65" i="3"/>
  <c r="X65" i="3" s="1"/>
  <c r="AJ65" i="3" s="1"/>
  <c r="H66" i="3"/>
  <c r="T66" i="3" s="1"/>
  <c r="AF66" i="3" s="1"/>
  <c r="K65" i="3"/>
  <c r="W65" i="3" s="1"/>
  <c r="AI65" i="3" s="1"/>
  <c r="G66" i="3"/>
  <c r="S66" i="3" s="1"/>
  <c r="AE66" i="3" s="1"/>
  <c r="J65" i="3"/>
  <c r="V65" i="3" s="1"/>
  <c r="AH65" i="3" s="1"/>
  <c r="F66" i="3"/>
  <c r="R66" i="3" s="1"/>
  <c r="AD66" i="3" s="1"/>
  <c r="I65" i="3"/>
  <c r="U65" i="3" s="1"/>
  <c r="AG65" i="3" s="1"/>
  <c r="C64" i="3"/>
  <c r="O64" i="3" s="1"/>
  <c r="AA64" i="3" s="1"/>
  <c r="F64" i="3"/>
  <c r="R64" i="3" s="1"/>
  <c r="AD64" i="3" s="1"/>
  <c r="E65" i="3"/>
  <c r="Q65" i="3" s="1"/>
  <c r="AC65" i="3" s="1"/>
  <c r="E64" i="3"/>
  <c r="Q64" i="3" s="1"/>
  <c r="AC64" i="3" s="1"/>
  <c r="D64" i="3"/>
  <c r="P64" i="3" s="1"/>
  <c r="AB64" i="3" s="1"/>
  <c r="N66" i="3"/>
  <c r="Z66" i="3" s="1"/>
  <c r="AL66" i="3" s="1"/>
  <c r="C66" i="3"/>
  <c r="O66" i="3" s="1"/>
  <c r="AA66" i="3" s="1"/>
  <c r="H65" i="3"/>
  <c r="T65" i="3" s="1"/>
  <c r="AF65" i="3" s="1"/>
  <c r="G65" i="3"/>
  <c r="S65" i="3" s="1"/>
  <c r="AE65" i="3" s="1"/>
  <c r="F65" i="3"/>
  <c r="R65" i="3" s="1"/>
  <c r="AD65" i="3" s="1"/>
  <c r="D65" i="3"/>
  <c r="P65" i="3" s="1"/>
  <c r="AB65" i="3" s="1"/>
  <c r="C65" i="3"/>
  <c r="O65" i="3" s="1"/>
  <c r="AA65" i="3" s="1"/>
  <c r="E66" i="3"/>
  <c r="Q66" i="3" s="1"/>
  <c r="AC66" i="3" s="1"/>
  <c r="D66" i="3"/>
  <c r="P66" i="3" s="1"/>
  <c r="AB66" i="3" s="1"/>
  <c r="H64" i="3"/>
  <c r="T64" i="3" s="1"/>
  <c r="AF64" i="3" s="1"/>
  <c r="G64" i="3"/>
  <c r="S64" i="3" s="1"/>
  <c r="AE64" i="3" s="1"/>
  <c r="AM46" i="3"/>
  <c r="O46" i="3"/>
  <c r="P46" i="3" s="1"/>
  <c r="Q46" i="3" s="1"/>
  <c r="R46" i="3" s="1"/>
  <c r="S46" i="3" s="1"/>
  <c r="T46" i="3" s="1"/>
  <c r="U46" i="3" s="1"/>
  <c r="V46" i="3" s="1"/>
  <c r="W46" i="3" s="1"/>
  <c r="X46" i="3" s="1"/>
  <c r="Y46" i="3" s="1"/>
  <c r="Z46" i="3" s="1"/>
  <c r="J16" i="3"/>
  <c r="V62" i="3"/>
  <c r="I15" i="3"/>
  <c r="U61" i="3"/>
  <c r="J15" i="3"/>
  <c r="V61" i="3"/>
  <c r="S60" i="3"/>
  <c r="G14" i="3"/>
  <c r="Z61" i="3"/>
  <c r="N15" i="3"/>
  <c r="N9" i="3"/>
  <c r="C45" i="3"/>
  <c r="D72" i="3" s="1"/>
  <c r="C28" i="3"/>
  <c r="N23" i="3"/>
  <c r="M23" i="3"/>
  <c r="J27" i="3"/>
  <c r="V27" i="3" s="1"/>
  <c r="AH27" i="3" s="1"/>
  <c r="D25" i="3"/>
  <c r="P25" i="3" s="1"/>
  <c r="AB25" i="3" s="1"/>
  <c r="I27" i="3"/>
  <c r="U27" i="3" s="1"/>
  <c r="AG27" i="3" s="1"/>
  <c r="C25" i="3"/>
  <c r="H27" i="3"/>
  <c r="T27" i="3" s="1"/>
  <c r="AF27" i="3" s="1"/>
  <c r="G27" i="3"/>
  <c r="S27" i="3" s="1"/>
  <c r="AE27" i="3" s="1"/>
  <c r="N26" i="3"/>
  <c r="Z26" i="3" s="1"/>
  <c r="AL26" i="3" s="1"/>
  <c r="F27" i="3"/>
  <c r="R27" i="3" s="1"/>
  <c r="AD27" i="3" s="1"/>
  <c r="M26" i="3"/>
  <c r="Y26" i="3" s="1"/>
  <c r="AK26" i="3" s="1"/>
  <c r="D27" i="3"/>
  <c r="P27" i="3" s="1"/>
  <c r="AB27" i="3" s="1"/>
  <c r="K26" i="3"/>
  <c r="W26" i="3" s="1"/>
  <c r="AI26" i="3" s="1"/>
  <c r="L23" i="3"/>
  <c r="C27" i="3"/>
  <c r="J26" i="3"/>
  <c r="V26" i="3" s="1"/>
  <c r="AH26" i="3" s="1"/>
  <c r="L28" i="3"/>
  <c r="X28" i="3" s="1"/>
  <c r="AJ28" i="3" s="1"/>
  <c r="L27" i="3"/>
  <c r="X27" i="3" s="1"/>
  <c r="AJ27" i="3" s="1"/>
  <c r="E26" i="3"/>
  <c r="Q26" i="3" s="1"/>
  <c r="AC26" i="3" s="1"/>
  <c r="F25" i="3"/>
  <c r="R25" i="3" s="1"/>
  <c r="AD25" i="3" s="1"/>
  <c r="G28" i="3"/>
  <c r="S28" i="3" s="1"/>
  <c r="AE28" i="3" s="1"/>
  <c r="K28" i="3"/>
  <c r="W28" i="3" s="1"/>
  <c r="AI28" i="3" s="1"/>
  <c r="K27" i="3"/>
  <c r="W27" i="3" s="1"/>
  <c r="AI27" i="3" s="1"/>
  <c r="D26" i="3"/>
  <c r="P26" i="3" s="1"/>
  <c r="AB26" i="3" s="1"/>
  <c r="E25" i="3"/>
  <c r="Q25" i="3" s="1"/>
  <c r="AC25" i="3" s="1"/>
  <c r="H23" i="3"/>
  <c r="K25" i="3"/>
  <c r="W25" i="3" s="1"/>
  <c r="AI25" i="3" s="1"/>
  <c r="J28" i="3"/>
  <c r="V28" i="3" s="1"/>
  <c r="AH28" i="3" s="1"/>
  <c r="E27" i="3"/>
  <c r="Q27" i="3" s="1"/>
  <c r="AC27" i="3" s="1"/>
  <c r="C26" i="3"/>
  <c r="I28" i="3"/>
  <c r="U28" i="3" s="1"/>
  <c r="AG28" i="3" s="1"/>
  <c r="F23" i="3"/>
  <c r="F28" i="3"/>
  <c r="R28" i="3" s="1"/>
  <c r="AD28" i="3" s="1"/>
  <c r="L25" i="3"/>
  <c r="X25" i="3" s="1"/>
  <c r="AJ25" i="3" s="1"/>
  <c r="G23" i="3"/>
  <c r="H28" i="3"/>
  <c r="T28" i="3" s="1"/>
  <c r="AF28" i="3" s="1"/>
  <c r="D28" i="3"/>
  <c r="P28" i="3" s="1"/>
  <c r="AB28" i="3" s="1"/>
  <c r="E28" i="3"/>
  <c r="Q28" i="3" s="1"/>
  <c r="AC28" i="3" s="1"/>
  <c r="K23" i="3"/>
  <c r="J25" i="3"/>
  <c r="V25" i="3" s="1"/>
  <c r="AH25" i="3" s="1"/>
  <c r="N25" i="3"/>
  <c r="Z25" i="3" s="1"/>
  <c r="AL25" i="3" s="1"/>
  <c r="J23" i="3"/>
  <c r="M25" i="3"/>
  <c r="Y25" i="3" s="1"/>
  <c r="AK25" i="3" s="1"/>
  <c r="I23" i="3"/>
  <c r="L26" i="3"/>
  <c r="X26" i="3" s="1"/>
  <c r="AJ26" i="3" s="1"/>
  <c r="H26" i="3"/>
  <c r="T26" i="3" s="1"/>
  <c r="AF26" i="3" s="1"/>
  <c r="I25" i="3"/>
  <c r="U25" i="3" s="1"/>
  <c r="AG25" i="3" s="1"/>
  <c r="E23" i="3"/>
  <c r="N28" i="3"/>
  <c r="Z28" i="3" s="1"/>
  <c r="AL28" i="3" s="1"/>
  <c r="N27" i="3"/>
  <c r="Z27" i="3" s="1"/>
  <c r="AL27" i="3" s="1"/>
  <c r="G26" i="3"/>
  <c r="S26" i="3" s="1"/>
  <c r="AE26" i="3" s="1"/>
  <c r="H25" i="3"/>
  <c r="T25" i="3" s="1"/>
  <c r="AF25" i="3" s="1"/>
  <c r="D23" i="3"/>
  <c r="I26" i="3"/>
  <c r="U26" i="3" s="1"/>
  <c r="AG26" i="3" s="1"/>
  <c r="M28" i="3"/>
  <c r="Y28" i="3" s="1"/>
  <c r="AK28" i="3" s="1"/>
  <c r="M27" i="3"/>
  <c r="Y27" i="3" s="1"/>
  <c r="AK27" i="3" s="1"/>
  <c r="F26" i="3"/>
  <c r="R26" i="3" s="1"/>
  <c r="AD26" i="3" s="1"/>
  <c r="G25" i="3"/>
  <c r="S25" i="3" s="1"/>
  <c r="AE25" i="3" s="1"/>
  <c r="C23" i="3"/>
  <c r="H16" i="3"/>
  <c r="T62" i="3"/>
  <c r="K8" i="3"/>
  <c r="W60" i="3"/>
  <c r="K14" i="3"/>
  <c r="C14" i="3"/>
  <c r="O60" i="3"/>
  <c r="I16" i="3"/>
  <c r="U62" i="3"/>
  <c r="R61" i="3"/>
  <c r="F15" i="3"/>
  <c r="M14" i="3"/>
  <c r="Y60" i="3"/>
  <c r="N14" i="3"/>
  <c r="Z60" i="3"/>
  <c r="W61" i="3"/>
  <c r="K15" i="3"/>
  <c r="D16" i="3"/>
  <c r="P62" i="3"/>
  <c r="N24" i="3"/>
  <c r="Z24" i="3" s="1"/>
  <c r="AL24" i="3" s="1"/>
  <c r="K24" i="3"/>
  <c r="W24" i="3" s="1"/>
  <c r="AI24" i="3" s="1"/>
  <c r="J24" i="3"/>
  <c r="V24" i="3" s="1"/>
  <c r="AH24" i="3" s="1"/>
  <c r="I24" i="3"/>
  <c r="U24" i="3" s="1"/>
  <c r="AG24" i="3" s="1"/>
  <c r="H24" i="3"/>
  <c r="T24" i="3" s="1"/>
  <c r="AF24" i="3" s="1"/>
  <c r="G24" i="3"/>
  <c r="S24" i="3" s="1"/>
  <c r="AE24" i="3" s="1"/>
  <c r="E24" i="3"/>
  <c r="Q24" i="3" s="1"/>
  <c r="AC24" i="3" s="1"/>
  <c r="L24" i="3"/>
  <c r="X24" i="3" s="1"/>
  <c r="AJ24" i="3" s="1"/>
  <c r="M24" i="3"/>
  <c r="Y24" i="3" s="1"/>
  <c r="AK24" i="3" s="1"/>
  <c r="D24" i="3"/>
  <c r="P24" i="3" s="1"/>
  <c r="AB24" i="3" s="1"/>
  <c r="F24" i="3"/>
  <c r="R24" i="3" s="1"/>
  <c r="AD24" i="3" s="1"/>
  <c r="C24" i="3"/>
  <c r="Z62" i="3"/>
  <c r="N16" i="3"/>
  <c r="L16" i="3"/>
  <c r="X62" i="3"/>
  <c r="L15" i="3"/>
  <c r="X61" i="3"/>
  <c r="C16" i="3"/>
  <c r="O62" i="3"/>
  <c r="E16" i="3"/>
  <c r="Q62" i="3"/>
  <c r="K16" i="3"/>
  <c r="W62" i="3"/>
  <c r="O61" i="3"/>
  <c r="C15" i="3"/>
  <c r="U60" i="3"/>
  <c r="I14" i="3"/>
  <c r="S62" i="3"/>
  <c r="G16" i="3"/>
  <c r="Q60" i="3"/>
  <c r="E14" i="3"/>
  <c r="D15" i="3"/>
  <c r="P61" i="3"/>
  <c r="M16" i="3"/>
  <c r="Y62" i="3"/>
  <c r="D14" i="3"/>
  <c r="P60" i="3"/>
  <c r="Q61" i="3"/>
  <c r="E15" i="3"/>
  <c r="E9" i="3"/>
  <c r="S61" i="3"/>
  <c r="G15" i="3"/>
  <c r="L8" i="3"/>
  <c r="L14" i="3"/>
  <c r="X60" i="3"/>
  <c r="H15" i="3"/>
  <c r="T61" i="3"/>
  <c r="T60" i="3"/>
  <c r="H14" i="3"/>
  <c r="M15" i="3"/>
  <c r="Y61" i="3"/>
  <c r="V60" i="3"/>
  <c r="J14" i="3"/>
  <c r="R60" i="3"/>
  <c r="F8" i="3"/>
  <c r="F14" i="3"/>
  <c r="R62" i="3"/>
  <c r="F16" i="3"/>
  <c r="M8" i="3" l="1"/>
  <c r="M10" i="3"/>
  <c r="E8" i="3"/>
  <c r="K10" i="3"/>
  <c r="M9" i="3"/>
  <c r="N10" i="3"/>
  <c r="C8" i="3"/>
  <c r="N8" i="3"/>
  <c r="I8" i="3"/>
  <c r="H9" i="3"/>
  <c r="C9" i="3"/>
  <c r="D10" i="3"/>
  <c r="L10" i="3"/>
  <c r="K9" i="3"/>
  <c r="K11" i="3" s="1"/>
  <c r="H10" i="3"/>
  <c r="G9" i="3"/>
  <c r="M17" i="3"/>
  <c r="J8" i="3"/>
  <c r="D17" i="3"/>
  <c r="G10" i="3"/>
  <c r="I17" i="3"/>
  <c r="F9" i="3"/>
  <c r="D8" i="3"/>
  <c r="W8" i="3"/>
  <c r="W14" i="3"/>
  <c r="AI60" i="3"/>
  <c r="U23" i="3"/>
  <c r="I29" i="3"/>
  <c r="AA46" i="3"/>
  <c r="AB46" i="3" s="1"/>
  <c r="AC46" i="3" s="1"/>
  <c r="AD46" i="3" s="1"/>
  <c r="AE46" i="3" s="1"/>
  <c r="AF46" i="3" s="1"/>
  <c r="AG46" i="3" s="1"/>
  <c r="AH46" i="3" s="1"/>
  <c r="AI46" i="3" s="1"/>
  <c r="AJ46" i="3" s="1"/>
  <c r="AK46" i="3" s="1"/>
  <c r="AL46" i="3" s="1"/>
  <c r="AO46" i="3" s="1"/>
  <c r="AN46" i="3"/>
  <c r="G17" i="3"/>
  <c r="F17" i="3"/>
  <c r="AF62" i="3"/>
  <c r="T16" i="3"/>
  <c r="T10" i="3"/>
  <c r="AM15" i="3"/>
  <c r="O23" i="3"/>
  <c r="AM23" i="3"/>
  <c r="C29" i="3"/>
  <c r="M11" i="3"/>
  <c r="M18" i="3" s="1"/>
  <c r="P23" i="3"/>
  <c r="D29" i="3"/>
  <c r="S14" i="3"/>
  <c r="AE60" i="3"/>
  <c r="S8" i="3"/>
  <c r="H8" i="3"/>
  <c r="P9" i="3"/>
  <c r="P15" i="3"/>
  <c r="AB61" i="3"/>
  <c r="R9" i="3"/>
  <c r="R15" i="3"/>
  <c r="AD61" i="3"/>
  <c r="R23" i="3"/>
  <c r="F29" i="3"/>
  <c r="J9" i="3"/>
  <c r="AI61" i="3"/>
  <c r="W15" i="3"/>
  <c r="W9" i="3"/>
  <c r="N29" i="3"/>
  <c r="Z23" i="3"/>
  <c r="D33" i="3"/>
  <c r="D45" i="3"/>
  <c r="E72" i="3" s="1"/>
  <c r="D43" i="3"/>
  <c r="AH60" i="3"/>
  <c r="V14" i="3"/>
  <c r="V8" i="3"/>
  <c r="AL61" i="3"/>
  <c r="Z15" i="3"/>
  <c r="Z9" i="3"/>
  <c r="X23" i="3"/>
  <c r="L29" i="3"/>
  <c r="G8" i="3"/>
  <c r="AC62" i="3"/>
  <c r="Q16" i="3"/>
  <c r="Q10" i="3"/>
  <c r="AF60" i="3"/>
  <c r="T14" i="3"/>
  <c r="T8" i="3"/>
  <c r="U14" i="3"/>
  <c r="U8" i="3"/>
  <c r="AG60" i="3"/>
  <c r="Z10" i="3"/>
  <c r="Z16" i="3"/>
  <c r="AL62" i="3"/>
  <c r="AM24" i="3"/>
  <c r="O24" i="3"/>
  <c r="J17" i="3"/>
  <c r="AI62" i="3"/>
  <c r="W10" i="3"/>
  <c r="W16" i="3"/>
  <c r="AK60" i="3"/>
  <c r="Y8" i="3"/>
  <c r="Y14" i="3"/>
  <c r="AK61" i="3"/>
  <c r="Y15" i="3"/>
  <c r="Y9" i="3"/>
  <c r="H17" i="3"/>
  <c r="AA62" i="3"/>
  <c r="O10" i="3"/>
  <c r="O16" i="3"/>
  <c r="T15" i="3"/>
  <c r="T9" i="3"/>
  <c r="AF61" i="3"/>
  <c r="C10" i="3"/>
  <c r="AM26" i="3"/>
  <c r="O26" i="3"/>
  <c r="AM16" i="3"/>
  <c r="E17" i="3"/>
  <c r="AJ61" i="3"/>
  <c r="X15" i="3"/>
  <c r="X9" i="3"/>
  <c r="Q23" i="3"/>
  <c r="E29" i="3"/>
  <c r="V23" i="3"/>
  <c r="J29" i="3"/>
  <c r="R14" i="3"/>
  <c r="AD60" i="3"/>
  <c r="R8" i="3"/>
  <c r="S23" i="3"/>
  <c r="G29" i="3"/>
  <c r="Y10" i="3"/>
  <c r="Y16" i="3"/>
  <c r="AK62" i="3"/>
  <c r="X14" i="3"/>
  <c r="X8" i="3"/>
  <c r="AJ60" i="3"/>
  <c r="AA60" i="3"/>
  <c r="O14" i="3"/>
  <c r="O8" i="3"/>
  <c r="I9" i="3"/>
  <c r="S9" i="3"/>
  <c r="S15" i="3"/>
  <c r="AE61" i="3"/>
  <c r="N17" i="3"/>
  <c r="W23" i="3"/>
  <c r="K29" i="3"/>
  <c r="P14" i="3"/>
  <c r="AB60" i="3"/>
  <c r="P8" i="3"/>
  <c r="N11" i="3"/>
  <c r="AM27" i="3"/>
  <c r="O27" i="3"/>
  <c r="E10" i="3"/>
  <c r="E11" i="3" s="1"/>
  <c r="AG62" i="3"/>
  <c r="U16" i="3"/>
  <c r="U10" i="3"/>
  <c r="I10" i="3"/>
  <c r="AG61" i="3"/>
  <c r="U9" i="3"/>
  <c r="U15" i="3"/>
  <c r="L9" i="3"/>
  <c r="AB62" i="3"/>
  <c r="P16" i="3"/>
  <c r="P10" i="3"/>
  <c r="C17" i="3"/>
  <c r="AM14" i="3"/>
  <c r="T23" i="3"/>
  <c r="H29" i="3"/>
  <c r="AM25" i="3"/>
  <c r="O25" i="3"/>
  <c r="J10" i="3"/>
  <c r="AD62" i="3"/>
  <c r="R10" i="3"/>
  <c r="R16" i="3"/>
  <c r="M29" i="3"/>
  <c r="Y23" i="3"/>
  <c r="AL60" i="3"/>
  <c r="Z8" i="3"/>
  <c r="Z14" i="3"/>
  <c r="AM28" i="3"/>
  <c r="O28" i="3"/>
  <c r="Q9" i="3"/>
  <c r="Q15" i="3"/>
  <c r="AC61" i="3"/>
  <c r="O9" i="3"/>
  <c r="AA61" i="3"/>
  <c r="O15" i="3"/>
  <c r="AH61" i="3"/>
  <c r="V9" i="3"/>
  <c r="V15" i="3"/>
  <c r="D9" i="3"/>
  <c r="Q14" i="3"/>
  <c r="Q8" i="3"/>
  <c r="AC60" i="3"/>
  <c r="L17" i="3"/>
  <c r="F10" i="3"/>
  <c r="AE62" i="3"/>
  <c r="S16" i="3"/>
  <c r="S10" i="3"/>
  <c r="AJ62" i="3"/>
  <c r="X16" i="3"/>
  <c r="X10" i="3"/>
  <c r="K17" i="3"/>
  <c r="AH62" i="3"/>
  <c r="V16" i="3"/>
  <c r="V10" i="3"/>
  <c r="H11" i="3" l="1"/>
  <c r="H18" i="3" s="1"/>
  <c r="C11" i="3"/>
  <c r="C18" i="3" s="1"/>
  <c r="L11" i="3"/>
  <c r="L18" i="3" s="1"/>
  <c r="L30" i="3" s="1"/>
  <c r="E18" i="3"/>
  <c r="E30" i="3" s="1"/>
  <c r="F11" i="3"/>
  <c r="F18" i="3" s="1"/>
  <c r="F19" i="3" s="1"/>
  <c r="AM8" i="3"/>
  <c r="AM9" i="3"/>
  <c r="R11" i="3"/>
  <c r="K18" i="3"/>
  <c r="K19" i="3" s="1"/>
  <c r="AN16" i="3"/>
  <c r="U17" i="3"/>
  <c r="D11" i="3"/>
  <c r="D18" i="3" s="1"/>
  <c r="D30" i="3" s="1"/>
  <c r="R17" i="3"/>
  <c r="J11" i="3"/>
  <c r="J18" i="3" s="1"/>
  <c r="J19" i="3" s="1"/>
  <c r="G11" i="3"/>
  <c r="G18" i="3" s="1"/>
  <c r="G30" i="3" s="1"/>
  <c r="AM17" i="3"/>
  <c r="U11" i="3"/>
  <c r="U18" i="3" s="1"/>
  <c r="U19" i="3" s="1"/>
  <c r="T11" i="3"/>
  <c r="T17" i="3"/>
  <c r="Z17" i="3"/>
  <c r="Z11" i="3"/>
  <c r="I11" i="3"/>
  <c r="I18" i="3" s="1"/>
  <c r="I30" i="3" s="1"/>
  <c r="P29" i="3"/>
  <c r="AB23" i="3"/>
  <c r="AB29" i="3" s="1"/>
  <c r="Q29" i="3"/>
  <c r="AC23" i="3"/>
  <c r="AC29" i="3" s="1"/>
  <c r="AN10" i="3"/>
  <c r="AN28" i="3"/>
  <c r="AA28" i="3"/>
  <c r="AO28" i="3" s="1"/>
  <c r="AF8" i="3"/>
  <c r="AF14" i="3"/>
  <c r="AB10" i="3"/>
  <c r="AB16" i="3"/>
  <c r="AH23" i="3"/>
  <c r="AH29" i="3" s="1"/>
  <c r="V29" i="3"/>
  <c r="AN8" i="3"/>
  <c r="O11" i="3"/>
  <c r="M19" i="3"/>
  <c r="M30" i="3"/>
  <c r="AC9" i="3"/>
  <c r="AC15" i="3"/>
  <c r="AD14" i="3"/>
  <c r="AD8" i="3"/>
  <c r="AC10" i="3"/>
  <c r="AC16" i="3"/>
  <c r="Q17" i="3"/>
  <c r="AE10" i="3"/>
  <c r="AE16" i="3"/>
  <c r="AL14" i="3"/>
  <c r="AL8" i="3"/>
  <c r="AD15" i="3"/>
  <c r="AD9" i="3"/>
  <c r="AJ9" i="3"/>
  <c r="AJ15" i="3"/>
  <c r="AI16" i="3"/>
  <c r="AI10" i="3"/>
  <c r="X11" i="3"/>
  <c r="AN27" i="3"/>
  <c r="AA27" i="3"/>
  <c r="AO27" i="3" s="1"/>
  <c r="AK16" i="3"/>
  <c r="AK10" i="3"/>
  <c r="AH15" i="3"/>
  <c r="AH9" i="3"/>
  <c r="V11" i="3"/>
  <c r="AG23" i="3"/>
  <c r="AG29" i="3" s="1"/>
  <c r="U29" i="3"/>
  <c r="E33" i="3"/>
  <c r="E43" i="3"/>
  <c r="E45" i="3" s="1"/>
  <c r="F72" i="3" s="1"/>
  <c r="AL23" i="3"/>
  <c r="AL29" i="3" s="1"/>
  <c r="Z29" i="3"/>
  <c r="AJ16" i="3"/>
  <c r="AJ10" i="3"/>
  <c r="AM29" i="3"/>
  <c r="AE9" i="3"/>
  <c r="AE15" i="3"/>
  <c r="O29" i="3"/>
  <c r="AN23" i="3"/>
  <c r="AA23" i="3"/>
  <c r="AG15" i="3"/>
  <c r="AG9" i="3"/>
  <c r="Y11" i="3"/>
  <c r="AD23" i="3"/>
  <c r="AD29" i="3" s="1"/>
  <c r="R29" i="3"/>
  <c r="AC8" i="3"/>
  <c r="AC14" i="3"/>
  <c r="AN14" i="3"/>
  <c r="O17" i="3"/>
  <c r="AG16" i="3"/>
  <c r="AG10" i="3"/>
  <c r="AJ23" i="3"/>
  <c r="AJ29" i="3" s="1"/>
  <c r="X29" i="3"/>
  <c r="AN26" i="3"/>
  <c r="AA26" i="3"/>
  <c r="AO26" i="3" s="1"/>
  <c r="AL9" i="3"/>
  <c r="AL15" i="3"/>
  <c r="N18" i="3"/>
  <c r="AF9" i="3"/>
  <c r="AF15" i="3"/>
  <c r="V17" i="3"/>
  <c r="S11" i="3"/>
  <c r="AI14" i="3"/>
  <c r="AI8" i="3"/>
  <c r="AI23" i="3"/>
  <c r="AI29" i="3" s="1"/>
  <c r="W29" i="3"/>
  <c r="AK9" i="3"/>
  <c r="AK15" i="3"/>
  <c r="AK23" i="3"/>
  <c r="AK29" i="3" s="1"/>
  <c r="Y29" i="3"/>
  <c r="Q11" i="3"/>
  <c r="AD16" i="3"/>
  <c r="AD10" i="3"/>
  <c r="AB9" i="3"/>
  <c r="AB15" i="3"/>
  <c r="X17" i="3"/>
  <c r="AN24" i="3"/>
  <c r="AA24" i="3"/>
  <c r="AO24" i="3" s="1"/>
  <c r="AN25" i="3"/>
  <c r="AA25" i="3"/>
  <c r="AO25" i="3" s="1"/>
  <c r="AM10" i="3"/>
  <c r="AN15" i="3"/>
  <c r="P11" i="3"/>
  <c r="AA9" i="3"/>
  <c r="AA15" i="3"/>
  <c r="AF23" i="3"/>
  <c r="AF29" i="3" s="1"/>
  <c r="T29" i="3"/>
  <c r="AB8" i="3"/>
  <c r="AB14" i="3"/>
  <c r="AH8" i="3"/>
  <c r="AH14" i="3"/>
  <c r="AE8" i="3"/>
  <c r="AE14" i="3"/>
  <c r="W17" i="3"/>
  <c r="AA10" i="3"/>
  <c r="AA16" i="3"/>
  <c r="F30" i="3"/>
  <c r="AI9" i="3"/>
  <c r="AI15" i="3"/>
  <c r="Y17" i="3"/>
  <c r="AK14" i="3"/>
  <c r="AK8" i="3"/>
  <c r="AF10" i="3"/>
  <c r="AF16" i="3"/>
  <c r="AA8" i="3"/>
  <c r="AA14" i="3"/>
  <c r="AJ14" i="3"/>
  <c r="AJ8" i="3"/>
  <c r="AL10" i="3"/>
  <c r="AL16" i="3"/>
  <c r="AH10" i="3"/>
  <c r="AH16" i="3"/>
  <c r="AN9" i="3"/>
  <c r="P17" i="3"/>
  <c r="AE23" i="3"/>
  <c r="AE29" i="3" s="1"/>
  <c r="S29" i="3"/>
  <c r="AG14" i="3"/>
  <c r="AG8" i="3"/>
  <c r="S17" i="3"/>
  <c r="W11" i="3"/>
  <c r="Z18" i="3" l="1"/>
  <c r="E19" i="3"/>
  <c r="AJ11" i="3"/>
  <c r="D19" i="3"/>
  <c r="U30" i="3"/>
  <c r="U49" i="3" s="1"/>
  <c r="G19" i="3"/>
  <c r="AG17" i="3"/>
  <c r="AD11" i="3"/>
  <c r="L19" i="3"/>
  <c r="K30" i="3"/>
  <c r="K32" i="3" s="1"/>
  <c r="AD17" i="3"/>
  <c r="AI17" i="3"/>
  <c r="AO16" i="3"/>
  <c r="T18" i="3"/>
  <c r="J30" i="3"/>
  <c r="J49" i="3" s="1"/>
  <c r="S18" i="3"/>
  <c r="S30" i="3" s="1"/>
  <c r="AM11" i="3"/>
  <c r="A26" i="1" s="1"/>
  <c r="I19" i="3"/>
  <c r="AF17" i="3"/>
  <c r="Y18" i="3"/>
  <c r="Y19" i="3" s="1"/>
  <c r="AF11" i="3"/>
  <c r="R18" i="3"/>
  <c r="F33" i="3"/>
  <c r="F43" i="3"/>
  <c r="F45" i="3" s="1"/>
  <c r="G72" i="3" s="1"/>
  <c r="M32" i="3"/>
  <c r="M49" i="3"/>
  <c r="F32" i="3"/>
  <c r="F49" i="3"/>
  <c r="AO10" i="3"/>
  <c r="E32" i="3"/>
  <c r="E49" i="3"/>
  <c r="AN29" i="3"/>
  <c r="G32" i="3"/>
  <c r="G49" i="3"/>
  <c r="I32" i="3"/>
  <c r="I49" i="3"/>
  <c r="X18" i="3"/>
  <c r="AB17" i="3"/>
  <c r="O18" i="3"/>
  <c r="AN11" i="3"/>
  <c r="AN17" i="3"/>
  <c r="AK11" i="3"/>
  <c r="AK17" i="3"/>
  <c r="AC17" i="3"/>
  <c r="AL17" i="3"/>
  <c r="L32" i="3"/>
  <c r="L49" i="3"/>
  <c r="Q18" i="3"/>
  <c r="AH11" i="3"/>
  <c r="AB11" i="3"/>
  <c r="C30" i="3"/>
  <c r="C19" i="3"/>
  <c r="AM18" i="3"/>
  <c r="Z19" i="3"/>
  <c r="Z30" i="3"/>
  <c r="AL11" i="3"/>
  <c r="W18" i="3"/>
  <c r="AC11" i="3"/>
  <c r="D32" i="3"/>
  <c r="D49" i="3"/>
  <c r="N19" i="3"/>
  <c r="N30" i="3"/>
  <c r="AE11" i="3"/>
  <c r="AJ17" i="3"/>
  <c r="AA17" i="3"/>
  <c r="AO14" i="3"/>
  <c r="AO15" i="3"/>
  <c r="H30" i="3"/>
  <c r="H19" i="3"/>
  <c r="K49" i="3"/>
  <c r="AO23" i="3"/>
  <c r="AA29" i="3"/>
  <c r="AO29" i="3" s="1"/>
  <c r="AE17" i="3"/>
  <c r="AH17" i="3"/>
  <c r="AO8" i="3"/>
  <c r="AA11" i="3"/>
  <c r="AO9" i="3"/>
  <c r="P18" i="3"/>
  <c r="AG11" i="3"/>
  <c r="AI11" i="3"/>
  <c r="V18" i="3"/>
  <c r="AF18" i="3" l="1"/>
  <c r="AF19" i="3" s="1"/>
  <c r="AG18" i="3"/>
  <c r="AG19" i="3" s="1"/>
  <c r="AJ18" i="3"/>
  <c r="AJ19" i="3" s="1"/>
  <c r="U32" i="3"/>
  <c r="Y30" i="3"/>
  <c r="Y49" i="3" s="1"/>
  <c r="J32" i="3"/>
  <c r="AD18" i="3"/>
  <c r="AM19" i="3"/>
  <c r="C26" i="1" s="1"/>
  <c r="AI18" i="3"/>
  <c r="AB18" i="3"/>
  <c r="AB30" i="3" s="1"/>
  <c r="R19" i="3"/>
  <c r="R30" i="3"/>
  <c r="AO17" i="3"/>
  <c r="S19" i="3"/>
  <c r="T30" i="3"/>
  <c r="T19" i="3"/>
  <c r="AH18" i="3"/>
  <c r="AH19" i="3" s="1"/>
  <c r="AE18" i="3"/>
  <c r="AE19" i="3" s="1"/>
  <c r="G33" i="3"/>
  <c r="G43" i="3"/>
  <c r="G45" i="3" s="1"/>
  <c r="H72" i="3" s="1"/>
  <c r="E34" i="3"/>
  <c r="E35" i="3" s="1"/>
  <c r="E39" i="3" s="1"/>
  <c r="W30" i="3"/>
  <c r="W19" i="3"/>
  <c r="Q30" i="3"/>
  <c r="Q19" i="3"/>
  <c r="AO11" i="3"/>
  <c r="AA18" i="3"/>
  <c r="AK18" i="3"/>
  <c r="D34" i="3"/>
  <c r="D35" i="3" s="1"/>
  <c r="D39" i="3" s="1"/>
  <c r="AL18" i="3"/>
  <c r="C32" i="3"/>
  <c r="C49" i="3"/>
  <c r="AM30" i="3"/>
  <c r="N32" i="3"/>
  <c r="N49" i="3"/>
  <c r="F34" i="3"/>
  <c r="F35" i="3" s="1"/>
  <c r="F39" i="3" s="1"/>
  <c r="AC18" i="3"/>
  <c r="X30" i="3"/>
  <c r="X19" i="3"/>
  <c r="H49" i="3"/>
  <c r="H32" i="3"/>
  <c r="S49" i="3"/>
  <c r="S32" i="3"/>
  <c r="O19" i="3"/>
  <c r="AN18" i="3"/>
  <c r="AN19" i="3" s="1"/>
  <c r="O30" i="3"/>
  <c r="V30" i="3"/>
  <c r="V19" i="3"/>
  <c r="AI19" i="3"/>
  <c r="AI30" i="3"/>
  <c r="P19" i="3"/>
  <c r="P30" i="3"/>
  <c r="Z32" i="3"/>
  <c r="Z49" i="3"/>
  <c r="G34" i="3"/>
  <c r="G35" i="3" s="1"/>
  <c r="G39" i="3" s="1"/>
  <c r="AF30" i="3" l="1"/>
  <c r="AH30" i="3"/>
  <c r="AJ30" i="3"/>
  <c r="AJ49" i="3" s="1"/>
  <c r="AG30" i="3"/>
  <c r="AG32" i="3" s="1"/>
  <c r="Y32" i="3"/>
  <c r="AB19" i="3"/>
  <c r="AD19" i="3"/>
  <c r="AD30" i="3"/>
  <c r="AE30" i="3"/>
  <c r="AE49" i="3" s="1"/>
  <c r="R32" i="3"/>
  <c r="R49" i="3"/>
  <c r="T49" i="3"/>
  <c r="T32" i="3"/>
  <c r="H33" i="3"/>
  <c r="H43" i="3"/>
  <c r="H45" i="3" s="1"/>
  <c r="I72" i="3" s="1"/>
  <c r="AK19" i="3"/>
  <c r="AK30" i="3"/>
  <c r="V32" i="3"/>
  <c r="V49" i="3"/>
  <c r="AN30" i="3"/>
  <c r="O32" i="3"/>
  <c r="O49" i="3"/>
  <c r="Q49" i="3"/>
  <c r="Q32" i="3"/>
  <c r="AC19" i="3"/>
  <c r="AC30" i="3"/>
  <c r="AO18" i="3"/>
  <c r="AO19" i="3" s="1"/>
  <c r="AA19" i="3"/>
  <c r="AA30" i="3"/>
  <c r="W32" i="3"/>
  <c r="W49" i="3"/>
  <c r="E26" i="1"/>
  <c r="AB32" i="3"/>
  <c r="AB49" i="3"/>
  <c r="AF32" i="3"/>
  <c r="AF49" i="3"/>
  <c r="X32" i="3"/>
  <c r="X49" i="3"/>
  <c r="AH49" i="3"/>
  <c r="AH32" i="3"/>
  <c r="AM49" i="3"/>
  <c r="I26" i="1"/>
  <c r="H34" i="3"/>
  <c r="H35" i="3" s="1"/>
  <c r="H39" i="3" s="1"/>
  <c r="C34" i="3"/>
  <c r="C35" i="3" s="1"/>
  <c r="AM32" i="3"/>
  <c r="P49" i="3"/>
  <c r="P32" i="3"/>
  <c r="AL19" i="3"/>
  <c r="AL30" i="3"/>
  <c r="AI32" i="3"/>
  <c r="AI49" i="3"/>
  <c r="AJ32" i="3" l="1"/>
  <c r="AG49" i="3"/>
  <c r="AE32" i="3"/>
  <c r="AD32" i="3"/>
  <c r="AD49" i="3"/>
  <c r="C39" i="3"/>
  <c r="C47" i="3"/>
  <c r="D47" i="3" s="1"/>
  <c r="E47" i="3" s="1"/>
  <c r="F47" i="3" s="1"/>
  <c r="G47" i="3" s="1"/>
  <c r="H47" i="3" s="1"/>
  <c r="I43" i="3"/>
  <c r="I45" i="3" s="1"/>
  <c r="J72" i="3" s="1"/>
  <c r="I33" i="3"/>
  <c r="AN49" i="3"/>
  <c r="AN32" i="3"/>
  <c r="AL49" i="3"/>
  <c r="AL32" i="3"/>
  <c r="AC49" i="3"/>
  <c r="AC32" i="3"/>
  <c r="AK49" i="3"/>
  <c r="AK32" i="3"/>
  <c r="AA32" i="3"/>
  <c r="AO30" i="3"/>
  <c r="AA49" i="3"/>
  <c r="J33" i="3" l="1"/>
  <c r="I34" i="3"/>
  <c r="I35" i="3" s="1"/>
  <c r="AO49" i="3"/>
  <c r="AO32" i="3"/>
  <c r="C44" i="3"/>
  <c r="I39" i="3" l="1"/>
  <c r="I47" i="3"/>
  <c r="J34" i="3"/>
  <c r="J35" i="3" s="1"/>
  <c r="D38" i="3"/>
  <c r="D44" i="3" s="1"/>
  <c r="E38" i="3" s="1"/>
  <c r="E44" i="3" s="1"/>
  <c r="F38" i="3" s="1"/>
  <c r="F44" i="3" s="1"/>
  <c r="G38" i="3" s="1"/>
  <c r="G44" i="3" s="1"/>
  <c r="H38" i="3" s="1"/>
  <c r="H44" i="3" s="1"/>
  <c r="I38" i="3" s="1"/>
  <c r="I44" i="3" s="1"/>
  <c r="J38" i="3" s="1"/>
  <c r="J43" i="3"/>
  <c r="J45" i="3" s="1"/>
  <c r="K72" i="3" s="1"/>
  <c r="J39" i="3" l="1"/>
  <c r="K33" i="3"/>
  <c r="J44" i="3"/>
  <c r="K38" i="3" s="1"/>
  <c r="J47" i="3"/>
  <c r="K34" i="3" l="1"/>
  <c r="K43" i="3"/>
  <c r="K45" i="3" s="1"/>
  <c r="L72" i="3" s="1"/>
  <c r="K35" i="3" l="1"/>
  <c r="L43" i="3"/>
  <c r="L45" i="3" s="1"/>
  <c r="M72" i="3" s="1"/>
  <c r="L33" i="3"/>
  <c r="M33" i="3" l="1"/>
  <c r="K39" i="3"/>
  <c r="K47" i="3"/>
  <c r="L34" i="3"/>
  <c r="L35" i="3" s="1"/>
  <c r="L39" i="3" l="1"/>
  <c r="L47" i="3"/>
  <c r="K44" i="3"/>
  <c r="M34" i="3"/>
  <c r="M35" i="3" s="1"/>
  <c r="M39" i="3" s="1"/>
  <c r="M43" i="3"/>
  <c r="M45" i="3" s="1"/>
  <c r="N72" i="3" s="1"/>
  <c r="N33" i="3" l="1"/>
  <c r="N43" i="3" s="1"/>
  <c r="L38" i="3"/>
  <c r="L44" i="3" s="1"/>
  <c r="M38" i="3" s="1"/>
  <c r="M44" i="3" s="1"/>
  <c r="N38" i="3" s="1"/>
  <c r="M47" i="3"/>
  <c r="AM43" i="3" l="1"/>
  <c r="N45" i="3"/>
  <c r="AM33" i="3"/>
  <c r="N34" i="3"/>
  <c r="AM34" i="3" s="1"/>
  <c r="N35" i="3" l="1"/>
  <c r="N39" i="3"/>
  <c r="AM35" i="3"/>
  <c r="N47" i="3"/>
  <c r="O72" i="3"/>
  <c r="AM45" i="3"/>
  <c r="K26" i="1" s="1"/>
  <c r="O33" i="3" l="1"/>
  <c r="AM47" i="3"/>
  <c r="AM39" i="3"/>
  <c r="N44" i="3"/>
  <c r="O38" i="3" l="1"/>
  <c r="AM44" i="3"/>
  <c r="O34" i="3"/>
  <c r="O35" i="3" s="1"/>
  <c r="O43" i="3"/>
  <c r="O45" i="3" l="1"/>
  <c r="P72" i="3" s="1"/>
  <c r="O39" i="3"/>
  <c r="O47" i="3"/>
  <c r="O44" i="3"/>
  <c r="AN38" i="3"/>
  <c r="P38" i="3" l="1"/>
  <c r="P33" i="3"/>
  <c r="P34" i="3" l="1"/>
  <c r="P43" i="3"/>
  <c r="P45" i="3" l="1"/>
  <c r="Q72" i="3" s="1"/>
  <c r="P35" i="3"/>
  <c r="P39" i="3" l="1"/>
  <c r="P47" i="3"/>
  <c r="Q33" i="3"/>
  <c r="Q43" i="3"/>
  <c r="Q34" i="3" l="1"/>
  <c r="Q45" i="3"/>
  <c r="R72" i="3" s="1"/>
  <c r="P44" i="3"/>
  <c r="Q38" i="3" s="1"/>
  <c r="R33" i="3" l="1"/>
  <c r="R43" i="3"/>
  <c r="Q35" i="3"/>
  <c r="Q39" i="3" l="1"/>
  <c r="Q47" i="3"/>
  <c r="R34" i="3"/>
  <c r="R35" i="3" s="1"/>
  <c r="R45" i="3"/>
  <c r="S72" i="3" s="1"/>
  <c r="R39" i="3" l="1"/>
  <c r="S33" i="3"/>
  <c r="R47" i="3"/>
  <c r="Q44" i="3"/>
  <c r="R38" i="3" s="1"/>
  <c r="R44" i="3" s="1"/>
  <c r="S38" i="3" s="1"/>
  <c r="S34" i="3" l="1"/>
  <c r="S35" i="3"/>
  <c r="S47" i="3"/>
  <c r="S43" i="3"/>
  <c r="S45" i="3" s="1"/>
  <c r="T72" i="3" s="1"/>
  <c r="T33" i="3" l="1"/>
  <c r="S39" i="3"/>
  <c r="T34" i="3" l="1"/>
  <c r="T35" i="3" s="1"/>
  <c r="S44" i="3"/>
  <c r="T38" i="3" s="1"/>
  <c r="T43" i="3"/>
  <c r="T45" i="3" s="1"/>
  <c r="U72" i="3" s="1"/>
  <c r="T39" i="3" l="1"/>
  <c r="T47" i="3"/>
  <c r="T44" i="3"/>
  <c r="U38" i="3" s="1"/>
  <c r="U33" i="3"/>
  <c r="U43" i="3" s="1"/>
  <c r="U45" i="3" s="1"/>
  <c r="V72" i="3" s="1"/>
  <c r="V33" i="3" l="1"/>
  <c r="U34" i="3"/>
  <c r="U35" i="3" s="1"/>
  <c r="U39" i="3" l="1"/>
  <c r="U44" i="3" s="1"/>
  <c r="V38" i="3" s="1"/>
  <c r="U47" i="3"/>
  <c r="V34" i="3"/>
  <c r="V35" i="3" s="1"/>
  <c r="V39" i="3" s="1"/>
  <c r="V43" i="3"/>
  <c r="V45" i="3" s="1"/>
  <c r="W72" i="3" s="1"/>
  <c r="W33" i="3" l="1"/>
  <c r="W43" i="3"/>
  <c r="W45" i="3"/>
  <c r="X72" i="3" s="1"/>
  <c r="V47" i="3"/>
  <c r="V44" i="3"/>
  <c r="W38" i="3" s="1"/>
  <c r="X33" i="3" l="1"/>
  <c r="X43" i="3"/>
  <c r="X45" i="3" s="1"/>
  <c r="Y72" i="3" s="1"/>
  <c r="W34" i="3"/>
  <c r="W35" i="3" s="1"/>
  <c r="W39" i="3" l="1"/>
  <c r="W44" i="3" s="1"/>
  <c r="X38" i="3" s="1"/>
  <c r="W47" i="3"/>
  <c r="Y33" i="3"/>
  <c r="Y43" i="3"/>
  <c r="Y45" i="3" s="1"/>
  <c r="Z72" i="3" s="1"/>
  <c r="X34" i="3"/>
  <c r="X35" i="3" s="1"/>
  <c r="X39" i="3" s="1"/>
  <c r="Z33" i="3" l="1"/>
  <c r="Z43" i="3"/>
  <c r="AN43" i="3" s="1"/>
  <c r="Z45" i="3"/>
  <c r="X47" i="3"/>
  <c r="Y34" i="3"/>
  <c r="Y35" i="3" s="1"/>
  <c r="Y39" i="3" s="1"/>
  <c r="X44" i="3"/>
  <c r="Y38" i="3" s="1"/>
  <c r="Y44" i="3" l="1"/>
  <c r="Z38" i="3" s="1"/>
  <c r="AA72" i="3"/>
  <c r="AN45" i="3"/>
  <c r="Y47" i="3"/>
  <c r="Z34" i="3"/>
  <c r="AN34" i="3" s="1"/>
  <c r="AN33" i="3"/>
  <c r="Z35" i="3" l="1"/>
  <c r="Z47" i="3" s="1"/>
  <c r="AA33" i="3"/>
  <c r="AA43" i="3"/>
  <c r="AA45" i="3" s="1"/>
  <c r="AB72" i="3" s="1"/>
  <c r="AB33" i="3" l="1"/>
  <c r="AB43" i="3"/>
  <c r="AB45" i="3" s="1"/>
  <c r="AC72" i="3" s="1"/>
  <c r="AN47" i="3"/>
  <c r="AA34" i="3"/>
  <c r="AA35" i="3" s="1"/>
  <c r="Z39" i="3"/>
  <c r="AN35" i="3"/>
  <c r="AA39" i="3" l="1"/>
  <c r="AA47" i="3"/>
  <c r="AC33" i="3"/>
  <c r="AN39" i="3"/>
  <c r="Z44" i="3"/>
  <c r="AB34" i="3"/>
  <c r="AB35" i="3" s="1"/>
  <c r="AB39" i="3" s="1"/>
  <c r="AA38" i="3" l="1"/>
  <c r="AN44" i="3"/>
  <c r="AC34" i="3"/>
  <c r="AC35" i="3"/>
  <c r="AC39" i="3" s="1"/>
  <c r="AC43" i="3"/>
  <c r="AB47" i="3"/>
  <c r="AC47" i="3" s="1"/>
  <c r="AC45" i="3" l="1"/>
  <c r="AD72" i="3" s="1"/>
  <c r="AO38" i="3"/>
  <c r="AA44" i="3"/>
  <c r="AB38" i="3" s="1"/>
  <c r="AB44" i="3" s="1"/>
  <c r="AC38" i="3" s="1"/>
  <c r="AC44" i="3" s="1"/>
  <c r="AD38" i="3" s="1"/>
  <c r="AD33" i="3" l="1"/>
  <c r="AD43" i="3"/>
  <c r="AD34" i="3" l="1"/>
  <c r="AD35" i="3" s="1"/>
  <c r="AD45" i="3"/>
  <c r="AE72" i="3" s="1"/>
  <c r="AD39" i="3" l="1"/>
  <c r="AD47" i="3"/>
  <c r="AE33" i="3"/>
  <c r="AE34" i="3" l="1"/>
  <c r="AE35" i="3" s="1"/>
  <c r="AE43" i="3"/>
  <c r="AE45" i="3" s="1"/>
  <c r="AF72" i="3" s="1"/>
  <c r="AD44" i="3"/>
  <c r="AE38" i="3" s="1"/>
  <c r="AE39" i="3" l="1"/>
  <c r="AE44" i="3" s="1"/>
  <c r="AF38" i="3" s="1"/>
  <c r="AE47" i="3"/>
  <c r="AF33" i="3"/>
  <c r="AF34" i="3" l="1"/>
  <c r="AF35" i="3" s="1"/>
  <c r="AF43" i="3"/>
  <c r="AF45" i="3" s="1"/>
  <c r="AG72" i="3" s="1"/>
  <c r="AF39" i="3" l="1"/>
  <c r="AF44" i="3" s="1"/>
  <c r="AG38" i="3" s="1"/>
  <c r="AF47" i="3"/>
  <c r="AG33" i="3"/>
  <c r="AG34" i="3" l="1"/>
  <c r="AG35" i="3" s="1"/>
  <c r="AG43" i="3"/>
  <c r="AG45" i="3" s="1"/>
  <c r="AH72" i="3" s="1"/>
  <c r="AG39" i="3" l="1"/>
  <c r="AG44" i="3" s="1"/>
  <c r="AH38" i="3" s="1"/>
  <c r="AG47" i="3"/>
  <c r="AH43" i="3"/>
  <c r="AH45" i="3" s="1"/>
  <c r="AI72" i="3" s="1"/>
  <c r="AH33" i="3"/>
  <c r="AI33" i="3" l="1"/>
  <c r="AH34" i="3"/>
  <c r="AH35" i="3" s="1"/>
  <c r="AH39" i="3" l="1"/>
  <c r="AH44" i="3" s="1"/>
  <c r="AI38" i="3" s="1"/>
  <c r="AH47" i="3"/>
  <c r="AI34" i="3"/>
  <c r="AI35" i="3" s="1"/>
  <c r="AI39" i="3" s="1"/>
  <c r="AI43" i="3"/>
  <c r="AI45" i="3" s="1"/>
  <c r="AJ72" i="3" s="1"/>
  <c r="AJ33" i="3" l="1"/>
  <c r="AI47" i="3"/>
  <c r="AI44" i="3"/>
  <c r="AJ38" i="3" s="1"/>
  <c r="AJ34" i="3" l="1"/>
  <c r="AJ35" i="3"/>
  <c r="AJ39" i="3" s="1"/>
  <c r="AJ44" i="3" s="1"/>
  <c r="AK38" i="3" s="1"/>
  <c r="AJ43" i="3"/>
  <c r="AJ45" i="3" s="1"/>
  <c r="AK72" i="3" s="1"/>
  <c r="AK33" i="3" l="1"/>
  <c r="AK43" i="3"/>
  <c r="AK45" i="3" s="1"/>
  <c r="AL72" i="3" s="1"/>
  <c r="AJ47" i="3"/>
  <c r="AL33" i="3" l="1"/>
  <c r="AL43" i="3"/>
  <c r="AO43" i="3" s="1"/>
  <c r="AK34" i="3"/>
  <c r="AK35" i="3" s="1"/>
  <c r="AK39" i="3" l="1"/>
  <c r="AK44" i="3" s="1"/>
  <c r="AL38" i="3" s="1"/>
  <c r="AK47" i="3"/>
  <c r="AL34" i="3"/>
  <c r="AO34" i="3" s="1"/>
  <c r="AO33" i="3"/>
  <c r="AL45" i="3"/>
  <c r="AO45" i="3" s="1"/>
  <c r="AL35" i="3" l="1"/>
  <c r="AL47" i="3"/>
  <c r="AO47" i="3" s="1"/>
  <c r="AL39" i="3" l="1"/>
  <c r="AO35" i="3"/>
  <c r="AO39" i="3" l="1"/>
  <c r="AL44" i="3"/>
  <c r="AO44" i="3" l="1"/>
  <c r="A29" i="1"/>
  <c r="G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1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Inspiración estructural analizada (sin copiar contenido ni temática):
https://es.smartsheet.com/content/excel-business-plan-templates
https://getquipu.com/blog/plantilla-de-plan-de-negocio/
https://www.startuploans.co.uk/support-and-guidance/business-guidance/business-planning-templates/business-plan-template
https://www.excel-skills.co.uk/business-plan-financial-projections.php
https://www.vertex42.com/WordTemplates/business-plan-template.html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1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Inspiración estructural analizada (sin copiar contenido ni temática):
https://es.smartsheet.com/content/excel-business-plan-templates
https://getquipu.com/blog/plantilla-de-plan-de-negocio/
https://www.startuploans.co.uk/support-and-guidance/business-guidance/business-planning-templates/business-plan-template
https://www.excel-skills.co.uk/business-plan-financial-projections.php
https://www.vertex42.com/WordTemplates/business-plan-template.html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1" authorId="0" shapeId="0" xr:uid="{00000000-0006-0000-0200-000001000000}">
      <text>
        <r>
          <rPr>
            <sz val="11"/>
            <color theme="1"/>
            <rFont val="Calibri"/>
            <family val="2"/>
            <scheme val="minor"/>
          </rPr>
          <t>Inspiración estructural analizada (sin copiar contenido ni temática):
https://es.smartsheet.com/content/excel-business-plan-templates
https://getquipu.com/blog/plantilla-de-plan-de-negocio/
https://www.startuploans.co.uk/support-and-guidance/business-guidance/business-planning-templates/business-plan-template
https://www.excel-skills.co.uk/business-plan-financial-projections.php
https://www.vertex42.com/WordTemplates/business-plan-template.html</t>
        </r>
      </text>
    </comment>
  </commentList>
</comments>
</file>

<file path=xl/sharedStrings.xml><?xml version="1.0" encoding="utf-8"?>
<sst xmlns="http://schemas.openxmlformats.org/spreadsheetml/2006/main" count="247" uniqueCount="188">
  <si>
    <t>Plantilla de plan de negocio</t>
  </si>
  <si>
    <t>Editable, con ejemplo completo y motor financiero a 36 meses</t>
  </si>
  <si>
    <t>Ficha del proyecto</t>
  </si>
  <si>
    <t>Tesis del negocio</t>
  </si>
  <si>
    <t>Empresa</t>
  </si>
  <si>
    <t>VerdeNexo</t>
  </si>
  <si>
    <t>Problema</t>
  </si>
  <si>
    <t>Muchas oficinas quieren mejorar bienestar y marca empleadora, pero no tienen tiempo ni conocimiento para gestionar vegetación viva.</t>
  </si>
  <si>
    <t>Sector</t>
  </si>
  <si>
    <t>Suscripción de plantas y mantenimiento para oficinas y hoteles boutique</t>
  </si>
  <si>
    <t>Ubicación</t>
  </si>
  <si>
    <t>Madrid</t>
  </si>
  <si>
    <t>Solución</t>
  </si>
  <si>
    <t>Servicio mensual que diseña, instala y mantiene plantas de interior con seguimiento visual, reposición y visitas programadas.</t>
  </si>
  <si>
    <t>Inicio del modelo</t>
  </si>
  <si>
    <t>Fase</t>
  </si>
  <si>
    <t>Lanzamiento comercial</t>
  </si>
  <si>
    <t>Cliente ideal</t>
  </si>
  <si>
    <t>Oficinas de 20 a 200 personas, hoteles boutique y espacios flexibles que buscan un entorno más atractivo y saludable.</t>
  </si>
  <si>
    <t>Escenario activo</t>
  </si>
  <si>
    <t>Base</t>
  </si>
  <si>
    <t>Objetivo 12 meses</t>
  </si>
  <si>
    <t>Alcanzar 30 contratos activos, EBITDA positivo y caja cómoda antes de cerrar el año 1.</t>
  </si>
  <si>
    <t>Ventaja competitiva</t>
  </si>
  <si>
    <t>Modelo recurrente, atención presencial, oferta B2B clara y venta cruzada con instalaciones puntuales y regalos corporativos.</t>
  </si>
  <si>
    <t>Mapa FODA resumido</t>
  </si>
  <si>
    <t>Hoja de ruta 90 días</t>
  </si>
  <si>
    <t>Fortalezas</t>
  </si>
  <si>
    <t>Debilidades</t>
  </si>
  <si>
    <t>Tramo</t>
  </si>
  <si>
    <t>Objetivo</t>
  </si>
  <si>
    <t>Acción clave</t>
  </si>
  <si>
    <t>Responsable</t>
  </si>
  <si>
    <t>Fecha</t>
  </si>
  <si>
    <t>Ingresos recurrentes por suscripción, coste variable controlable, propuesta visible y fácil de explicar.</t>
  </si>
  <si>
    <t>Negocio intensivo en servicio presencial; el crecimiento necesita coordinación logística y talento técnico.</t>
  </si>
  <si>
    <t>0-30 días</t>
  </si>
  <si>
    <t>Cerrar pilotos</t>
  </si>
  <si>
    <t>Firmar 5 contratos iniciales y validar ticket medio</t>
  </si>
  <si>
    <t>Fundadora</t>
  </si>
  <si>
    <t>Operación mínima</t>
  </si>
  <si>
    <t>Configurar CRM, protocolos de mantenimiento y rutas</t>
  </si>
  <si>
    <t>Operaciones</t>
  </si>
  <si>
    <t>31-60 días</t>
  </si>
  <si>
    <t>Canal B2B</t>
  </si>
  <si>
    <t>Lanzar prospección a hoteles boutique y espacios flexibles</t>
  </si>
  <si>
    <t>Comercial</t>
  </si>
  <si>
    <t>Marca</t>
  </si>
  <si>
    <t>Activar web, catálogo y casos de antes/después</t>
  </si>
  <si>
    <t>Marketing</t>
  </si>
  <si>
    <t>61-90 días</t>
  </si>
  <si>
    <t>Venta cruzada</t>
  </si>
  <si>
    <t>Ofrecer instalaciones y kits corporativos a clientes activos</t>
  </si>
  <si>
    <t>Eficiencia</t>
  </si>
  <si>
    <t>Reducir tiempo por visita y mejorar tasa de renovación</t>
  </si>
  <si>
    <t>Oportunidades</t>
  </si>
  <si>
    <t>Amenazas</t>
  </si>
  <si>
    <t>Oficinas híbridas rediseñando espacios, hoteles buscando diferenciación y regalos corporativos sostenibles.</t>
  </si>
  <si>
    <t>Competencia low-cost, rotación de clientes si no se demuestra valor y picos de estacionalidad en B2B.</t>
  </si>
  <si>
    <t>Indicadores automáticos (se alimentan del modelo)</t>
  </si>
  <si>
    <t>Ingresos Y1</t>
  </si>
  <si>
    <t>Margen bruto Y1</t>
  </si>
  <si>
    <t>EBITDA Y1</t>
  </si>
  <si>
    <t>Caja mínima</t>
  </si>
  <si>
    <t>Mes break-even</t>
  </si>
  <si>
    <t>Deuda fin Y1</t>
  </si>
  <si>
    <t>Supuestos editables</t>
  </si>
  <si>
    <t>Celdas color menta = inputs. El escenario activo viene de Inicio.</t>
  </si>
  <si>
    <t>Palancas de escenario</t>
  </si>
  <si>
    <t>Conservador</t>
  </si>
  <si>
    <t>Ambicioso</t>
  </si>
  <si>
    <t>Nombre</t>
  </si>
  <si>
    <t>El modelo usa estas palancas para adaptar ventas y gasto sin cambiar la estructura de la empresa.</t>
  </si>
  <si>
    <t>Factor demanda</t>
  </si>
  <si>
    <t>Demanda</t>
  </si>
  <si>
    <t>Factor precio</t>
  </si>
  <si>
    <t>Precio</t>
  </si>
  <si>
    <t>Factor gasto fijo</t>
  </si>
  <si>
    <t>Gasto fijo</t>
  </si>
  <si>
    <t>Factor marketing</t>
  </si>
  <si>
    <t>Líneas de ingreso</t>
  </si>
  <si>
    <t>Línea</t>
  </si>
  <si>
    <t>Descripción</t>
  </si>
  <si>
    <t>Precio base</t>
  </si>
  <si>
    <t>Coste unit.</t>
  </si>
  <si>
    <t>Crec. uds Y2</t>
  </si>
  <si>
    <t>Crec. uds Y3</t>
  </si>
  <si>
    <t>Crec. precio anual</t>
  </si>
  <si>
    <t>Crec. coste anual</t>
  </si>
  <si>
    <t>Suscripción mensual oficinas</t>
  </si>
  <si>
    <t>Instalaciones y rediseños</t>
  </si>
  <si>
    <t>Kits corporativos verdes</t>
  </si>
  <si>
    <t>Unidades / contratos previstos (Año 1)</t>
  </si>
  <si>
    <t>Gastos fijos mensuales</t>
  </si>
  <si>
    <t>Equipo previsto</t>
  </si>
  <si>
    <t>CAPEX y puesta en marcha</t>
  </si>
  <si>
    <t>Categoría</t>
  </si>
  <si>
    <t>Base mensual</t>
  </si>
  <si>
    <t>Crec. Y2</t>
  </si>
  <si>
    <t>Crec. Y3</t>
  </si>
  <si>
    <t>Puesto</t>
  </si>
  <si>
    <t>Salario mes</t>
  </si>
  <si>
    <t>FTE</t>
  </si>
  <si>
    <t>Carga social</t>
  </si>
  <si>
    <t>Mes inicio</t>
  </si>
  <si>
    <t>Nota</t>
  </si>
  <si>
    <t>Concepto</t>
  </si>
  <si>
    <t>Mes compra</t>
  </si>
  <si>
    <t>Importe</t>
  </si>
  <si>
    <t>Vida útil (años)</t>
  </si>
  <si>
    <t>Alquiler / almacén</t>
  </si>
  <si>
    <t>Dirección operativa</t>
  </si>
  <si>
    <t>Web + e-commerce</t>
  </si>
  <si>
    <t>Captación</t>
  </si>
  <si>
    <t>Marketing digital</t>
  </si>
  <si>
    <t>Técnico botánico 1</t>
  </si>
  <si>
    <t>Servicio</t>
  </si>
  <si>
    <t>Herramientas y utillaje</t>
  </si>
  <si>
    <t>Software y herramientas</t>
  </si>
  <si>
    <t>Comercial B2B</t>
  </si>
  <si>
    <t>Furgoneta usada</t>
  </si>
  <si>
    <t>Operación</t>
  </si>
  <si>
    <t>Logística y mantenimiento</t>
  </si>
  <si>
    <t>Atención / e-commerce</t>
  </si>
  <si>
    <t>Soporte</t>
  </si>
  <si>
    <t>Mobiliario + stock demo</t>
  </si>
  <si>
    <t>Showroom</t>
  </si>
  <si>
    <t>Seguros y asesoría</t>
  </si>
  <si>
    <t>Técnico botánico 2</t>
  </si>
  <si>
    <t>Escala</t>
  </si>
  <si>
    <t>Otros gastos fijos</t>
  </si>
  <si>
    <t>Financiación y control</t>
  </si>
  <si>
    <t>Caja inicial</t>
  </si>
  <si>
    <t>Cuota post-carencia</t>
  </si>
  <si>
    <t>Aportación socios</t>
  </si>
  <si>
    <t>Mes aportación</t>
  </si>
  <si>
    <t>Préstamo bancario</t>
  </si>
  <si>
    <t>Mes préstamo</t>
  </si>
  <si>
    <t>Interés anual</t>
  </si>
  <si>
    <t>Plazo deuda (meses)</t>
  </si>
  <si>
    <t>Carencia capital</t>
  </si>
  <si>
    <t>Impuesto sociedades</t>
  </si>
  <si>
    <t>Crec. salarial Y2</t>
  </si>
  <si>
    <t>Crec. salarial Y3</t>
  </si>
  <si>
    <t>Proyección financiera a 36 meses</t>
  </si>
  <si>
    <t>Meses 1-36 por la izquierda | resumen anual a la derecha</t>
  </si>
  <si>
    <t>Año 1</t>
  </si>
  <si>
    <t>Año 2</t>
  </si>
  <si>
    <t>Año 3</t>
  </si>
  <si>
    <t>Resumen anual</t>
  </si>
  <si>
    <t>Meses 1-12</t>
  </si>
  <si>
    <t>Meses 13-24</t>
  </si>
  <si>
    <t>Meses 25-36</t>
  </si>
  <si>
    <t>INGRESOS</t>
  </si>
  <si>
    <t/>
  </si>
  <si>
    <t>Total ingresos</t>
  </si>
  <si>
    <t>COSTES VARIABLES</t>
  </si>
  <si>
    <t>Total costes variables</t>
  </si>
  <si>
    <t>Margen bruto</t>
  </si>
  <si>
    <t>% margen bruto</t>
  </si>
  <si>
    <t>GASTOS OPERATIVOS</t>
  </si>
  <si>
    <t>Nómina</t>
  </si>
  <si>
    <t>Total OPEX caja</t>
  </si>
  <si>
    <t>EBITDA</t>
  </si>
  <si>
    <t>Amortización</t>
  </si>
  <si>
    <t>EBIT</t>
  </si>
  <si>
    <t>Intereses</t>
  </si>
  <si>
    <t>Resultado neto</t>
  </si>
  <si>
    <t>TESORERÍA Y BALANCE SIMPLIFICADO</t>
  </si>
  <si>
    <t>Flujo operativo (RN + amort.)</t>
  </si>
  <si>
    <t>Desembolso préstamo</t>
  </si>
  <si>
    <t>CAPEX</t>
  </si>
  <si>
    <t>Amortización principal</t>
  </si>
  <si>
    <t>Caja final</t>
  </si>
  <si>
    <t>Deuda viva</t>
  </si>
  <si>
    <t>Activo fijo neto</t>
  </si>
  <si>
    <t>Patrimonio acumulado</t>
  </si>
  <si>
    <t>Bandera EBITDA&gt;0</t>
  </si>
  <si>
    <t>Uds L1</t>
  </si>
  <si>
    <t>Uds L2</t>
  </si>
  <si>
    <t>Uds L3</t>
  </si>
  <si>
    <t>Precio L1</t>
  </si>
  <si>
    <t>Precio L2</t>
  </si>
  <si>
    <t>Precio L3</t>
  </si>
  <si>
    <t>Coste u L1</t>
  </si>
  <si>
    <t>Coste u L2</t>
  </si>
  <si>
    <t>Coste u L3</t>
  </si>
  <si>
    <t>Deuda antes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</si>
</sst>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5" formatCode="\€\ #,##0;[Red]\(\€\ #,##0\);\-"/>
    <numFmt numFmtId="166" formatCode="0.0%"/>
    <numFmt numFmtId="167" formatCode="mmm"/>
    <numFmt numFmtId="168" formatCode="0.0"/>
    <numFmt numFmtId="169" formatCode="#,##0;[Red]\(#,##0\);\-"/>
  </numFmts>
  <fonts count="13" x14ac:knownFonts="1">
    <font>
      <sz val="11"/>
      <color theme="1"/>
      <name val="Calibri"/>
      <family val="2"/>
      <scheme val="minor"/>
    </font>
    <font>
      <b/>
      <sz val="18"/>
      <color rgb="FFFFFFFF"/>
      <name val="Aptos"/>
    </font>
    <font>
      <i/>
      <sz val="9"/>
      <color rgb="FF666666"/>
      <name val="Aptos"/>
    </font>
    <font>
      <b/>
      <sz val="11"/>
      <color rgb="FF121528"/>
      <name val="Aptos"/>
    </font>
    <font>
      <b/>
      <sz val="10"/>
      <color rgb="FF121528"/>
      <name val="Aptos"/>
    </font>
    <font>
      <sz val="10"/>
      <color rgb="FF1F4E78"/>
      <name val="Aptos"/>
    </font>
    <font>
      <sz val="10"/>
      <color rgb="FF000000"/>
      <name val="Aptos"/>
    </font>
    <font>
      <b/>
      <sz val="10"/>
      <color rgb="FFFFFFFF"/>
      <name val="Aptos"/>
    </font>
    <font>
      <b/>
      <sz val="9"/>
      <color rgb="FFFFFFFF"/>
      <name val="Aptos"/>
    </font>
    <font>
      <b/>
      <sz val="16"/>
      <color rgb="FF121528"/>
      <name val="Aptos"/>
    </font>
    <font>
      <sz val="8"/>
      <color rgb="FF666666"/>
      <name val="Calibri"/>
    </font>
    <font>
      <sz val="8"/>
      <color rgb="FF999999"/>
      <name val="Calibri"/>
    </font>
    <font>
      <b/>
      <sz val="10"/>
      <color rgb="FF000000"/>
      <name val="Aptos"/>
    </font>
  </fonts>
  <fills count="8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7F6F1"/>
      </patternFill>
    </fill>
    <fill>
      <patternFill patternType="solid">
        <fgColor rgb="FFB8F2E3"/>
      </patternFill>
    </fill>
    <fill>
      <patternFill patternType="solid">
        <fgColor rgb="FFFFFFFF"/>
      </patternFill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rgb="FF121528"/>
      </left>
      <right style="thin">
        <color rgb="FF121528"/>
      </right>
      <top style="thin">
        <color rgb="FF121528"/>
      </top>
      <bottom style="thin">
        <color rgb="FF121528"/>
      </bottom>
      <diagonal/>
    </border>
    <border>
      <left style="thin">
        <color rgb="FFC7C7C7"/>
      </left>
      <right style="thin">
        <color rgb="FFC7C7C7"/>
      </right>
      <top style="thin">
        <color rgb="FFC7C7C7"/>
      </top>
      <bottom style="thin">
        <color rgb="FFC7C7C7"/>
      </bottom>
      <diagonal/>
    </border>
    <border>
      <left/>
      <right/>
      <top style="thin">
        <color rgb="FFC7C7C7"/>
      </top>
      <bottom/>
      <diagonal/>
    </border>
    <border>
      <left/>
      <right style="thin">
        <color rgb="FFC7C7C7"/>
      </right>
      <top style="thin">
        <color rgb="FFC7C7C7"/>
      </top>
      <bottom/>
      <diagonal/>
    </border>
    <border>
      <left/>
      <right style="thin">
        <color rgb="FFC7C7C7"/>
      </right>
      <top/>
      <bottom/>
      <diagonal/>
    </border>
    <border>
      <left style="thin">
        <color rgb="FFC7C7C7"/>
      </left>
      <right/>
      <top/>
      <bottom style="thin">
        <color rgb="FFC7C7C7"/>
      </bottom>
      <diagonal/>
    </border>
    <border>
      <left/>
      <right/>
      <top/>
      <bottom style="thin">
        <color rgb="FFC7C7C7"/>
      </bottom>
      <diagonal/>
    </border>
    <border>
      <left/>
      <right style="thin">
        <color rgb="FFC7C7C7"/>
      </right>
      <top/>
      <bottom style="thin">
        <color rgb="FFC7C7C7"/>
      </bottom>
      <diagonal/>
    </border>
    <border>
      <left/>
      <right/>
      <top style="thin">
        <color rgb="FF121528"/>
      </top>
      <bottom/>
      <diagonal/>
    </border>
    <border>
      <left/>
      <right style="thin">
        <color rgb="FF121528"/>
      </right>
      <top style="thin">
        <color rgb="FF121528"/>
      </top>
      <bottom style="thin">
        <color rgb="FF121528"/>
      </bottom>
      <diagonal/>
    </border>
    <border>
      <left/>
      <right style="thin">
        <color rgb="FFC7C7C7"/>
      </right>
      <top style="thin">
        <color rgb="FFC7C7C7"/>
      </top>
      <bottom style="thin">
        <color rgb="FFC7C7C7"/>
      </bottom>
      <diagonal/>
    </border>
    <border>
      <left/>
      <right/>
      <top style="medium">
        <color rgb="FF121528"/>
      </top>
      <bottom/>
      <diagonal/>
    </border>
    <border>
      <left style="thin">
        <color rgb="FFC7C7C7"/>
      </left>
      <right/>
      <top style="thin">
        <color rgb="FF121528"/>
      </top>
      <bottom style="thin">
        <color rgb="FFC7C7C7"/>
      </bottom>
      <diagonal/>
    </border>
    <border>
      <left/>
      <right/>
      <top style="thin">
        <color rgb="FF121528"/>
      </top>
      <bottom style="thin">
        <color rgb="FFC7C7C7"/>
      </bottom>
      <diagonal/>
    </border>
    <border>
      <left/>
      <right style="thin">
        <color rgb="FFC7C7C7"/>
      </right>
      <top style="thin">
        <color rgb="FF121528"/>
      </top>
      <bottom style="thin">
        <color rgb="FFC7C7C7"/>
      </bottom>
      <diagonal/>
    </border>
    <border>
      <left style="thin">
        <color rgb="FFC7C7C7"/>
      </left>
      <right/>
      <top style="thin">
        <color rgb="FFC7C7C7"/>
      </top>
      <bottom style="thin">
        <color rgb="FFC7C7C7"/>
      </bottom>
      <diagonal/>
    </border>
    <border>
      <left/>
      <right/>
      <top style="thin">
        <color rgb="FFC7C7C7"/>
      </top>
      <bottom style="thin">
        <color rgb="FFC7C7C7"/>
      </bottom>
      <diagonal/>
    </border>
    <border>
      <left style="thin">
        <color theme="0" tint="-0.499984740745262"/>
      </left>
      <right style="thin">
        <color rgb="FFC7C7C7"/>
      </right>
      <top style="thin">
        <color rgb="FFC7C7C7"/>
      </top>
      <bottom style="thin">
        <color rgb="FFC7C7C7"/>
      </bottom>
      <diagonal/>
    </border>
    <border>
      <left style="thin">
        <color theme="0" tint="-0.499984740745262"/>
      </left>
      <right/>
      <top style="thin">
        <color rgb="FFC7C7C7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rgb="FFC7C7C7"/>
      </bottom>
      <diagonal/>
    </border>
    <border>
      <left style="thin">
        <color theme="0" tint="-0.499984740745262"/>
      </left>
      <right style="thin">
        <color rgb="FFC7C7C7"/>
      </right>
      <top style="thin">
        <color rgb="FFC7C7C7"/>
      </top>
      <bottom style="thin">
        <color theme="0" tint="-0.499984740745262"/>
      </bottom>
      <diagonal/>
    </border>
    <border>
      <left style="thin">
        <color rgb="FFC7C7C7"/>
      </left>
      <right style="thin">
        <color rgb="FFC7C7C7"/>
      </right>
      <top style="thin">
        <color rgb="FFC7C7C7"/>
      </top>
      <bottom style="thin">
        <color theme="0" tint="-0.499984740745262"/>
      </bottom>
      <diagonal/>
    </border>
    <border>
      <left style="thin">
        <color rgb="FFC7C7C7"/>
      </left>
      <right style="thin">
        <color theme="0" tint="-0.499984740745262"/>
      </right>
      <top style="thin">
        <color rgb="FFC7C7C7"/>
      </top>
      <bottom style="thin">
        <color theme="0" tint="-0.499984740745262"/>
      </bottom>
      <diagonal/>
    </border>
    <border>
      <left style="thin">
        <color rgb="FFC7C7C7"/>
      </left>
      <right style="thin">
        <color theme="0" tint="-0.499984740745262"/>
      </right>
      <top style="thin">
        <color rgb="FFC7C7C7"/>
      </top>
      <bottom style="thin">
        <color rgb="FFC7C7C7"/>
      </bottom>
      <diagonal/>
    </border>
    <border>
      <left style="thin">
        <color rgb="FF121528"/>
      </left>
      <right/>
      <top style="thin">
        <color rgb="FF121528"/>
      </top>
      <bottom style="thin">
        <color rgb="FF121528"/>
      </bottom>
      <diagonal/>
    </border>
    <border>
      <left/>
      <right/>
      <top style="thin">
        <color rgb="FF121528"/>
      </top>
      <bottom style="thin">
        <color rgb="FF121528"/>
      </bottom>
      <diagonal/>
    </border>
    <border>
      <left style="thin">
        <color rgb="FFC7C7C7"/>
      </left>
      <right/>
      <top style="thin">
        <color rgb="FF121528"/>
      </top>
      <bottom/>
      <diagonal/>
    </border>
    <border>
      <left/>
      <right style="thin">
        <color rgb="FFC7C7C7"/>
      </right>
      <top style="thin">
        <color rgb="FF121528"/>
      </top>
      <bottom/>
      <diagonal/>
    </border>
    <border>
      <left style="thin">
        <color rgb="FFC7C7C7"/>
      </left>
      <right/>
      <top style="thin">
        <color rgb="FFC7C7C7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2" fillId="0" borderId="0" xfId="0" applyFont="1"/>
    <xf numFmtId="0" fontId="4" fillId="4" borderId="2" xfId="0" applyFont="1" applyFill="1" applyBorder="1"/>
    <xf numFmtId="0" fontId="5" fillId="5" borderId="2" xfId="0" applyFont="1" applyFill="1" applyBorder="1" applyAlignment="1">
      <alignment vertical="center" wrapText="1"/>
    </xf>
    <xf numFmtId="0" fontId="6" fillId="6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vertical="center" wrapText="1"/>
    </xf>
    <xf numFmtId="14" fontId="6" fillId="6" borderId="2" xfId="0" applyNumberFormat="1" applyFont="1" applyFill="1" applyBorder="1" applyAlignment="1">
      <alignment vertical="center" wrapText="1"/>
    </xf>
    <xf numFmtId="0" fontId="4" fillId="4" borderId="2" xfId="0" applyFont="1" applyFill="1" applyBorder="1" applyAlignment="1">
      <alignment vertical="center" wrapText="1"/>
    </xf>
    <xf numFmtId="0" fontId="6" fillId="4" borderId="2" xfId="0" applyFont="1" applyFill="1" applyBorder="1" applyAlignment="1">
      <alignment vertical="center" wrapText="1"/>
    </xf>
    <xf numFmtId="14" fontId="6" fillId="4" borderId="2" xfId="0" applyNumberFormat="1" applyFont="1" applyFill="1" applyBorder="1" applyAlignment="1">
      <alignment vertical="center" wrapText="1"/>
    </xf>
    <xf numFmtId="49" fontId="4" fillId="6" borderId="2" xfId="0" applyNumberFormat="1" applyFont="1" applyFill="1" applyBorder="1"/>
    <xf numFmtId="166" fontId="5" fillId="5" borderId="2" xfId="0" applyNumberFormat="1" applyFont="1" applyFill="1" applyBorder="1" applyAlignment="1">
      <alignment horizontal="center"/>
    </xf>
    <xf numFmtId="166" fontId="4" fillId="6" borderId="2" xfId="0" applyNumberFormat="1" applyFont="1" applyFill="1" applyBorder="1"/>
    <xf numFmtId="0" fontId="8" fillId="2" borderId="2" xfId="0" applyFont="1" applyFill="1" applyBorder="1" applyAlignment="1">
      <alignment horizontal="center" wrapText="1"/>
    </xf>
    <xf numFmtId="165" fontId="5" fillId="5" borderId="2" xfId="0" applyNumberFormat="1" applyFont="1" applyFill="1" applyBorder="1" applyAlignment="1">
      <alignment vertical="center" wrapText="1"/>
    </xf>
    <xf numFmtId="166" fontId="5" fillId="5" borderId="2" xfId="0" applyNumberFormat="1" applyFont="1" applyFill="1" applyBorder="1" applyAlignment="1">
      <alignment vertical="center" wrapText="1"/>
    </xf>
    <xf numFmtId="0" fontId="8" fillId="2" borderId="2" xfId="0" applyFont="1" applyFill="1" applyBorder="1"/>
    <xf numFmtId="167" fontId="8" fillId="2" borderId="2" xfId="0" applyNumberFormat="1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165" fontId="5" fillId="5" borderId="2" xfId="0" applyNumberFormat="1" applyFont="1" applyFill="1" applyBorder="1"/>
    <xf numFmtId="166" fontId="5" fillId="5" borderId="2" xfId="0" applyNumberFormat="1" applyFont="1" applyFill="1" applyBorder="1"/>
    <xf numFmtId="168" fontId="5" fillId="5" borderId="2" xfId="0" applyNumberFormat="1" applyFont="1" applyFill="1" applyBorder="1"/>
    <xf numFmtId="1" fontId="5" fillId="5" borderId="2" xfId="0" applyNumberFormat="1" applyFont="1" applyFill="1" applyBorder="1"/>
    <xf numFmtId="0" fontId="5" fillId="5" borderId="2" xfId="0" applyFont="1" applyFill="1" applyBorder="1"/>
    <xf numFmtId="165" fontId="6" fillId="6" borderId="2" xfId="0" applyNumberFormat="1" applyFont="1" applyFill="1" applyBorder="1"/>
    <xf numFmtId="17" fontId="8" fillId="2" borderId="2" xfId="0" applyNumberFormat="1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0" fillId="4" borderId="2" xfId="0" applyFill="1" applyBorder="1"/>
    <xf numFmtId="0" fontId="6" fillId="6" borderId="2" xfId="0" applyFont="1" applyFill="1" applyBorder="1"/>
    <xf numFmtId="165" fontId="6" fillId="6" borderId="2" xfId="0" applyNumberFormat="1" applyFont="1" applyFill="1" applyBorder="1" applyAlignment="1">
      <alignment horizontal="right"/>
    </xf>
    <xf numFmtId="165" fontId="6" fillId="4" borderId="2" xfId="0" applyNumberFormat="1" applyFont="1" applyFill="1" applyBorder="1" applyAlignment="1">
      <alignment horizontal="right"/>
    </xf>
    <xf numFmtId="0" fontId="0" fillId="4" borderId="12" xfId="0" applyFill="1" applyBorder="1"/>
    <xf numFmtId="0" fontId="4" fillId="6" borderId="12" xfId="0" applyFont="1" applyFill="1" applyBorder="1"/>
    <xf numFmtId="165" fontId="12" fillId="6" borderId="12" xfId="0" applyNumberFormat="1" applyFont="1" applyFill="1" applyBorder="1" applyAlignment="1">
      <alignment horizontal="right"/>
    </xf>
    <xf numFmtId="165" fontId="12" fillId="4" borderId="12" xfId="0" applyNumberFormat="1" applyFont="1" applyFill="1" applyBorder="1" applyAlignment="1">
      <alignment horizontal="right"/>
    </xf>
    <xf numFmtId="0" fontId="6" fillId="6" borderId="2" xfId="0" applyFont="1" applyFill="1" applyBorder="1" applyAlignment="1">
      <alignment horizontal="right"/>
    </xf>
    <xf numFmtId="0" fontId="6" fillId="4" borderId="2" xfId="0" applyFont="1" applyFill="1" applyBorder="1" applyAlignment="1">
      <alignment horizontal="right"/>
    </xf>
    <xf numFmtId="166" fontId="6" fillId="6" borderId="12" xfId="0" applyNumberFormat="1" applyFont="1" applyFill="1" applyBorder="1" applyAlignment="1">
      <alignment horizontal="right"/>
    </xf>
    <xf numFmtId="166" fontId="6" fillId="4" borderId="12" xfId="0" applyNumberFormat="1" applyFont="1" applyFill="1" applyBorder="1" applyAlignment="1">
      <alignment horizontal="right"/>
    </xf>
    <xf numFmtId="165" fontId="0" fillId="0" borderId="12" xfId="0" applyNumberFormat="1" applyBorder="1"/>
    <xf numFmtId="165" fontId="0" fillId="4" borderId="12" xfId="0" applyNumberFormat="1" applyFill="1" applyBorder="1"/>
    <xf numFmtId="1" fontId="0" fillId="4" borderId="2" xfId="0" applyNumberFormat="1" applyFill="1" applyBorder="1"/>
    <xf numFmtId="0" fontId="11" fillId="0" borderId="0" xfId="0" applyFont="1"/>
    <xf numFmtId="169" fontId="0" fillId="0" borderId="0" xfId="0" applyNumberFormat="1"/>
    <xf numFmtId="165" fontId="0" fillId="0" borderId="0" xfId="0" applyNumberFormat="1"/>
    <xf numFmtId="0" fontId="3" fillId="3" borderId="1" xfId="0" applyFont="1" applyFill="1" applyBorder="1" applyAlignment="1">
      <alignment horizontal="left" vertical="center"/>
    </xf>
    <xf numFmtId="0" fontId="5" fillId="5" borderId="2" xfId="0" applyFont="1" applyFill="1" applyBorder="1" applyAlignment="1">
      <alignment vertical="center" wrapText="1"/>
    </xf>
    <xf numFmtId="0" fontId="0" fillId="5" borderId="2" xfId="0" applyFill="1" applyBorder="1" applyAlignment="1">
      <alignment vertical="center" wrapText="1"/>
    </xf>
    <xf numFmtId="166" fontId="8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65" fontId="8" fillId="2" borderId="1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vertical="top"/>
    </xf>
    <xf numFmtId="0" fontId="0" fillId="4" borderId="2" xfId="0" applyFill="1" applyBorder="1" applyAlignment="1">
      <alignment vertical="top"/>
    </xf>
    <xf numFmtId="0" fontId="6" fillId="6" borderId="2" xfId="0" applyFont="1" applyFill="1" applyBorder="1" applyAlignment="1">
      <alignment vertical="top" wrapText="1"/>
    </xf>
    <xf numFmtId="0" fontId="0" fillId="6" borderId="2" xfId="0" applyFill="1" applyBorder="1" applyAlignment="1">
      <alignment vertical="top" wrapText="1"/>
    </xf>
    <xf numFmtId="0" fontId="6" fillId="6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14" fontId="5" fillId="5" borderId="2" xfId="0" applyNumberFormat="1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1" fontId="8" fillId="2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/>
    </xf>
    <xf numFmtId="0" fontId="6" fillId="6" borderId="2" xfId="0" applyFont="1" applyFill="1" applyBorder="1" applyAlignment="1">
      <alignment horizontal="right"/>
    </xf>
    <xf numFmtId="0" fontId="6" fillId="4" borderId="2" xfId="0" applyFont="1" applyFill="1" applyBorder="1" applyAlignment="1">
      <alignment horizontal="right"/>
    </xf>
    <xf numFmtId="0" fontId="7" fillId="4" borderId="2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top" wrapText="1"/>
    </xf>
    <xf numFmtId="0" fontId="6" fillId="6" borderId="0" xfId="0" applyFont="1" applyFill="1" applyBorder="1" applyAlignment="1">
      <alignment horizontal="center" vertical="top" wrapText="1"/>
    </xf>
    <xf numFmtId="0" fontId="6" fillId="6" borderId="7" xfId="0" applyFont="1" applyFill="1" applyBorder="1" applyAlignment="1">
      <alignment horizontal="center" vertical="top" wrapText="1"/>
    </xf>
    <xf numFmtId="0" fontId="6" fillId="6" borderId="4" xfId="0" applyFont="1" applyFill="1" applyBorder="1" applyAlignment="1">
      <alignment horizontal="center" vertical="top" wrapText="1"/>
    </xf>
    <xf numFmtId="0" fontId="6" fillId="6" borderId="5" xfId="0" applyFont="1" applyFill="1" applyBorder="1" applyAlignment="1">
      <alignment horizontal="center" vertical="top" wrapText="1"/>
    </xf>
    <xf numFmtId="0" fontId="6" fillId="6" borderId="8" xfId="0" applyFont="1" applyFill="1" applyBorder="1" applyAlignment="1">
      <alignment horizontal="center" vertical="top" wrapText="1"/>
    </xf>
    <xf numFmtId="0" fontId="6" fillId="6" borderId="19" xfId="0" applyFont="1" applyFill="1" applyBorder="1" applyAlignment="1">
      <alignment horizontal="center" vertical="top" wrapText="1"/>
    </xf>
    <xf numFmtId="0" fontId="6" fillId="6" borderId="20" xfId="0" applyFont="1" applyFill="1" applyBorder="1" applyAlignment="1">
      <alignment horizontal="center" vertical="top" wrapText="1"/>
    </xf>
    <xf numFmtId="0" fontId="6" fillId="6" borderId="21" xfId="0" applyFont="1" applyFill="1" applyBorder="1" applyAlignment="1">
      <alignment horizontal="center" vertical="top" wrapText="1"/>
    </xf>
    <xf numFmtId="0" fontId="6" fillId="6" borderId="18" xfId="0" applyFont="1" applyFill="1" applyBorder="1" applyAlignment="1">
      <alignment vertical="top" wrapText="1"/>
    </xf>
    <xf numFmtId="0" fontId="0" fillId="6" borderId="22" xfId="0" applyFill="1" applyBorder="1" applyAlignment="1">
      <alignment vertical="top" wrapText="1"/>
    </xf>
    <xf numFmtId="0" fontId="0" fillId="6" borderId="23" xfId="0" applyFill="1" applyBorder="1" applyAlignment="1">
      <alignment vertical="top" wrapText="1"/>
    </xf>
    <xf numFmtId="0" fontId="0" fillId="6" borderId="25" xfId="0" applyFill="1" applyBorder="1" applyAlignment="1">
      <alignment vertical="top" wrapText="1"/>
    </xf>
    <xf numFmtId="0" fontId="0" fillId="6" borderId="24" xfId="0" applyFill="1" applyBorder="1" applyAlignment="1">
      <alignment vertical="top" wrapText="1"/>
    </xf>
    <xf numFmtId="0" fontId="3" fillId="3" borderId="26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left" vertical="center" wrapText="1"/>
    </xf>
    <xf numFmtId="0" fontId="6" fillId="6" borderId="7" xfId="0" applyFont="1" applyFill="1" applyBorder="1" applyAlignment="1">
      <alignment horizontal="left" vertical="center" wrapText="1"/>
    </xf>
    <xf numFmtId="0" fontId="6" fillId="6" borderId="8" xfId="0" applyFont="1" applyFill="1" applyBorder="1" applyAlignment="1">
      <alignment horizontal="left" vertical="center" wrapText="1"/>
    </xf>
    <xf numFmtId="0" fontId="6" fillId="6" borderId="28" xfId="0" applyFont="1" applyFill="1" applyBorder="1" applyAlignment="1">
      <alignment horizontal="left" vertical="top" wrapText="1"/>
    </xf>
    <xf numFmtId="0" fontId="6" fillId="6" borderId="9" xfId="0" applyFont="1" applyFill="1" applyBorder="1" applyAlignment="1">
      <alignment horizontal="left" vertical="top" wrapText="1"/>
    </xf>
    <xf numFmtId="0" fontId="6" fillId="6" borderId="29" xfId="0" applyFont="1" applyFill="1" applyBorder="1" applyAlignment="1">
      <alignment horizontal="left" vertical="top" wrapText="1"/>
    </xf>
    <xf numFmtId="0" fontId="6" fillId="6" borderId="6" xfId="0" applyFont="1" applyFill="1" applyBorder="1" applyAlignment="1">
      <alignment horizontal="left" vertical="top" wrapText="1"/>
    </xf>
    <xf numFmtId="0" fontId="6" fillId="6" borderId="7" xfId="0" applyFont="1" applyFill="1" applyBorder="1" applyAlignment="1">
      <alignment horizontal="left" vertical="top" wrapText="1"/>
    </xf>
    <xf numFmtId="0" fontId="6" fillId="6" borderId="8" xfId="0" applyFont="1" applyFill="1" applyBorder="1" applyAlignment="1">
      <alignment horizontal="left" vertical="top" wrapText="1"/>
    </xf>
    <xf numFmtId="0" fontId="6" fillId="6" borderId="30" xfId="0" applyFont="1" applyFill="1" applyBorder="1" applyAlignment="1">
      <alignment horizontal="left" vertical="center" wrapText="1"/>
    </xf>
    <xf numFmtId="0" fontId="6" fillId="6" borderId="3" xfId="0" applyFont="1" applyFill="1" applyBorder="1" applyAlignment="1">
      <alignment horizontal="left" vertical="center" wrapText="1"/>
    </xf>
    <xf numFmtId="0" fontId="6" fillId="6" borderId="4" xfId="0" applyFont="1" applyFill="1" applyBorder="1" applyAlignment="1">
      <alignment horizontal="left" vertical="center" wrapText="1"/>
    </xf>
    <xf numFmtId="165" fontId="9" fillId="7" borderId="1" xfId="0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166" fontId="9" fillId="7" borderId="1" xfId="0" applyNumberFormat="1" applyFont="1" applyFill="1" applyBorder="1" applyAlignment="1">
      <alignment horizontal="center" vertical="center"/>
    </xf>
    <xf numFmtId="1" fontId="9" fillId="7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rgb="FFFFC7CE"/>
        </patternFill>
      </fill>
    </dxf>
    <dxf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123825</xdr:colOff>
      <xdr:row>21</xdr:row>
      <xdr:rowOff>0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85B474B7-AE82-C954-529E-9B977D48D042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723900</xdr:colOff>
      <xdr:row>46</xdr:row>
      <xdr:rowOff>28575</xdr:rowOff>
    </xdr:to>
    <xdr:sp macro="" textlink="">
      <xdr:nvSpPr>
        <xdr:cNvPr id="2050" name="Text Box 2" hidden="1">
          <a:extLst>
            <a:ext uri="{FF2B5EF4-FFF2-40B4-BE49-F238E27FC236}">
              <a16:creationId xmlns:a16="http://schemas.microsoft.com/office/drawing/2014/main" id="{150735C7-C612-A4CA-F5A8-5A6430735C8F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590550</xdr:colOff>
      <xdr:row>47</xdr:row>
      <xdr:rowOff>142875</xdr:rowOff>
    </xdr:to>
    <xdr:sp macro="" textlink="">
      <xdr:nvSpPr>
        <xdr:cNvPr id="3074" name="Text Box 2" hidden="1">
          <a:extLst>
            <a:ext uri="{FF2B5EF4-FFF2-40B4-BE49-F238E27FC236}">
              <a16:creationId xmlns:a16="http://schemas.microsoft.com/office/drawing/2014/main" id="{9CB7C5EC-8E5D-9254-0A6F-C80A8F5646F7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showGridLines="0" tabSelected="1" workbookViewId="0">
      <selection activeCell="N15" sqref="N15"/>
    </sheetView>
  </sheetViews>
  <sheetFormatPr baseColWidth="10" defaultColWidth="9.140625" defaultRowHeight="15" x14ac:dyDescent="0.25"/>
  <cols>
    <col min="1" max="6" width="16" customWidth="1"/>
    <col min="7" max="8" width="15" customWidth="1"/>
    <col min="9" max="9" width="42.7109375" customWidth="1"/>
    <col min="10" max="12" width="15" customWidth="1"/>
  </cols>
  <sheetData>
    <row r="1" spans="1:12" ht="24" customHeight="1" x14ac:dyDescent="0.2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</row>
    <row r="2" spans="1:12" ht="21.95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</row>
    <row r="3" spans="1:12" x14ac:dyDescent="0.25">
      <c r="A3" s="1" t="s">
        <v>1</v>
      </c>
    </row>
    <row r="4" spans="1:12" ht="20.100000000000001" customHeight="1" x14ac:dyDescent="0.25">
      <c r="A4" s="49" t="s">
        <v>2</v>
      </c>
      <c r="B4" s="49"/>
      <c r="C4" s="49"/>
      <c r="D4" s="49"/>
      <c r="E4" s="49"/>
      <c r="F4" s="49"/>
      <c r="G4" s="49" t="s">
        <v>3</v>
      </c>
      <c r="H4" s="49"/>
      <c r="I4" s="49"/>
      <c r="J4" s="49"/>
      <c r="K4" s="49"/>
      <c r="L4" s="49"/>
    </row>
    <row r="5" spans="1:12" ht="21.95" customHeight="1" x14ac:dyDescent="0.25">
      <c r="A5" s="2" t="s">
        <v>4</v>
      </c>
      <c r="B5" s="50" t="s">
        <v>5</v>
      </c>
      <c r="C5" s="51"/>
      <c r="D5" s="51"/>
      <c r="E5" s="51"/>
      <c r="F5" s="51"/>
      <c r="G5" s="55" t="s">
        <v>6</v>
      </c>
      <c r="H5" s="97" t="s">
        <v>7</v>
      </c>
      <c r="I5" s="98"/>
      <c r="J5" s="98"/>
      <c r="K5" s="98"/>
      <c r="L5" s="99"/>
    </row>
    <row r="6" spans="1:12" ht="21.95" customHeight="1" x14ac:dyDescent="0.25">
      <c r="A6" s="2" t="s">
        <v>8</v>
      </c>
      <c r="B6" s="50" t="s">
        <v>9</v>
      </c>
      <c r="C6" s="51"/>
      <c r="D6" s="51"/>
      <c r="E6" s="51"/>
      <c r="F6" s="51"/>
      <c r="G6" s="56"/>
      <c r="H6" s="100"/>
      <c r="I6" s="101"/>
      <c r="J6" s="101"/>
      <c r="K6" s="101"/>
      <c r="L6" s="102"/>
    </row>
    <row r="7" spans="1:12" ht="21.95" customHeight="1" x14ac:dyDescent="0.25">
      <c r="A7" s="2" t="s">
        <v>10</v>
      </c>
      <c r="B7" s="50" t="s">
        <v>11</v>
      </c>
      <c r="C7" s="51"/>
      <c r="D7" s="51"/>
      <c r="E7" s="51"/>
      <c r="F7" s="51"/>
      <c r="G7" s="55" t="s">
        <v>12</v>
      </c>
      <c r="H7" s="97" t="s">
        <v>13</v>
      </c>
      <c r="I7" s="98"/>
      <c r="J7" s="98"/>
      <c r="K7" s="98"/>
      <c r="L7" s="99"/>
    </row>
    <row r="8" spans="1:12" ht="21.95" customHeight="1" x14ac:dyDescent="0.25">
      <c r="A8" s="2" t="s">
        <v>14</v>
      </c>
      <c r="B8" s="62">
        <v>46023</v>
      </c>
      <c r="C8" s="51"/>
      <c r="D8" s="51"/>
      <c r="E8" s="51"/>
      <c r="F8" s="51"/>
      <c r="G8" s="56"/>
      <c r="H8" s="100"/>
      <c r="I8" s="101"/>
      <c r="J8" s="101"/>
      <c r="K8" s="101"/>
      <c r="L8" s="102"/>
    </row>
    <row r="9" spans="1:12" ht="21.95" customHeight="1" x14ac:dyDescent="0.25">
      <c r="A9" s="2" t="s">
        <v>15</v>
      </c>
      <c r="B9" s="50" t="s">
        <v>16</v>
      </c>
      <c r="C9" s="51"/>
      <c r="D9" s="51"/>
      <c r="E9" s="51"/>
      <c r="F9" s="51"/>
      <c r="G9" s="55" t="s">
        <v>17</v>
      </c>
      <c r="H9" s="103" t="s">
        <v>18</v>
      </c>
      <c r="I9" s="104"/>
      <c r="J9" s="104"/>
      <c r="K9" s="104"/>
      <c r="L9" s="105"/>
    </row>
    <row r="10" spans="1:12" ht="21.95" customHeight="1" x14ac:dyDescent="0.25">
      <c r="A10" s="2" t="s">
        <v>19</v>
      </c>
      <c r="B10" s="63" t="s">
        <v>20</v>
      </c>
      <c r="C10" s="51"/>
      <c r="D10" s="51"/>
      <c r="E10" s="51"/>
      <c r="F10" s="51"/>
      <c r="G10" s="56"/>
      <c r="H10" s="94"/>
      <c r="I10" s="95"/>
      <c r="J10" s="95"/>
      <c r="K10" s="95"/>
      <c r="L10" s="96"/>
    </row>
    <row r="11" spans="1:12" ht="21.95" customHeight="1" x14ac:dyDescent="0.25">
      <c r="A11" s="2" t="s">
        <v>21</v>
      </c>
      <c r="B11" s="50" t="s">
        <v>22</v>
      </c>
      <c r="C11" s="51"/>
      <c r="D11" s="51"/>
      <c r="E11" s="51"/>
      <c r="F11" s="51"/>
      <c r="G11" s="55" t="s">
        <v>23</v>
      </c>
      <c r="H11" s="103" t="s">
        <v>24</v>
      </c>
      <c r="I11" s="104"/>
      <c r="J11" s="104"/>
      <c r="K11" s="104"/>
      <c r="L11" s="105"/>
    </row>
    <row r="12" spans="1:12" x14ac:dyDescent="0.25">
      <c r="G12" s="56"/>
      <c r="H12" s="94"/>
      <c r="I12" s="95"/>
      <c r="J12" s="95"/>
      <c r="K12" s="95"/>
      <c r="L12" s="96"/>
    </row>
    <row r="14" spans="1:12" ht="20.100000000000001" customHeight="1" x14ac:dyDescent="0.25">
      <c r="A14" s="49" t="s">
        <v>25</v>
      </c>
      <c r="B14" s="49"/>
      <c r="C14" s="49"/>
      <c r="D14" s="49"/>
      <c r="E14" s="49"/>
      <c r="F14" s="49"/>
      <c r="G14" s="91" t="s">
        <v>26</v>
      </c>
      <c r="H14" s="92"/>
      <c r="I14" s="92"/>
      <c r="J14" s="92"/>
      <c r="K14" s="93"/>
    </row>
    <row r="15" spans="1:12" ht="20.100000000000001" customHeight="1" x14ac:dyDescent="0.25">
      <c r="A15" s="71" t="s">
        <v>27</v>
      </c>
      <c r="B15" s="72"/>
      <c r="C15" s="73"/>
      <c r="D15" s="71" t="s">
        <v>28</v>
      </c>
      <c r="E15" s="72"/>
      <c r="F15" s="73"/>
      <c r="G15" s="5" t="s">
        <v>29</v>
      </c>
      <c r="H15" s="5" t="s">
        <v>30</v>
      </c>
      <c r="I15" s="5" t="s">
        <v>31</v>
      </c>
      <c r="J15" s="5" t="s">
        <v>32</v>
      </c>
      <c r="K15" s="5" t="s">
        <v>33</v>
      </c>
    </row>
    <row r="16" spans="1:12" x14ac:dyDescent="0.25">
      <c r="A16" s="77" t="s">
        <v>34</v>
      </c>
      <c r="B16" s="77"/>
      <c r="C16" s="77"/>
      <c r="D16" s="83" t="s">
        <v>35</v>
      </c>
      <c r="E16" s="77"/>
      <c r="F16" s="80"/>
      <c r="G16" s="6" t="s">
        <v>36</v>
      </c>
      <c r="H16" s="4" t="s">
        <v>37</v>
      </c>
      <c r="I16" s="4" t="s">
        <v>38</v>
      </c>
      <c r="J16" s="4" t="s">
        <v>39</v>
      </c>
      <c r="K16" s="7">
        <v>46053</v>
      </c>
    </row>
    <row r="17" spans="1:12" ht="27" x14ac:dyDescent="0.25">
      <c r="A17" s="78"/>
      <c r="B17" s="78"/>
      <c r="C17" s="78"/>
      <c r="D17" s="84"/>
      <c r="E17" s="78"/>
      <c r="F17" s="81"/>
      <c r="G17" s="8" t="s">
        <v>36</v>
      </c>
      <c r="H17" s="9" t="s">
        <v>40</v>
      </c>
      <c r="I17" s="9" t="s">
        <v>41</v>
      </c>
      <c r="J17" s="9" t="s">
        <v>42</v>
      </c>
      <c r="K17" s="10">
        <v>46047</v>
      </c>
    </row>
    <row r="18" spans="1:12" ht="27" x14ac:dyDescent="0.25">
      <c r="A18" s="78"/>
      <c r="B18" s="78"/>
      <c r="C18" s="78"/>
      <c r="D18" s="85"/>
      <c r="E18" s="79"/>
      <c r="F18" s="82"/>
      <c r="G18" s="6" t="s">
        <v>43</v>
      </c>
      <c r="H18" s="4" t="s">
        <v>44</v>
      </c>
      <c r="I18" s="4" t="s">
        <v>45</v>
      </c>
      <c r="J18" s="4" t="s">
        <v>46</v>
      </c>
      <c r="K18" s="7">
        <v>46081</v>
      </c>
    </row>
    <row r="19" spans="1:12" ht="20.100000000000001" customHeight="1" x14ac:dyDescent="0.25">
      <c r="A19" s="74" t="s">
        <v>55</v>
      </c>
      <c r="B19" s="75"/>
      <c r="C19" s="76"/>
      <c r="D19" s="74" t="s">
        <v>56</v>
      </c>
      <c r="E19" s="75"/>
      <c r="F19" s="76"/>
      <c r="G19" s="8" t="s">
        <v>43</v>
      </c>
      <c r="H19" s="9" t="s">
        <v>47</v>
      </c>
      <c r="I19" s="9" t="s">
        <v>48</v>
      </c>
      <c r="J19" s="9" t="s">
        <v>49</v>
      </c>
      <c r="K19" s="10">
        <v>46073</v>
      </c>
    </row>
    <row r="20" spans="1:12" ht="27" x14ac:dyDescent="0.25">
      <c r="A20" s="57" t="s">
        <v>57</v>
      </c>
      <c r="B20" s="58"/>
      <c r="C20" s="89"/>
      <c r="D20" s="86" t="s">
        <v>58</v>
      </c>
      <c r="E20" s="58"/>
      <c r="F20" s="58"/>
      <c r="G20" s="6" t="s">
        <v>50</v>
      </c>
      <c r="H20" s="4" t="s">
        <v>51</v>
      </c>
      <c r="I20" s="4" t="s">
        <v>52</v>
      </c>
      <c r="J20" s="4" t="s">
        <v>46</v>
      </c>
      <c r="K20" s="7">
        <v>46112</v>
      </c>
    </row>
    <row r="21" spans="1:12" ht="27" x14ac:dyDescent="0.25">
      <c r="A21" s="88"/>
      <c r="B21" s="88"/>
      <c r="C21" s="90"/>
      <c r="D21" s="87"/>
      <c r="E21" s="88"/>
      <c r="F21" s="88"/>
      <c r="G21" s="8" t="s">
        <v>50</v>
      </c>
      <c r="H21" s="9" t="s">
        <v>53</v>
      </c>
      <c r="I21" s="9" t="s">
        <v>54</v>
      </c>
      <c r="J21" s="9" t="s">
        <v>42</v>
      </c>
      <c r="K21" s="10">
        <v>46106</v>
      </c>
    </row>
    <row r="24" spans="1:12" ht="20.100000000000001" customHeight="1" x14ac:dyDescent="0.25">
      <c r="A24" s="61" t="s">
        <v>59</v>
      </c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61"/>
    </row>
    <row r="25" spans="1:12" x14ac:dyDescent="0.25">
      <c r="A25" s="54" t="s">
        <v>60</v>
      </c>
      <c r="B25" s="53"/>
      <c r="C25" s="52" t="s">
        <v>61</v>
      </c>
      <c r="D25" s="53"/>
      <c r="E25" s="54" t="s">
        <v>62</v>
      </c>
      <c r="F25" s="53"/>
      <c r="G25" s="54" t="s">
        <v>63</v>
      </c>
      <c r="H25" s="53"/>
      <c r="I25" s="64" t="s">
        <v>64</v>
      </c>
      <c r="J25" s="53"/>
      <c r="K25" s="54" t="s">
        <v>65</v>
      </c>
      <c r="L25" s="53"/>
    </row>
    <row r="26" spans="1:12" x14ac:dyDescent="0.25">
      <c r="A26" s="106">
        <f>Proyeccion!AM11</f>
        <v>201080</v>
      </c>
      <c r="B26" s="107"/>
      <c r="C26" s="108">
        <f>Proyeccion!AM19</f>
        <v>0.65242689476825144</v>
      </c>
      <c r="D26" s="107"/>
      <c r="E26" s="106">
        <f>Proyeccion!AM30</f>
        <v>21927</v>
      </c>
      <c r="F26" s="107"/>
      <c r="G26" s="106">
        <f>MIN(Proyeccion!C44:AL44)</f>
        <v>23934.831665377536</v>
      </c>
      <c r="H26" s="107"/>
      <c r="I26" s="109">
        <f>IFERROR(MATCH(TRUE,Proyeccion!C49:AL49,0),"No")</f>
        <v>3</v>
      </c>
      <c r="J26" s="107"/>
      <c r="K26" s="106">
        <f>Proyeccion!AM45</f>
        <v>13499.011876939718</v>
      </c>
      <c r="L26" s="107"/>
    </row>
    <row r="27" spans="1:12" ht="24" customHeight="1" x14ac:dyDescent="0.25">
      <c r="A27" s="107"/>
      <c r="B27" s="107"/>
      <c r="C27" s="107"/>
      <c r="D27" s="107"/>
      <c r="E27" s="107"/>
      <c r="F27" s="107"/>
      <c r="G27" s="107"/>
      <c r="H27" s="107"/>
      <c r="I27" s="107"/>
      <c r="J27" s="107"/>
      <c r="K27" s="107"/>
      <c r="L27" s="107"/>
    </row>
    <row r="29" spans="1:12" ht="24" customHeight="1" x14ac:dyDescent="0.25">
      <c r="A29" s="65" t="str">
        <f>IF(AND(MIN(Proyeccion!C44:AL44)&gt;0,Proyeccion!AM30&gt;0),"Lectura rápida: el ejemplo muestra un negocio con caja positiva y EBITDA anual en positivo.","Lectura rápida: revisa escenario, gasto fijo o ticket medio antes de presentar el plan.")</f>
        <v>Lectura rápida: el ejemplo muestra un negocio con caja positiva y EBITDA anual en positivo.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</row>
    <row r="30" spans="1:12" ht="24" customHeight="1" x14ac:dyDescent="0.25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</row>
  </sheetData>
  <mergeCells count="42">
    <mergeCell ref="H11:L12"/>
    <mergeCell ref="A29:L30"/>
    <mergeCell ref="G9:G10"/>
    <mergeCell ref="B6:F6"/>
    <mergeCell ref="G26:H27"/>
    <mergeCell ref="B5:F5"/>
    <mergeCell ref="E26:F27"/>
    <mergeCell ref="G11:G12"/>
    <mergeCell ref="A15:C15"/>
    <mergeCell ref="D15:F15"/>
    <mergeCell ref="A19:C19"/>
    <mergeCell ref="D19:F19"/>
    <mergeCell ref="A16:C18"/>
    <mergeCell ref="D16:F18"/>
    <mergeCell ref="G14:K14"/>
    <mergeCell ref="H5:L6"/>
    <mergeCell ref="I26:J27"/>
    <mergeCell ref="A1:L2"/>
    <mergeCell ref="A24:L24"/>
    <mergeCell ref="K26:L27"/>
    <mergeCell ref="A4:F4"/>
    <mergeCell ref="G4:L4"/>
    <mergeCell ref="B8:F8"/>
    <mergeCell ref="A26:B27"/>
    <mergeCell ref="G5:G6"/>
    <mergeCell ref="C26:D27"/>
    <mergeCell ref="B10:F10"/>
    <mergeCell ref="A25:B25"/>
    <mergeCell ref="A14:F14"/>
    <mergeCell ref="B7:F7"/>
    <mergeCell ref="C25:D25"/>
    <mergeCell ref="E25:F25"/>
    <mergeCell ref="K25:L25"/>
    <mergeCell ref="G7:G8"/>
    <mergeCell ref="A20:C21"/>
    <mergeCell ref="B11:F11"/>
    <mergeCell ref="G25:H25"/>
    <mergeCell ref="I25:J25"/>
    <mergeCell ref="D20:F21"/>
    <mergeCell ref="B9:F9"/>
    <mergeCell ref="H7:L8"/>
    <mergeCell ref="H9:L10"/>
  </mergeCells>
  <dataValidations disablePrompts="1" count="1">
    <dataValidation type="list" sqref="B10" xr:uid="{00000000-0002-0000-0000-000000000000}">
      <formula1>"Conservador,Base,Ambicioso"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2"/>
  <sheetViews>
    <sheetView showGridLines="0" workbookViewId="0"/>
  </sheetViews>
  <sheetFormatPr baseColWidth="10" defaultColWidth="9.140625" defaultRowHeight="15" x14ac:dyDescent="0.25"/>
  <cols>
    <col min="1" max="1" width="14" customWidth="1"/>
    <col min="2" max="2" width="26" customWidth="1"/>
    <col min="3" max="5" width="14" customWidth="1"/>
    <col min="6" max="6" width="22" customWidth="1"/>
    <col min="7" max="9" width="14" customWidth="1"/>
    <col min="10" max="10" width="18" customWidth="1"/>
    <col min="11" max="11" width="14" customWidth="1"/>
    <col min="12" max="12" width="22" customWidth="1"/>
    <col min="13" max="13" width="12" customWidth="1"/>
    <col min="14" max="14" width="14" customWidth="1"/>
    <col min="15" max="15" width="12" customWidth="1"/>
    <col min="16" max="16" width="20" customWidth="1"/>
  </cols>
  <sheetData>
    <row r="1" spans="1:16" ht="24" customHeight="1" x14ac:dyDescent="0.25">
      <c r="A1" s="60" t="s">
        <v>66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</row>
    <row r="2" spans="1:16" ht="21.95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16" x14ac:dyDescent="0.25">
      <c r="A3" s="1" t="s">
        <v>67</v>
      </c>
    </row>
    <row r="4" spans="1:16" ht="20.100000000000001" customHeight="1" x14ac:dyDescent="0.25">
      <c r="A4" s="61" t="s">
        <v>68</v>
      </c>
      <c r="B4" s="61"/>
      <c r="C4" s="61"/>
      <c r="D4" s="61"/>
      <c r="G4" s="61" t="s">
        <v>19</v>
      </c>
      <c r="H4" s="61"/>
      <c r="I4" s="61"/>
      <c r="J4" s="61"/>
    </row>
    <row r="5" spans="1:16" x14ac:dyDescent="0.25">
      <c r="B5" s="5" t="s">
        <v>69</v>
      </c>
      <c r="C5" s="5" t="s">
        <v>20</v>
      </c>
      <c r="D5" s="5" t="s">
        <v>70</v>
      </c>
      <c r="G5" s="2" t="s">
        <v>71</v>
      </c>
      <c r="H5" s="11" t="str">
        <f>Inicio!B10</f>
        <v>Base</v>
      </c>
      <c r="I5" s="59" t="s">
        <v>72</v>
      </c>
      <c r="J5" s="59"/>
    </row>
    <row r="6" spans="1:16" x14ac:dyDescent="0.25">
      <c r="A6" s="2" t="s">
        <v>73</v>
      </c>
      <c r="B6" s="12">
        <v>0.82</v>
      </c>
      <c r="C6" s="12">
        <v>1</v>
      </c>
      <c r="D6" s="12">
        <v>1.18</v>
      </c>
      <c r="G6" s="2" t="s">
        <v>74</v>
      </c>
      <c r="H6" s="13">
        <f>INDEX($B$6:$D$6,1,MATCH($H$5,$B$5:$D$5,0))</f>
        <v>1</v>
      </c>
      <c r="I6" s="59"/>
      <c r="J6" s="59"/>
    </row>
    <row r="7" spans="1:16" x14ac:dyDescent="0.25">
      <c r="A7" s="2" t="s">
        <v>75</v>
      </c>
      <c r="B7" s="12">
        <v>0.97</v>
      </c>
      <c r="C7" s="12">
        <v>1</v>
      </c>
      <c r="D7" s="12">
        <v>1.05</v>
      </c>
      <c r="G7" s="2" t="s">
        <v>76</v>
      </c>
      <c r="H7" s="13">
        <f>INDEX($B$7:$D$7,1,MATCH($H$5,$B$5:$D$5,0))</f>
        <v>1</v>
      </c>
      <c r="I7" s="59"/>
      <c r="J7" s="59"/>
    </row>
    <row r="8" spans="1:16" x14ac:dyDescent="0.25">
      <c r="A8" s="2" t="s">
        <v>77</v>
      </c>
      <c r="B8" s="12">
        <v>1.05</v>
      </c>
      <c r="C8" s="12">
        <v>1</v>
      </c>
      <c r="D8" s="12">
        <v>0.96</v>
      </c>
      <c r="G8" s="2" t="s">
        <v>78</v>
      </c>
      <c r="H8" s="13">
        <f>INDEX($B$8:$D$8,1,MATCH($H$5,$B$5:$D$5,0))</f>
        <v>1</v>
      </c>
      <c r="I8" s="59"/>
      <c r="J8" s="59"/>
    </row>
    <row r="9" spans="1:16" x14ac:dyDescent="0.25">
      <c r="A9" s="2" t="s">
        <v>79</v>
      </c>
      <c r="B9" s="12">
        <v>0.9</v>
      </c>
      <c r="C9" s="12">
        <v>1</v>
      </c>
      <c r="D9" s="12">
        <v>1.1499999999999999</v>
      </c>
      <c r="G9" s="2" t="s">
        <v>49</v>
      </c>
      <c r="H9" s="13">
        <f>INDEX($B$9:$D$9,1,MATCH($H$5,$B$5:$D$5,0))</f>
        <v>1</v>
      </c>
      <c r="I9" s="59"/>
      <c r="J9" s="59"/>
    </row>
    <row r="10" spans="1:16" ht="20.100000000000001" customHeight="1" x14ac:dyDescent="0.25"/>
    <row r="11" spans="1:16" x14ac:dyDescent="0.25">
      <c r="A11" s="61" t="s">
        <v>80</v>
      </c>
      <c r="B11" s="61"/>
      <c r="C11" s="61"/>
      <c r="D11" s="61"/>
      <c r="E11" s="61"/>
      <c r="F11" s="61"/>
      <c r="G11" s="61"/>
      <c r="H11" s="61"/>
    </row>
    <row r="12" spans="1:16" ht="24.75" x14ac:dyDescent="0.25">
      <c r="A12" s="14" t="s">
        <v>81</v>
      </c>
      <c r="B12" s="14" t="s">
        <v>82</v>
      </c>
      <c r="C12" s="14" t="s">
        <v>83</v>
      </c>
      <c r="D12" s="14" t="s">
        <v>84</v>
      </c>
      <c r="E12" s="14" t="s">
        <v>85</v>
      </c>
      <c r="F12" s="14" t="s">
        <v>86</v>
      </c>
      <c r="G12" s="14" t="s">
        <v>87</v>
      </c>
      <c r="H12" s="14" t="s">
        <v>88</v>
      </c>
    </row>
    <row r="13" spans="1:16" x14ac:dyDescent="0.25">
      <c r="A13" s="8">
        <v>1</v>
      </c>
      <c r="B13" s="3" t="s">
        <v>89</v>
      </c>
      <c r="C13" s="15">
        <v>320</v>
      </c>
      <c r="D13" s="15">
        <v>100</v>
      </c>
      <c r="E13" s="16">
        <v>0.28000000000000003</v>
      </c>
      <c r="F13" s="16">
        <v>0.22</v>
      </c>
      <c r="G13" s="16">
        <v>0.03</v>
      </c>
      <c r="H13" s="16">
        <v>0.04</v>
      </c>
    </row>
    <row r="14" spans="1:16" x14ac:dyDescent="0.25">
      <c r="A14" s="8">
        <v>2</v>
      </c>
      <c r="B14" s="3" t="s">
        <v>90</v>
      </c>
      <c r="C14" s="15">
        <v>560</v>
      </c>
      <c r="D14" s="15">
        <v>210</v>
      </c>
      <c r="E14" s="16">
        <v>0.15</v>
      </c>
      <c r="F14" s="16">
        <v>0.12</v>
      </c>
      <c r="G14" s="16">
        <v>0.02</v>
      </c>
      <c r="H14" s="16">
        <v>0.03</v>
      </c>
    </row>
    <row r="15" spans="1:16" x14ac:dyDescent="0.25">
      <c r="A15" s="8">
        <v>3</v>
      </c>
      <c r="B15" s="3" t="s">
        <v>91</v>
      </c>
      <c r="C15" s="15">
        <v>39</v>
      </c>
      <c r="D15" s="15">
        <v>15</v>
      </c>
      <c r="E15" s="16">
        <v>0.35</v>
      </c>
      <c r="F15" s="16">
        <v>0.28000000000000003</v>
      </c>
      <c r="G15" s="16">
        <v>0.03</v>
      </c>
      <c r="H15" s="16">
        <v>0.04</v>
      </c>
    </row>
    <row r="16" spans="1:16" ht="20.100000000000001" customHeight="1" x14ac:dyDescent="0.25">
      <c r="A16" s="61" t="s">
        <v>92</v>
      </c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</row>
    <row r="17" spans="1:16" x14ac:dyDescent="0.25">
      <c r="A17" s="17" t="s">
        <v>81</v>
      </c>
      <c r="B17" s="18">
        <v>46023</v>
      </c>
      <c r="C17" s="18">
        <v>46054</v>
      </c>
      <c r="D17" s="18">
        <v>46082</v>
      </c>
      <c r="E17" s="18">
        <v>46113</v>
      </c>
      <c r="F17" s="18">
        <v>46143</v>
      </c>
      <c r="G17" s="18">
        <v>46174</v>
      </c>
      <c r="H17" s="18">
        <v>46204</v>
      </c>
      <c r="I17" s="18">
        <v>46235</v>
      </c>
      <c r="J17" s="18">
        <v>46266</v>
      </c>
      <c r="K17" s="18">
        <v>46296</v>
      </c>
      <c r="L17" s="18">
        <v>46327</v>
      </c>
      <c r="M17" s="18">
        <v>46357</v>
      </c>
    </row>
    <row r="18" spans="1:16" x14ac:dyDescent="0.25">
      <c r="A18" s="19">
        <v>1</v>
      </c>
      <c r="B18" s="20">
        <v>15</v>
      </c>
      <c r="C18" s="20">
        <v>17</v>
      </c>
      <c r="D18" s="20">
        <v>18</v>
      </c>
      <c r="E18" s="20">
        <v>20</v>
      </c>
      <c r="F18" s="20">
        <v>22</v>
      </c>
      <c r="G18" s="20">
        <v>24</v>
      </c>
      <c r="H18" s="20">
        <v>26</v>
      </c>
      <c r="I18" s="20">
        <v>28</v>
      </c>
      <c r="J18" s="20">
        <v>30</v>
      </c>
      <c r="K18" s="20">
        <v>32</v>
      </c>
      <c r="L18" s="20">
        <v>34</v>
      </c>
      <c r="M18" s="20">
        <v>36</v>
      </c>
    </row>
    <row r="19" spans="1:16" x14ac:dyDescent="0.25">
      <c r="A19" s="19">
        <v>2</v>
      </c>
      <c r="B19" s="20">
        <v>4</v>
      </c>
      <c r="C19" s="20">
        <v>5</v>
      </c>
      <c r="D19" s="20">
        <v>6</v>
      </c>
      <c r="E19" s="20">
        <v>6</v>
      </c>
      <c r="F19" s="20">
        <v>7</v>
      </c>
      <c r="G19" s="20">
        <v>7</v>
      </c>
      <c r="H19" s="20">
        <v>8</v>
      </c>
      <c r="I19" s="20">
        <v>8</v>
      </c>
      <c r="J19" s="20">
        <v>9</v>
      </c>
      <c r="K19" s="20">
        <v>9</v>
      </c>
      <c r="L19" s="20">
        <v>10</v>
      </c>
      <c r="M19" s="20">
        <v>10</v>
      </c>
    </row>
    <row r="20" spans="1:16" x14ac:dyDescent="0.25">
      <c r="A20" s="19">
        <v>3</v>
      </c>
      <c r="B20" s="20">
        <v>50</v>
      </c>
      <c r="C20" s="20">
        <v>60</v>
      </c>
      <c r="D20" s="20">
        <v>70</v>
      </c>
      <c r="E20" s="20">
        <v>80</v>
      </c>
      <c r="F20" s="20">
        <v>90</v>
      </c>
      <c r="G20" s="20">
        <v>100</v>
      </c>
      <c r="H20" s="20">
        <v>110</v>
      </c>
      <c r="I20" s="20">
        <v>120</v>
      </c>
      <c r="J20" s="20">
        <v>130</v>
      </c>
      <c r="K20" s="20">
        <v>150</v>
      </c>
      <c r="L20" s="20">
        <v>180</v>
      </c>
      <c r="M20" s="20">
        <v>260</v>
      </c>
    </row>
    <row r="23" spans="1:16" ht="20.100000000000001" customHeight="1" x14ac:dyDescent="0.25">
      <c r="A23" s="61" t="s">
        <v>93</v>
      </c>
      <c r="B23" s="61"/>
      <c r="C23" s="61"/>
      <c r="D23" s="61"/>
      <c r="F23" s="61" t="s">
        <v>94</v>
      </c>
      <c r="G23" s="61"/>
      <c r="H23" s="61"/>
      <c r="I23" s="61"/>
      <c r="J23" s="61"/>
      <c r="K23" s="61"/>
      <c r="L23" s="61" t="s">
        <v>95</v>
      </c>
      <c r="M23" s="61"/>
      <c r="N23" s="61"/>
      <c r="O23" s="61"/>
      <c r="P23" s="61"/>
    </row>
    <row r="24" spans="1:16" ht="24.75" x14ac:dyDescent="0.25">
      <c r="A24" s="5" t="s">
        <v>96</v>
      </c>
      <c r="B24" s="5" t="s">
        <v>97</v>
      </c>
      <c r="C24" s="5" t="s">
        <v>98</v>
      </c>
      <c r="D24" s="5" t="s">
        <v>99</v>
      </c>
      <c r="F24" s="5" t="s">
        <v>100</v>
      </c>
      <c r="G24" s="5" t="s">
        <v>101</v>
      </c>
      <c r="H24" s="5" t="s">
        <v>102</v>
      </c>
      <c r="I24" s="5" t="s">
        <v>103</v>
      </c>
      <c r="J24" s="5" t="s">
        <v>104</v>
      </c>
      <c r="K24" s="5" t="s">
        <v>105</v>
      </c>
      <c r="L24" s="14" t="s">
        <v>106</v>
      </c>
      <c r="M24" s="14" t="s">
        <v>107</v>
      </c>
      <c r="N24" s="14" t="s">
        <v>108</v>
      </c>
      <c r="O24" s="14" t="s">
        <v>109</v>
      </c>
      <c r="P24" s="14" t="s">
        <v>105</v>
      </c>
    </row>
    <row r="25" spans="1:16" x14ac:dyDescent="0.25">
      <c r="A25" s="2" t="s">
        <v>110</v>
      </c>
      <c r="B25" s="21">
        <v>1200</v>
      </c>
      <c r="C25" s="22">
        <v>0.05</v>
      </c>
      <c r="D25" s="22">
        <v>0.04</v>
      </c>
      <c r="F25" s="2" t="s">
        <v>111</v>
      </c>
      <c r="G25" s="21">
        <v>2000</v>
      </c>
      <c r="H25" s="23">
        <v>1</v>
      </c>
      <c r="I25" s="22">
        <v>0.31</v>
      </c>
      <c r="J25" s="24">
        <v>1</v>
      </c>
      <c r="K25" s="25" t="s">
        <v>39</v>
      </c>
      <c r="L25" s="2" t="s">
        <v>112</v>
      </c>
      <c r="M25" s="25">
        <v>1</v>
      </c>
      <c r="N25" s="21">
        <v>4500</v>
      </c>
      <c r="O25" s="25">
        <v>3</v>
      </c>
      <c r="P25" s="25" t="s">
        <v>113</v>
      </c>
    </row>
    <row r="26" spans="1:16" x14ac:dyDescent="0.25">
      <c r="A26" s="2" t="s">
        <v>114</v>
      </c>
      <c r="B26" s="21">
        <v>600</v>
      </c>
      <c r="C26" s="22">
        <v>0.08</v>
      </c>
      <c r="D26" s="22">
        <v>0.06</v>
      </c>
      <c r="F26" s="2" t="s">
        <v>115</v>
      </c>
      <c r="G26" s="21">
        <v>1550</v>
      </c>
      <c r="H26" s="23">
        <v>1</v>
      </c>
      <c r="I26" s="22">
        <v>0.31</v>
      </c>
      <c r="J26" s="24">
        <v>1</v>
      </c>
      <c r="K26" s="25" t="s">
        <v>116</v>
      </c>
      <c r="L26" s="2" t="s">
        <v>117</v>
      </c>
      <c r="M26" s="25">
        <v>1</v>
      </c>
      <c r="N26" s="21">
        <v>2800</v>
      </c>
      <c r="O26" s="25">
        <v>4</v>
      </c>
      <c r="P26" s="25" t="s">
        <v>116</v>
      </c>
    </row>
    <row r="27" spans="1:16" x14ac:dyDescent="0.25">
      <c r="A27" s="2" t="s">
        <v>118</v>
      </c>
      <c r="B27" s="21">
        <v>180</v>
      </c>
      <c r="C27" s="22">
        <v>0.05</v>
      </c>
      <c r="D27" s="22">
        <v>0.04</v>
      </c>
      <c r="F27" s="2" t="s">
        <v>119</v>
      </c>
      <c r="G27" s="21">
        <v>1700</v>
      </c>
      <c r="H27" s="23">
        <v>1</v>
      </c>
      <c r="I27" s="22">
        <v>0.31</v>
      </c>
      <c r="J27" s="24">
        <v>6</v>
      </c>
      <c r="K27" s="25" t="s">
        <v>113</v>
      </c>
      <c r="L27" s="2" t="s">
        <v>120</v>
      </c>
      <c r="M27" s="25">
        <v>2</v>
      </c>
      <c r="N27" s="21">
        <v>14000</v>
      </c>
      <c r="O27" s="25">
        <v>5</v>
      </c>
      <c r="P27" s="25" t="s">
        <v>121</v>
      </c>
    </row>
    <row r="28" spans="1:16" x14ac:dyDescent="0.25">
      <c r="A28" s="2" t="s">
        <v>122</v>
      </c>
      <c r="B28" s="21">
        <v>420</v>
      </c>
      <c r="C28" s="22">
        <v>0.06</v>
      </c>
      <c r="D28" s="22">
        <v>0.05</v>
      </c>
      <c r="F28" s="2" t="s">
        <v>123</v>
      </c>
      <c r="G28" s="21">
        <v>1400</v>
      </c>
      <c r="H28" s="23">
        <v>0.5</v>
      </c>
      <c r="I28" s="22">
        <v>0.31</v>
      </c>
      <c r="J28" s="24">
        <v>9</v>
      </c>
      <c r="K28" s="25" t="s">
        <v>124</v>
      </c>
      <c r="L28" s="2" t="s">
        <v>125</v>
      </c>
      <c r="M28" s="25">
        <v>1</v>
      </c>
      <c r="N28" s="21">
        <v>3600</v>
      </c>
      <c r="O28" s="25">
        <v>4</v>
      </c>
      <c r="P28" s="25" t="s">
        <v>126</v>
      </c>
    </row>
    <row r="29" spans="1:16" x14ac:dyDescent="0.25">
      <c r="A29" s="2" t="s">
        <v>127</v>
      </c>
      <c r="B29" s="21">
        <v>210</v>
      </c>
      <c r="C29" s="22">
        <v>0.04</v>
      </c>
      <c r="D29" s="22">
        <v>0.04</v>
      </c>
      <c r="F29" s="2" t="s">
        <v>128</v>
      </c>
      <c r="G29" s="21">
        <v>1600</v>
      </c>
      <c r="H29" s="23">
        <v>1</v>
      </c>
      <c r="I29" s="22">
        <v>0.31</v>
      </c>
      <c r="J29" s="24">
        <v>13</v>
      </c>
      <c r="K29" s="25" t="s">
        <v>129</v>
      </c>
    </row>
    <row r="30" spans="1:16" x14ac:dyDescent="0.25">
      <c r="A30" s="2" t="s">
        <v>130</v>
      </c>
      <c r="B30" s="21">
        <v>240</v>
      </c>
      <c r="C30" s="22">
        <v>0.04</v>
      </c>
      <c r="D30" s="22">
        <v>0.04</v>
      </c>
    </row>
    <row r="31" spans="1:16" ht="20.100000000000001" customHeight="1" x14ac:dyDescent="0.25">
      <c r="F31" s="61" t="s">
        <v>131</v>
      </c>
      <c r="G31" s="61"/>
      <c r="H31" s="61"/>
      <c r="I31" s="61"/>
      <c r="J31" s="61"/>
    </row>
    <row r="32" spans="1:16" x14ac:dyDescent="0.25">
      <c r="F32" s="2" t="s">
        <v>132</v>
      </c>
      <c r="G32" s="21">
        <v>12000</v>
      </c>
      <c r="I32" s="2" t="s">
        <v>133</v>
      </c>
      <c r="J32" s="26">
        <f>IF(G37=0,G35/MAX(1,G38-G39),G35*(G37/12)/(1-(1+G37/12)^-(G38-G39)))</f>
        <v>613.60669509813852</v>
      </c>
    </row>
    <row r="33" spans="6:7" x14ac:dyDescent="0.25">
      <c r="F33" s="2" t="s">
        <v>134</v>
      </c>
      <c r="G33" s="21">
        <v>30000</v>
      </c>
    </row>
    <row r="34" spans="6:7" x14ac:dyDescent="0.25">
      <c r="F34" s="2" t="s">
        <v>135</v>
      </c>
      <c r="G34" s="24">
        <v>1</v>
      </c>
    </row>
    <row r="35" spans="6:7" x14ac:dyDescent="0.25">
      <c r="F35" s="2" t="s">
        <v>136</v>
      </c>
      <c r="G35" s="21">
        <v>18000</v>
      </c>
    </row>
    <row r="36" spans="6:7" x14ac:dyDescent="0.25">
      <c r="F36" s="2" t="s">
        <v>137</v>
      </c>
      <c r="G36" s="24">
        <v>1</v>
      </c>
    </row>
    <row r="37" spans="6:7" x14ac:dyDescent="0.25">
      <c r="F37" s="2" t="s">
        <v>138</v>
      </c>
      <c r="G37" s="22">
        <v>8.5000000000000006E-2</v>
      </c>
    </row>
    <row r="38" spans="6:7" x14ac:dyDescent="0.25">
      <c r="F38" s="2" t="s">
        <v>139</v>
      </c>
      <c r="G38" s="24">
        <v>36</v>
      </c>
    </row>
    <row r="39" spans="6:7" x14ac:dyDescent="0.25">
      <c r="F39" s="2" t="s">
        <v>140</v>
      </c>
      <c r="G39" s="24">
        <v>3</v>
      </c>
    </row>
    <row r="40" spans="6:7" x14ac:dyDescent="0.25">
      <c r="F40" s="2" t="s">
        <v>141</v>
      </c>
      <c r="G40" s="22">
        <v>0.25</v>
      </c>
    </row>
    <row r="41" spans="6:7" x14ac:dyDescent="0.25">
      <c r="F41" s="2" t="s">
        <v>142</v>
      </c>
      <c r="G41" s="22">
        <v>7.0000000000000007E-2</v>
      </c>
    </row>
    <row r="42" spans="6:7" x14ac:dyDescent="0.25">
      <c r="F42" s="2" t="s">
        <v>143</v>
      </c>
      <c r="G42" s="22">
        <v>0.05</v>
      </c>
    </row>
  </sheetData>
  <mergeCells count="10">
    <mergeCell ref="F31:J31"/>
    <mergeCell ref="L23:P23"/>
    <mergeCell ref="A16:M16"/>
    <mergeCell ref="I5:J9"/>
    <mergeCell ref="A23:D23"/>
    <mergeCell ref="F23:K23"/>
    <mergeCell ref="A4:D4"/>
    <mergeCell ref="A1:P2"/>
    <mergeCell ref="G4:J4"/>
    <mergeCell ref="A11:H11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O72"/>
  <sheetViews>
    <sheetView showGridLines="0" workbookViewId="0"/>
  </sheetViews>
  <sheetFormatPr baseColWidth="10" defaultColWidth="9.140625" defaultRowHeight="15" x14ac:dyDescent="0.25"/>
  <cols>
    <col min="1" max="1" width="16" customWidth="1"/>
    <col min="2" max="2" width="28" customWidth="1"/>
    <col min="3" max="38" width="10" customWidth="1"/>
    <col min="39" max="41" width="13" customWidth="1"/>
  </cols>
  <sheetData>
    <row r="1" spans="1:41" ht="24" customHeight="1" x14ac:dyDescent="0.25">
      <c r="A1" s="60" t="s">
        <v>144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</row>
    <row r="2" spans="1:41" ht="21.95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</row>
    <row r="3" spans="1:41" x14ac:dyDescent="0.25">
      <c r="A3" s="1" t="s">
        <v>145</v>
      </c>
    </row>
    <row r="4" spans="1:41" ht="18" customHeight="1" x14ac:dyDescent="0.25">
      <c r="C4" s="70" t="s">
        <v>146</v>
      </c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 t="s">
        <v>147</v>
      </c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 t="s">
        <v>148</v>
      </c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 t="s">
        <v>149</v>
      </c>
      <c r="AN4" s="70"/>
      <c r="AO4" s="70"/>
    </row>
    <row r="5" spans="1:41" ht="18" customHeight="1" x14ac:dyDescent="0.25">
      <c r="C5" s="27">
        <v>46023</v>
      </c>
      <c r="D5" s="27">
        <v>46054</v>
      </c>
      <c r="E5" s="27">
        <v>46082</v>
      </c>
      <c r="F5" s="27">
        <v>46113</v>
      </c>
      <c r="G5" s="27">
        <v>46143</v>
      </c>
      <c r="H5" s="27">
        <v>46174</v>
      </c>
      <c r="I5" s="27">
        <v>46204</v>
      </c>
      <c r="J5" s="27">
        <v>46235</v>
      </c>
      <c r="K5" s="27">
        <v>46266</v>
      </c>
      <c r="L5" s="27">
        <v>46296</v>
      </c>
      <c r="M5" s="27">
        <v>46327</v>
      </c>
      <c r="N5" s="27">
        <v>46357</v>
      </c>
      <c r="O5" s="27">
        <v>46388</v>
      </c>
      <c r="P5" s="27">
        <v>46419</v>
      </c>
      <c r="Q5" s="27">
        <v>46447</v>
      </c>
      <c r="R5" s="27">
        <v>46478</v>
      </c>
      <c r="S5" s="27">
        <v>46508</v>
      </c>
      <c r="T5" s="27">
        <v>46539</v>
      </c>
      <c r="U5" s="27">
        <v>46569</v>
      </c>
      <c r="V5" s="27">
        <v>46600</v>
      </c>
      <c r="W5" s="27">
        <v>46631</v>
      </c>
      <c r="X5" s="27">
        <v>46661</v>
      </c>
      <c r="Y5" s="27">
        <v>46692</v>
      </c>
      <c r="Z5" s="27">
        <v>46722</v>
      </c>
      <c r="AA5" s="27">
        <v>46753</v>
      </c>
      <c r="AB5" s="27">
        <v>46784</v>
      </c>
      <c r="AC5" s="27">
        <v>46813</v>
      </c>
      <c r="AD5" s="27">
        <v>46844</v>
      </c>
      <c r="AE5" s="27">
        <v>46874</v>
      </c>
      <c r="AF5" s="27">
        <v>46905</v>
      </c>
      <c r="AG5" s="27">
        <v>46935</v>
      </c>
      <c r="AH5" s="27">
        <v>46966</v>
      </c>
      <c r="AI5" s="27">
        <v>46997</v>
      </c>
      <c r="AJ5" s="27">
        <v>47027</v>
      </c>
      <c r="AK5" s="27">
        <v>47058</v>
      </c>
      <c r="AL5" s="27">
        <v>47088</v>
      </c>
      <c r="AM5" s="28" t="s">
        <v>146</v>
      </c>
      <c r="AN5" s="28" t="s">
        <v>147</v>
      </c>
      <c r="AO5" s="28" t="s">
        <v>148</v>
      </c>
    </row>
    <row r="6" spans="1:41" x14ac:dyDescent="0.25">
      <c r="C6" s="29">
        <v>1</v>
      </c>
      <c r="D6" s="29">
        <v>2</v>
      </c>
      <c r="E6" s="29">
        <v>3</v>
      </c>
      <c r="F6" s="29">
        <v>4</v>
      </c>
      <c r="G6" s="29">
        <v>5</v>
      </c>
      <c r="H6" s="29">
        <v>6</v>
      </c>
      <c r="I6" s="29">
        <v>7</v>
      </c>
      <c r="J6" s="29">
        <v>8</v>
      </c>
      <c r="K6" s="29">
        <v>9</v>
      </c>
      <c r="L6" s="29">
        <v>10</v>
      </c>
      <c r="M6" s="29">
        <v>11</v>
      </c>
      <c r="N6" s="29">
        <v>12</v>
      </c>
      <c r="O6" s="29">
        <v>13</v>
      </c>
      <c r="P6" s="29">
        <v>14</v>
      </c>
      <c r="Q6" s="29">
        <v>15</v>
      </c>
      <c r="R6" s="29">
        <v>16</v>
      </c>
      <c r="S6" s="29">
        <v>17</v>
      </c>
      <c r="T6" s="29">
        <v>18</v>
      </c>
      <c r="U6" s="29">
        <v>19</v>
      </c>
      <c r="V6" s="29">
        <v>20</v>
      </c>
      <c r="W6" s="29">
        <v>21</v>
      </c>
      <c r="X6" s="29">
        <v>22</v>
      </c>
      <c r="Y6" s="29">
        <v>23</v>
      </c>
      <c r="Z6" s="29">
        <v>24</v>
      </c>
      <c r="AA6" s="29">
        <v>25</v>
      </c>
      <c r="AB6" s="29">
        <v>26</v>
      </c>
      <c r="AC6" s="29">
        <v>27</v>
      </c>
      <c r="AD6" s="29">
        <v>28</v>
      </c>
      <c r="AE6" s="29">
        <v>29</v>
      </c>
      <c r="AF6" s="29">
        <v>30</v>
      </c>
      <c r="AG6" s="29">
        <v>31</v>
      </c>
      <c r="AH6" s="29">
        <v>32</v>
      </c>
      <c r="AI6" s="29">
        <v>33</v>
      </c>
      <c r="AJ6" s="29">
        <v>34</v>
      </c>
      <c r="AK6" s="29">
        <v>35</v>
      </c>
      <c r="AL6" s="29">
        <v>36</v>
      </c>
      <c r="AM6" s="30" t="s">
        <v>150</v>
      </c>
      <c r="AN6" s="30" t="s">
        <v>151</v>
      </c>
      <c r="AO6" s="30" t="s">
        <v>152</v>
      </c>
    </row>
    <row r="7" spans="1:41" ht="18" customHeight="1" x14ac:dyDescent="0.25">
      <c r="A7" s="66" t="s">
        <v>153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9"/>
      <c r="AN7" s="69"/>
      <c r="AO7" s="69"/>
    </row>
    <row r="8" spans="1:41" x14ac:dyDescent="0.25">
      <c r="A8" s="31" t="s">
        <v>154</v>
      </c>
      <c r="B8" s="32" t="str">
        <f>Supuestos!B13</f>
        <v>Suscripción mensual oficinas</v>
      </c>
      <c r="C8" s="33">
        <f t="shared" ref="C8:AL8" si="0">C60*C64</f>
        <v>4800</v>
      </c>
      <c r="D8" s="33">
        <f t="shared" si="0"/>
        <v>5440</v>
      </c>
      <c r="E8" s="33">
        <f t="shared" si="0"/>
        <v>5760</v>
      </c>
      <c r="F8" s="33">
        <f t="shared" si="0"/>
        <v>6400</v>
      </c>
      <c r="G8" s="33">
        <f t="shared" si="0"/>
        <v>7040</v>
      </c>
      <c r="H8" s="33">
        <f t="shared" si="0"/>
        <v>7680</v>
      </c>
      <c r="I8" s="33">
        <f t="shared" si="0"/>
        <v>8320</v>
      </c>
      <c r="J8" s="33">
        <f t="shared" si="0"/>
        <v>8960</v>
      </c>
      <c r="K8" s="33">
        <f t="shared" si="0"/>
        <v>9600</v>
      </c>
      <c r="L8" s="33">
        <f t="shared" si="0"/>
        <v>10240</v>
      </c>
      <c r="M8" s="33">
        <f t="shared" si="0"/>
        <v>10880</v>
      </c>
      <c r="N8" s="33">
        <f t="shared" si="0"/>
        <v>11520</v>
      </c>
      <c r="O8" s="33">
        <f t="shared" si="0"/>
        <v>6328.3200000000006</v>
      </c>
      <c r="P8" s="33">
        <f t="shared" si="0"/>
        <v>7172.0960000000014</v>
      </c>
      <c r="Q8" s="33">
        <f t="shared" si="0"/>
        <v>7593.9840000000004</v>
      </c>
      <c r="R8" s="33">
        <f t="shared" si="0"/>
        <v>8437.76</v>
      </c>
      <c r="S8" s="33">
        <f t="shared" si="0"/>
        <v>9281.5360000000001</v>
      </c>
      <c r="T8" s="33">
        <f t="shared" si="0"/>
        <v>10125.312</v>
      </c>
      <c r="U8" s="33">
        <f t="shared" si="0"/>
        <v>10969.088000000002</v>
      </c>
      <c r="V8" s="33">
        <f t="shared" si="0"/>
        <v>11812.864000000001</v>
      </c>
      <c r="W8" s="33">
        <f t="shared" si="0"/>
        <v>12656.640000000001</v>
      </c>
      <c r="X8" s="33">
        <f t="shared" si="0"/>
        <v>13500.416000000001</v>
      </c>
      <c r="Y8" s="33">
        <f t="shared" si="0"/>
        <v>14344.192000000003</v>
      </c>
      <c r="Z8" s="33">
        <f t="shared" si="0"/>
        <v>15187.968000000001</v>
      </c>
      <c r="AA8" s="33">
        <f t="shared" si="0"/>
        <v>7952.1669120000015</v>
      </c>
      <c r="AB8" s="33">
        <f t="shared" si="0"/>
        <v>9012.4558336000009</v>
      </c>
      <c r="AC8" s="33">
        <f t="shared" si="0"/>
        <v>9542.6002944000011</v>
      </c>
      <c r="AD8" s="33">
        <f t="shared" si="0"/>
        <v>10602.889216000001</v>
      </c>
      <c r="AE8" s="33">
        <f t="shared" si="0"/>
        <v>11663.1781376</v>
      </c>
      <c r="AF8" s="33">
        <f t="shared" si="0"/>
        <v>12723.467059200002</v>
      </c>
      <c r="AG8" s="33">
        <f t="shared" si="0"/>
        <v>13783.755980800002</v>
      </c>
      <c r="AH8" s="33">
        <f t="shared" si="0"/>
        <v>14844.044902400003</v>
      </c>
      <c r="AI8" s="33">
        <f t="shared" si="0"/>
        <v>15904.333824000003</v>
      </c>
      <c r="AJ8" s="33">
        <f t="shared" si="0"/>
        <v>16964.622745600005</v>
      </c>
      <c r="AK8" s="33">
        <f t="shared" si="0"/>
        <v>18024.911667200002</v>
      </c>
      <c r="AL8" s="33">
        <f t="shared" si="0"/>
        <v>19085.200588800002</v>
      </c>
      <c r="AM8" s="34">
        <f>SUM(C8:N8)</f>
        <v>96640</v>
      </c>
      <c r="AN8" s="34">
        <f>SUM(O8:Z8)</f>
        <v>127410.17600000001</v>
      </c>
      <c r="AO8" s="34">
        <f>SUM(AA8:AL8)</f>
        <v>160103.62716160004</v>
      </c>
    </row>
    <row r="9" spans="1:41" x14ac:dyDescent="0.25">
      <c r="A9" s="31" t="s">
        <v>154</v>
      </c>
      <c r="B9" s="32" t="str">
        <f>Supuestos!B14</f>
        <v>Instalaciones y rediseños</v>
      </c>
      <c r="C9" s="33">
        <f t="shared" ref="C9:AL9" si="1">C61*C65</f>
        <v>2240</v>
      </c>
      <c r="D9" s="33">
        <f t="shared" si="1"/>
        <v>2800</v>
      </c>
      <c r="E9" s="33">
        <f t="shared" si="1"/>
        <v>3360</v>
      </c>
      <c r="F9" s="33">
        <f t="shared" si="1"/>
        <v>3360</v>
      </c>
      <c r="G9" s="33">
        <f t="shared" si="1"/>
        <v>3920</v>
      </c>
      <c r="H9" s="33">
        <f t="shared" si="1"/>
        <v>3920</v>
      </c>
      <c r="I9" s="33">
        <f t="shared" si="1"/>
        <v>4480</v>
      </c>
      <c r="J9" s="33">
        <f t="shared" si="1"/>
        <v>4480</v>
      </c>
      <c r="K9" s="33">
        <f t="shared" si="1"/>
        <v>5040</v>
      </c>
      <c r="L9" s="33">
        <f t="shared" si="1"/>
        <v>5040</v>
      </c>
      <c r="M9" s="33">
        <f t="shared" si="1"/>
        <v>5600</v>
      </c>
      <c r="N9" s="33">
        <f t="shared" si="1"/>
        <v>5600</v>
      </c>
      <c r="O9" s="33">
        <f t="shared" si="1"/>
        <v>2627.52</v>
      </c>
      <c r="P9" s="33">
        <f t="shared" si="1"/>
        <v>3284.4</v>
      </c>
      <c r="Q9" s="33">
        <f t="shared" si="1"/>
        <v>3941.28</v>
      </c>
      <c r="R9" s="33">
        <f t="shared" si="1"/>
        <v>3941.28</v>
      </c>
      <c r="S9" s="33">
        <f t="shared" si="1"/>
        <v>4598.16</v>
      </c>
      <c r="T9" s="33">
        <f t="shared" si="1"/>
        <v>4598.16</v>
      </c>
      <c r="U9" s="33">
        <f t="shared" si="1"/>
        <v>5255.04</v>
      </c>
      <c r="V9" s="33">
        <f t="shared" si="1"/>
        <v>5255.04</v>
      </c>
      <c r="W9" s="33">
        <f t="shared" si="1"/>
        <v>5911.92</v>
      </c>
      <c r="X9" s="33">
        <f t="shared" si="1"/>
        <v>5911.92</v>
      </c>
      <c r="Y9" s="33">
        <f t="shared" si="1"/>
        <v>6568.8</v>
      </c>
      <c r="Z9" s="33">
        <f t="shared" si="1"/>
        <v>6568.8</v>
      </c>
      <c r="AA9" s="33">
        <f t="shared" si="1"/>
        <v>3001.678848</v>
      </c>
      <c r="AB9" s="33">
        <f t="shared" si="1"/>
        <v>3752.0985600000004</v>
      </c>
      <c r="AC9" s="33">
        <f t="shared" si="1"/>
        <v>4502.5182720000003</v>
      </c>
      <c r="AD9" s="33">
        <f t="shared" si="1"/>
        <v>4502.5182720000003</v>
      </c>
      <c r="AE9" s="33">
        <f t="shared" si="1"/>
        <v>5252.9379840000001</v>
      </c>
      <c r="AF9" s="33">
        <f t="shared" si="1"/>
        <v>5252.9379840000001</v>
      </c>
      <c r="AG9" s="33">
        <f t="shared" si="1"/>
        <v>6003.357696</v>
      </c>
      <c r="AH9" s="33">
        <f t="shared" si="1"/>
        <v>6003.357696</v>
      </c>
      <c r="AI9" s="33">
        <f t="shared" si="1"/>
        <v>6753.7774080000008</v>
      </c>
      <c r="AJ9" s="33">
        <f t="shared" si="1"/>
        <v>6753.7774080000008</v>
      </c>
      <c r="AK9" s="33">
        <f t="shared" si="1"/>
        <v>7504.1971200000007</v>
      </c>
      <c r="AL9" s="33">
        <f t="shared" si="1"/>
        <v>7504.1971200000007</v>
      </c>
      <c r="AM9" s="34">
        <f>SUM(C9:N9)</f>
        <v>49840</v>
      </c>
      <c r="AN9" s="34">
        <f>SUM(O9:Z9)</f>
        <v>58462.32</v>
      </c>
      <c r="AO9" s="34">
        <f>SUM(AA9:AL9)</f>
        <v>66787.354368</v>
      </c>
    </row>
    <row r="10" spans="1:41" x14ac:dyDescent="0.25">
      <c r="A10" s="31" t="s">
        <v>154</v>
      </c>
      <c r="B10" s="32" t="str">
        <f>Supuestos!B15</f>
        <v>Kits corporativos verdes</v>
      </c>
      <c r="C10" s="33">
        <f t="shared" ref="C10:AL10" si="2">C62*C66</f>
        <v>1950</v>
      </c>
      <c r="D10" s="33">
        <f t="shared" si="2"/>
        <v>2340</v>
      </c>
      <c r="E10" s="33">
        <f t="shared" si="2"/>
        <v>2730</v>
      </c>
      <c r="F10" s="33">
        <f t="shared" si="2"/>
        <v>3120</v>
      </c>
      <c r="G10" s="33">
        <f t="shared" si="2"/>
        <v>3510</v>
      </c>
      <c r="H10" s="33">
        <f t="shared" si="2"/>
        <v>3900</v>
      </c>
      <c r="I10" s="33">
        <f t="shared" si="2"/>
        <v>4290</v>
      </c>
      <c r="J10" s="33">
        <f t="shared" si="2"/>
        <v>4680</v>
      </c>
      <c r="K10" s="33">
        <f t="shared" si="2"/>
        <v>5070</v>
      </c>
      <c r="L10" s="33">
        <f t="shared" si="2"/>
        <v>5850</v>
      </c>
      <c r="M10" s="33">
        <f t="shared" si="2"/>
        <v>7020</v>
      </c>
      <c r="N10" s="33">
        <f t="shared" si="2"/>
        <v>10140</v>
      </c>
      <c r="O10" s="33">
        <f t="shared" si="2"/>
        <v>2711.4749999999999</v>
      </c>
      <c r="P10" s="33">
        <f t="shared" si="2"/>
        <v>3253.77</v>
      </c>
      <c r="Q10" s="33">
        <f t="shared" si="2"/>
        <v>3796.0650000000001</v>
      </c>
      <c r="R10" s="33">
        <f t="shared" si="2"/>
        <v>4338.3600000000006</v>
      </c>
      <c r="S10" s="33">
        <f t="shared" si="2"/>
        <v>4880.6550000000007</v>
      </c>
      <c r="T10" s="33">
        <f t="shared" si="2"/>
        <v>5422.95</v>
      </c>
      <c r="U10" s="33">
        <f t="shared" si="2"/>
        <v>5965.2449999999999</v>
      </c>
      <c r="V10" s="33">
        <f t="shared" si="2"/>
        <v>6507.54</v>
      </c>
      <c r="W10" s="33">
        <f t="shared" si="2"/>
        <v>7049.835</v>
      </c>
      <c r="X10" s="33">
        <f t="shared" si="2"/>
        <v>8134.4250000000002</v>
      </c>
      <c r="Y10" s="33">
        <f t="shared" si="2"/>
        <v>9761.3100000000013</v>
      </c>
      <c r="Z10" s="33">
        <f t="shared" si="2"/>
        <v>14099.67</v>
      </c>
      <c r="AA10" s="33">
        <f t="shared" si="2"/>
        <v>3574.8086400000007</v>
      </c>
      <c r="AB10" s="33">
        <f t="shared" si="2"/>
        <v>4289.7703680000004</v>
      </c>
      <c r="AC10" s="33">
        <f t="shared" si="2"/>
        <v>5004.7320960000006</v>
      </c>
      <c r="AD10" s="33">
        <f t="shared" si="2"/>
        <v>5719.6938240000009</v>
      </c>
      <c r="AE10" s="33">
        <f t="shared" si="2"/>
        <v>6434.6555520000011</v>
      </c>
      <c r="AF10" s="33">
        <f t="shared" si="2"/>
        <v>7149.6172800000013</v>
      </c>
      <c r="AG10" s="33">
        <f t="shared" si="2"/>
        <v>7864.5790080000015</v>
      </c>
      <c r="AH10" s="33">
        <f t="shared" si="2"/>
        <v>8579.5407360000008</v>
      </c>
      <c r="AI10" s="33">
        <f t="shared" si="2"/>
        <v>9294.5024640000011</v>
      </c>
      <c r="AJ10" s="33">
        <f t="shared" si="2"/>
        <v>10724.42592</v>
      </c>
      <c r="AK10" s="33">
        <f t="shared" si="2"/>
        <v>12869.311104000002</v>
      </c>
      <c r="AL10" s="33">
        <f t="shared" si="2"/>
        <v>18589.004928000002</v>
      </c>
      <c r="AM10" s="34">
        <f>SUM(C10:N10)</f>
        <v>54600</v>
      </c>
      <c r="AN10" s="34">
        <f>SUM(O10:Z10)</f>
        <v>75921.3</v>
      </c>
      <c r="AO10" s="34">
        <f>SUM(AA10:AL10)</f>
        <v>100094.64192000002</v>
      </c>
    </row>
    <row r="11" spans="1:41" x14ac:dyDescent="0.25">
      <c r="A11" s="35" t="s">
        <v>154</v>
      </c>
      <c r="B11" s="36" t="s">
        <v>155</v>
      </c>
      <c r="C11" s="37">
        <f t="shared" ref="C11:AL11" si="3">SUM(C8:C10)</f>
        <v>8990</v>
      </c>
      <c r="D11" s="37">
        <f t="shared" si="3"/>
        <v>10580</v>
      </c>
      <c r="E11" s="37">
        <f t="shared" si="3"/>
        <v>11850</v>
      </c>
      <c r="F11" s="37">
        <f t="shared" si="3"/>
        <v>12880</v>
      </c>
      <c r="G11" s="37">
        <f t="shared" si="3"/>
        <v>14470</v>
      </c>
      <c r="H11" s="37">
        <f t="shared" si="3"/>
        <v>15500</v>
      </c>
      <c r="I11" s="37">
        <f t="shared" si="3"/>
        <v>17090</v>
      </c>
      <c r="J11" s="37">
        <f t="shared" si="3"/>
        <v>18120</v>
      </c>
      <c r="K11" s="37">
        <f t="shared" si="3"/>
        <v>19710</v>
      </c>
      <c r="L11" s="37">
        <f t="shared" si="3"/>
        <v>21130</v>
      </c>
      <c r="M11" s="37">
        <f t="shared" si="3"/>
        <v>23500</v>
      </c>
      <c r="N11" s="37">
        <f t="shared" si="3"/>
        <v>27260</v>
      </c>
      <c r="O11" s="37">
        <f t="shared" si="3"/>
        <v>11667.315000000001</v>
      </c>
      <c r="P11" s="37">
        <f t="shared" si="3"/>
        <v>13710.266000000001</v>
      </c>
      <c r="Q11" s="37">
        <f t="shared" si="3"/>
        <v>15331.329000000002</v>
      </c>
      <c r="R11" s="37">
        <f t="shared" si="3"/>
        <v>16717.400000000001</v>
      </c>
      <c r="S11" s="37">
        <f t="shared" si="3"/>
        <v>18760.351000000002</v>
      </c>
      <c r="T11" s="37">
        <f t="shared" si="3"/>
        <v>20146.421999999999</v>
      </c>
      <c r="U11" s="37">
        <f t="shared" si="3"/>
        <v>22189.373</v>
      </c>
      <c r="V11" s="37">
        <f t="shared" si="3"/>
        <v>23575.444000000003</v>
      </c>
      <c r="W11" s="37">
        <f t="shared" si="3"/>
        <v>25618.395</v>
      </c>
      <c r="X11" s="37">
        <f t="shared" si="3"/>
        <v>27546.761000000002</v>
      </c>
      <c r="Y11" s="37">
        <f t="shared" si="3"/>
        <v>30674.302000000003</v>
      </c>
      <c r="Z11" s="37">
        <f t="shared" si="3"/>
        <v>35856.438000000002</v>
      </c>
      <c r="AA11" s="37">
        <f t="shared" si="3"/>
        <v>14528.654400000003</v>
      </c>
      <c r="AB11" s="37">
        <f t="shared" si="3"/>
        <v>17054.324761600001</v>
      </c>
      <c r="AC11" s="37">
        <f t="shared" si="3"/>
        <v>19049.8506624</v>
      </c>
      <c r="AD11" s="37">
        <f t="shared" si="3"/>
        <v>20825.101312000003</v>
      </c>
      <c r="AE11" s="37">
        <f t="shared" si="3"/>
        <v>23350.7716736</v>
      </c>
      <c r="AF11" s="37">
        <f t="shared" si="3"/>
        <v>25126.022323200003</v>
      </c>
      <c r="AG11" s="37">
        <f t="shared" si="3"/>
        <v>27651.692684800004</v>
      </c>
      <c r="AH11" s="37">
        <f t="shared" si="3"/>
        <v>29426.943334400006</v>
      </c>
      <c r="AI11" s="37">
        <f t="shared" si="3"/>
        <v>31952.613696000004</v>
      </c>
      <c r="AJ11" s="37">
        <f t="shared" si="3"/>
        <v>34442.826073600008</v>
      </c>
      <c r="AK11" s="37">
        <f t="shared" si="3"/>
        <v>38398.419891200007</v>
      </c>
      <c r="AL11" s="37">
        <f t="shared" si="3"/>
        <v>45178.402636800005</v>
      </c>
      <c r="AM11" s="38">
        <f>SUM(C11:N11)</f>
        <v>201080</v>
      </c>
      <c r="AN11" s="38">
        <f>SUM(O11:Z11)</f>
        <v>261793.796</v>
      </c>
      <c r="AO11" s="38">
        <f>SUM(AA11:AL11)</f>
        <v>326985.62344960007</v>
      </c>
    </row>
    <row r="12" spans="1:41" x14ac:dyDescent="0.25"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40"/>
      <c r="AN12" s="40"/>
      <c r="AO12" s="40"/>
    </row>
    <row r="13" spans="1:41" ht="18" customHeight="1" x14ac:dyDescent="0.25">
      <c r="A13" s="66" t="s">
        <v>156</v>
      </c>
      <c r="B13" s="66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8"/>
      <c r="AN13" s="68"/>
      <c r="AO13" s="68"/>
    </row>
    <row r="14" spans="1:41" x14ac:dyDescent="0.25">
      <c r="A14" s="31" t="s">
        <v>154</v>
      </c>
      <c r="B14" s="32" t="str">
        <f>"Coste variable - "&amp;Supuestos!B13</f>
        <v>Coste variable - Suscripción mensual oficinas</v>
      </c>
      <c r="C14" s="33">
        <f t="shared" ref="C14:AL14" si="4">C60*C68</f>
        <v>1500</v>
      </c>
      <c r="D14" s="33">
        <f t="shared" si="4"/>
        <v>1700</v>
      </c>
      <c r="E14" s="33">
        <f t="shared" si="4"/>
        <v>1800</v>
      </c>
      <c r="F14" s="33">
        <f t="shared" si="4"/>
        <v>2000</v>
      </c>
      <c r="G14" s="33">
        <f t="shared" si="4"/>
        <v>2200</v>
      </c>
      <c r="H14" s="33">
        <f t="shared" si="4"/>
        <v>2400</v>
      </c>
      <c r="I14" s="33">
        <f t="shared" si="4"/>
        <v>2600</v>
      </c>
      <c r="J14" s="33">
        <f t="shared" si="4"/>
        <v>2800</v>
      </c>
      <c r="K14" s="33">
        <f t="shared" si="4"/>
        <v>3000</v>
      </c>
      <c r="L14" s="33">
        <f t="shared" si="4"/>
        <v>3200</v>
      </c>
      <c r="M14" s="33">
        <f t="shared" si="4"/>
        <v>3400</v>
      </c>
      <c r="N14" s="33">
        <f t="shared" si="4"/>
        <v>3600</v>
      </c>
      <c r="O14" s="33">
        <f t="shared" si="4"/>
        <v>1996.8</v>
      </c>
      <c r="P14" s="33">
        <f t="shared" si="4"/>
        <v>2263.04</v>
      </c>
      <c r="Q14" s="33">
        <f t="shared" si="4"/>
        <v>2396.16</v>
      </c>
      <c r="R14" s="33">
        <f t="shared" si="4"/>
        <v>2662.4</v>
      </c>
      <c r="S14" s="33">
        <f t="shared" si="4"/>
        <v>2928.64</v>
      </c>
      <c r="T14" s="33">
        <f t="shared" si="4"/>
        <v>3194.88</v>
      </c>
      <c r="U14" s="33">
        <f t="shared" si="4"/>
        <v>3461.12</v>
      </c>
      <c r="V14" s="33">
        <f t="shared" si="4"/>
        <v>3727.3600000000006</v>
      </c>
      <c r="W14" s="33">
        <f t="shared" si="4"/>
        <v>3993.6</v>
      </c>
      <c r="X14" s="33">
        <f t="shared" si="4"/>
        <v>4259.84</v>
      </c>
      <c r="Y14" s="33">
        <f t="shared" si="4"/>
        <v>4526.08</v>
      </c>
      <c r="Z14" s="33">
        <f t="shared" si="4"/>
        <v>4792.32</v>
      </c>
      <c r="AA14" s="33">
        <f t="shared" si="4"/>
        <v>2533.5398399999999</v>
      </c>
      <c r="AB14" s="33">
        <f t="shared" si="4"/>
        <v>2871.3451519999999</v>
      </c>
      <c r="AC14" s="33">
        <f t="shared" si="4"/>
        <v>3040.2478079999996</v>
      </c>
      <c r="AD14" s="33">
        <f t="shared" si="4"/>
        <v>3378.05312</v>
      </c>
      <c r="AE14" s="33">
        <f t="shared" si="4"/>
        <v>3715.8584319999995</v>
      </c>
      <c r="AF14" s="33">
        <f t="shared" si="4"/>
        <v>4053.663744</v>
      </c>
      <c r="AG14" s="33">
        <f t="shared" si="4"/>
        <v>4391.4690559999999</v>
      </c>
      <c r="AH14" s="33">
        <f t="shared" si="4"/>
        <v>4729.2743680000003</v>
      </c>
      <c r="AI14" s="33">
        <f t="shared" si="4"/>
        <v>5067.0796799999998</v>
      </c>
      <c r="AJ14" s="33">
        <f t="shared" si="4"/>
        <v>5404.8849920000002</v>
      </c>
      <c r="AK14" s="33">
        <f t="shared" si="4"/>
        <v>5742.6903039999997</v>
      </c>
      <c r="AL14" s="33">
        <f t="shared" si="4"/>
        <v>6080.4956159999992</v>
      </c>
      <c r="AM14" s="34">
        <f>SUM(C14:N14)</f>
        <v>30200</v>
      </c>
      <c r="AN14" s="34">
        <f>SUM(O14:Z14)</f>
        <v>40202.239999999998</v>
      </c>
      <c r="AO14" s="34">
        <f>SUM(AA14:AL14)</f>
        <v>51008.602111999993</v>
      </c>
    </row>
    <row r="15" spans="1:41" x14ac:dyDescent="0.25">
      <c r="A15" s="31" t="s">
        <v>154</v>
      </c>
      <c r="B15" s="32" t="str">
        <f>"Coste variable - "&amp;Supuestos!B14</f>
        <v>Coste variable - Instalaciones y rediseños</v>
      </c>
      <c r="C15" s="33">
        <f t="shared" ref="C15:AL15" si="5">C61*C69</f>
        <v>840</v>
      </c>
      <c r="D15" s="33">
        <f t="shared" si="5"/>
        <v>1050</v>
      </c>
      <c r="E15" s="33">
        <f t="shared" si="5"/>
        <v>1260</v>
      </c>
      <c r="F15" s="33">
        <f t="shared" si="5"/>
        <v>1260</v>
      </c>
      <c r="G15" s="33">
        <f t="shared" si="5"/>
        <v>1470</v>
      </c>
      <c r="H15" s="33">
        <f t="shared" si="5"/>
        <v>1470</v>
      </c>
      <c r="I15" s="33">
        <f t="shared" si="5"/>
        <v>1680</v>
      </c>
      <c r="J15" s="33">
        <f t="shared" si="5"/>
        <v>1680</v>
      </c>
      <c r="K15" s="33">
        <f t="shared" si="5"/>
        <v>1890</v>
      </c>
      <c r="L15" s="33">
        <f t="shared" si="5"/>
        <v>1890</v>
      </c>
      <c r="M15" s="33">
        <f t="shared" si="5"/>
        <v>2100</v>
      </c>
      <c r="N15" s="33">
        <f t="shared" si="5"/>
        <v>2100</v>
      </c>
      <c r="O15" s="33">
        <f t="shared" si="5"/>
        <v>994.98</v>
      </c>
      <c r="P15" s="33">
        <f t="shared" si="5"/>
        <v>1243.7250000000001</v>
      </c>
      <c r="Q15" s="33">
        <f t="shared" si="5"/>
        <v>1492.47</v>
      </c>
      <c r="R15" s="33">
        <f t="shared" si="5"/>
        <v>1492.47</v>
      </c>
      <c r="S15" s="33">
        <f t="shared" si="5"/>
        <v>1741.2149999999999</v>
      </c>
      <c r="T15" s="33">
        <f t="shared" si="5"/>
        <v>1741.2149999999999</v>
      </c>
      <c r="U15" s="33">
        <f t="shared" si="5"/>
        <v>1989.96</v>
      </c>
      <c r="V15" s="33">
        <f t="shared" si="5"/>
        <v>1989.96</v>
      </c>
      <c r="W15" s="33">
        <f t="shared" si="5"/>
        <v>2238.7049999999999</v>
      </c>
      <c r="X15" s="33">
        <f t="shared" si="5"/>
        <v>2238.7049999999999</v>
      </c>
      <c r="Y15" s="33">
        <f t="shared" si="5"/>
        <v>2487.4500000000003</v>
      </c>
      <c r="Z15" s="33">
        <f t="shared" si="5"/>
        <v>2487.4500000000003</v>
      </c>
      <c r="AA15" s="33">
        <f t="shared" si="5"/>
        <v>1147.8089280000002</v>
      </c>
      <c r="AB15" s="33">
        <f t="shared" si="5"/>
        <v>1434.7611600000002</v>
      </c>
      <c r="AC15" s="33">
        <f t="shared" si="5"/>
        <v>1721.7133920000001</v>
      </c>
      <c r="AD15" s="33">
        <f t="shared" si="5"/>
        <v>1721.7133920000001</v>
      </c>
      <c r="AE15" s="33">
        <f t="shared" si="5"/>
        <v>2008.6656240000002</v>
      </c>
      <c r="AF15" s="33">
        <f t="shared" si="5"/>
        <v>2008.6656240000002</v>
      </c>
      <c r="AG15" s="33">
        <f t="shared" si="5"/>
        <v>2295.6178560000003</v>
      </c>
      <c r="AH15" s="33">
        <f t="shared" si="5"/>
        <v>2295.6178560000003</v>
      </c>
      <c r="AI15" s="33">
        <f t="shared" si="5"/>
        <v>2582.5700880000004</v>
      </c>
      <c r="AJ15" s="33">
        <f t="shared" si="5"/>
        <v>2582.5700880000004</v>
      </c>
      <c r="AK15" s="33">
        <f t="shared" si="5"/>
        <v>2869.5223200000005</v>
      </c>
      <c r="AL15" s="33">
        <f t="shared" si="5"/>
        <v>2869.5223200000005</v>
      </c>
      <c r="AM15" s="34">
        <f>SUM(C15:N15)</f>
        <v>18690</v>
      </c>
      <c r="AN15" s="34">
        <f>SUM(O15:Z15)</f>
        <v>22138.305</v>
      </c>
      <c r="AO15" s="34">
        <f>SUM(AA15:AL15)</f>
        <v>25538.748648000001</v>
      </c>
    </row>
    <row r="16" spans="1:41" x14ac:dyDescent="0.25">
      <c r="A16" s="31" t="s">
        <v>154</v>
      </c>
      <c r="B16" s="32" t="str">
        <f>"Coste variable - "&amp;Supuestos!B15</f>
        <v>Coste variable - Kits corporativos verdes</v>
      </c>
      <c r="C16" s="33">
        <f t="shared" ref="C16:AL16" si="6">C62*C70</f>
        <v>750</v>
      </c>
      <c r="D16" s="33">
        <f t="shared" si="6"/>
        <v>900</v>
      </c>
      <c r="E16" s="33">
        <f t="shared" si="6"/>
        <v>1050</v>
      </c>
      <c r="F16" s="33">
        <f t="shared" si="6"/>
        <v>1200</v>
      </c>
      <c r="G16" s="33">
        <f t="shared" si="6"/>
        <v>1350</v>
      </c>
      <c r="H16" s="33">
        <f t="shared" si="6"/>
        <v>1500</v>
      </c>
      <c r="I16" s="33">
        <f t="shared" si="6"/>
        <v>1650</v>
      </c>
      <c r="J16" s="33">
        <f t="shared" si="6"/>
        <v>1800</v>
      </c>
      <c r="K16" s="33">
        <f t="shared" si="6"/>
        <v>1950</v>
      </c>
      <c r="L16" s="33">
        <f t="shared" si="6"/>
        <v>2250</v>
      </c>
      <c r="M16" s="33">
        <f t="shared" si="6"/>
        <v>2700</v>
      </c>
      <c r="N16" s="33">
        <f t="shared" si="6"/>
        <v>3900</v>
      </c>
      <c r="O16" s="33">
        <f t="shared" si="6"/>
        <v>1053</v>
      </c>
      <c r="P16" s="33">
        <f t="shared" si="6"/>
        <v>1263.6000000000001</v>
      </c>
      <c r="Q16" s="33">
        <f t="shared" si="6"/>
        <v>1474.2</v>
      </c>
      <c r="R16" s="33">
        <f t="shared" si="6"/>
        <v>1684.8000000000002</v>
      </c>
      <c r="S16" s="33">
        <f t="shared" si="6"/>
        <v>1895.4000000000003</v>
      </c>
      <c r="T16" s="33">
        <f t="shared" si="6"/>
        <v>2106</v>
      </c>
      <c r="U16" s="33">
        <f t="shared" si="6"/>
        <v>2316.6000000000004</v>
      </c>
      <c r="V16" s="33">
        <f t="shared" si="6"/>
        <v>2527.2000000000003</v>
      </c>
      <c r="W16" s="33">
        <f t="shared" si="6"/>
        <v>2737.8</v>
      </c>
      <c r="X16" s="33">
        <f t="shared" si="6"/>
        <v>3159.0000000000005</v>
      </c>
      <c r="Y16" s="33">
        <f t="shared" si="6"/>
        <v>3790.8000000000006</v>
      </c>
      <c r="Z16" s="33">
        <f t="shared" si="6"/>
        <v>5475.6</v>
      </c>
      <c r="AA16" s="33">
        <f t="shared" si="6"/>
        <v>1401.7536000000005</v>
      </c>
      <c r="AB16" s="33">
        <f t="shared" si="6"/>
        <v>1682.1043200000006</v>
      </c>
      <c r="AC16" s="33">
        <f t="shared" si="6"/>
        <v>1962.4550400000005</v>
      </c>
      <c r="AD16" s="33">
        <f t="shared" si="6"/>
        <v>2242.8057600000006</v>
      </c>
      <c r="AE16" s="33">
        <f t="shared" si="6"/>
        <v>2523.1564800000006</v>
      </c>
      <c r="AF16" s="33">
        <f t="shared" si="6"/>
        <v>2803.5072000000009</v>
      </c>
      <c r="AG16" s="33">
        <f t="shared" si="6"/>
        <v>3083.8579200000008</v>
      </c>
      <c r="AH16" s="33">
        <f t="shared" si="6"/>
        <v>3364.2086400000012</v>
      </c>
      <c r="AI16" s="33">
        <f t="shared" si="6"/>
        <v>3644.5593600000011</v>
      </c>
      <c r="AJ16" s="33">
        <f t="shared" si="6"/>
        <v>4205.2608000000009</v>
      </c>
      <c r="AK16" s="33">
        <f t="shared" si="6"/>
        <v>5046.3129600000011</v>
      </c>
      <c r="AL16" s="33">
        <f t="shared" si="6"/>
        <v>7289.1187200000022</v>
      </c>
      <c r="AM16" s="34">
        <f>SUM(C16:N16)</f>
        <v>21000</v>
      </c>
      <c r="AN16" s="34">
        <f>SUM(O16:Z16)</f>
        <v>29484</v>
      </c>
      <c r="AO16" s="34">
        <f>SUM(AA16:AL16)</f>
        <v>39249.100800000015</v>
      </c>
    </row>
    <row r="17" spans="1:41" x14ac:dyDescent="0.25">
      <c r="A17" s="35" t="s">
        <v>154</v>
      </c>
      <c r="B17" s="36" t="s">
        <v>157</v>
      </c>
      <c r="C17" s="37">
        <f t="shared" ref="C17:AL17" si="7">SUM(C14:C16)</f>
        <v>3090</v>
      </c>
      <c r="D17" s="37">
        <f t="shared" si="7"/>
        <v>3650</v>
      </c>
      <c r="E17" s="37">
        <f t="shared" si="7"/>
        <v>4110</v>
      </c>
      <c r="F17" s="37">
        <f t="shared" si="7"/>
        <v>4460</v>
      </c>
      <c r="G17" s="37">
        <f t="shared" si="7"/>
        <v>5020</v>
      </c>
      <c r="H17" s="37">
        <f t="shared" si="7"/>
        <v>5370</v>
      </c>
      <c r="I17" s="37">
        <f t="shared" si="7"/>
        <v>5930</v>
      </c>
      <c r="J17" s="37">
        <f t="shared" si="7"/>
        <v>6280</v>
      </c>
      <c r="K17" s="37">
        <f t="shared" si="7"/>
        <v>6840</v>
      </c>
      <c r="L17" s="37">
        <f t="shared" si="7"/>
        <v>7340</v>
      </c>
      <c r="M17" s="37">
        <f t="shared" si="7"/>
        <v>8200</v>
      </c>
      <c r="N17" s="37">
        <f t="shared" si="7"/>
        <v>9600</v>
      </c>
      <c r="O17" s="37">
        <f t="shared" si="7"/>
        <v>4044.7799999999997</v>
      </c>
      <c r="P17" s="37">
        <f t="shared" si="7"/>
        <v>4770.3650000000007</v>
      </c>
      <c r="Q17" s="37">
        <f t="shared" si="7"/>
        <v>5362.83</v>
      </c>
      <c r="R17" s="37">
        <f t="shared" si="7"/>
        <v>5839.67</v>
      </c>
      <c r="S17" s="37">
        <f t="shared" si="7"/>
        <v>6565.2550000000001</v>
      </c>
      <c r="T17" s="37">
        <f t="shared" si="7"/>
        <v>7042.0950000000003</v>
      </c>
      <c r="U17" s="37">
        <f t="shared" si="7"/>
        <v>7767.68</v>
      </c>
      <c r="V17" s="37">
        <f t="shared" si="7"/>
        <v>8244.52</v>
      </c>
      <c r="W17" s="37">
        <f t="shared" si="7"/>
        <v>8970.1049999999996</v>
      </c>
      <c r="X17" s="37">
        <f t="shared" si="7"/>
        <v>9657.5450000000001</v>
      </c>
      <c r="Y17" s="37">
        <f t="shared" si="7"/>
        <v>10804.330000000002</v>
      </c>
      <c r="Z17" s="37">
        <f t="shared" si="7"/>
        <v>12755.37</v>
      </c>
      <c r="AA17" s="37">
        <f t="shared" si="7"/>
        <v>5083.1023679999998</v>
      </c>
      <c r="AB17" s="37">
        <f t="shared" si="7"/>
        <v>5988.2106320000003</v>
      </c>
      <c r="AC17" s="37">
        <f t="shared" si="7"/>
        <v>6724.4162400000005</v>
      </c>
      <c r="AD17" s="37">
        <f t="shared" si="7"/>
        <v>7342.5722720000012</v>
      </c>
      <c r="AE17" s="37">
        <f t="shared" si="7"/>
        <v>8247.6805359999998</v>
      </c>
      <c r="AF17" s="37">
        <f t="shared" si="7"/>
        <v>8865.8365680000024</v>
      </c>
      <c r="AG17" s="37">
        <f t="shared" si="7"/>
        <v>9770.944832000001</v>
      </c>
      <c r="AH17" s="37">
        <f t="shared" si="7"/>
        <v>10389.100864000002</v>
      </c>
      <c r="AI17" s="37">
        <f t="shared" si="7"/>
        <v>11294.209128000002</v>
      </c>
      <c r="AJ17" s="37">
        <f t="shared" si="7"/>
        <v>12192.715880000002</v>
      </c>
      <c r="AK17" s="37">
        <f t="shared" si="7"/>
        <v>13658.525584000001</v>
      </c>
      <c r="AL17" s="37">
        <f t="shared" si="7"/>
        <v>16239.136656000002</v>
      </c>
      <c r="AM17" s="38">
        <f>SUM(C17:N17)</f>
        <v>69890</v>
      </c>
      <c r="AN17" s="38">
        <f>SUM(O17:Z17)</f>
        <v>91824.544999999998</v>
      </c>
      <c r="AO17" s="38">
        <f>SUM(AA17:AL17)</f>
        <v>115796.45156000002</v>
      </c>
    </row>
    <row r="18" spans="1:41" x14ac:dyDescent="0.25">
      <c r="A18" s="35" t="s">
        <v>154</v>
      </c>
      <c r="B18" s="36" t="s">
        <v>158</v>
      </c>
      <c r="C18" s="37">
        <f t="shared" ref="C18:AL18" si="8">C11-C17</f>
        <v>5900</v>
      </c>
      <c r="D18" s="37">
        <f t="shared" si="8"/>
        <v>6930</v>
      </c>
      <c r="E18" s="37">
        <f t="shared" si="8"/>
        <v>7740</v>
      </c>
      <c r="F18" s="37">
        <f t="shared" si="8"/>
        <v>8420</v>
      </c>
      <c r="G18" s="37">
        <f t="shared" si="8"/>
        <v>9450</v>
      </c>
      <c r="H18" s="37">
        <f t="shared" si="8"/>
        <v>10130</v>
      </c>
      <c r="I18" s="37">
        <f t="shared" si="8"/>
        <v>11160</v>
      </c>
      <c r="J18" s="37">
        <f t="shared" si="8"/>
        <v>11840</v>
      </c>
      <c r="K18" s="37">
        <f t="shared" si="8"/>
        <v>12870</v>
      </c>
      <c r="L18" s="37">
        <f t="shared" si="8"/>
        <v>13790</v>
      </c>
      <c r="M18" s="37">
        <f t="shared" si="8"/>
        <v>15300</v>
      </c>
      <c r="N18" s="37">
        <f t="shared" si="8"/>
        <v>17660</v>
      </c>
      <c r="O18" s="37">
        <f t="shared" si="8"/>
        <v>7622.5350000000008</v>
      </c>
      <c r="P18" s="37">
        <f t="shared" si="8"/>
        <v>8939.9010000000017</v>
      </c>
      <c r="Q18" s="37">
        <f t="shared" si="8"/>
        <v>9968.4990000000016</v>
      </c>
      <c r="R18" s="37">
        <f t="shared" si="8"/>
        <v>10877.730000000001</v>
      </c>
      <c r="S18" s="37">
        <f t="shared" si="8"/>
        <v>12195.096000000001</v>
      </c>
      <c r="T18" s="37">
        <f t="shared" si="8"/>
        <v>13104.326999999997</v>
      </c>
      <c r="U18" s="37">
        <f t="shared" si="8"/>
        <v>14421.692999999999</v>
      </c>
      <c r="V18" s="37">
        <f t="shared" si="8"/>
        <v>15330.924000000003</v>
      </c>
      <c r="W18" s="37">
        <f t="shared" si="8"/>
        <v>16648.29</v>
      </c>
      <c r="X18" s="37">
        <f t="shared" si="8"/>
        <v>17889.216</v>
      </c>
      <c r="Y18" s="37">
        <f t="shared" si="8"/>
        <v>19869.972000000002</v>
      </c>
      <c r="Z18" s="37">
        <f t="shared" si="8"/>
        <v>23101.067999999999</v>
      </c>
      <c r="AA18" s="37">
        <f t="shared" si="8"/>
        <v>9445.5520320000032</v>
      </c>
      <c r="AB18" s="37">
        <f t="shared" si="8"/>
        <v>11066.114129600001</v>
      </c>
      <c r="AC18" s="37">
        <f t="shared" si="8"/>
        <v>12325.4344224</v>
      </c>
      <c r="AD18" s="37">
        <f t="shared" si="8"/>
        <v>13482.529040000001</v>
      </c>
      <c r="AE18" s="37">
        <f t="shared" si="8"/>
        <v>15103.0911376</v>
      </c>
      <c r="AF18" s="37">
        <f t="shared" si="8"/>
        <v>16260.1857552</v>
      </c>
      <c r="AG18" s="37">
        <f t="shared" si="8"/>
        <v>17880.747852800003</v>
      </c>
      <c r="AH18" s="37">
        <f t="shared" si="8"/>
        <v>19037.842470400006</v>
      </c>
      <c r="AI18" s="37">
        <f t="shared" si="8"/>
        <v>20658.404568000002</v>
      </c>
      <c r="AJ18" s="37">
        <f t="shared" si="8"/>
        <v>22250.110193600005</v>
      </c>
      <c r="AK18" s="37">
        <f t="shared" si="8"/>
        <v>24739.894307200004</v>
      </c>
      <c r="AL18" s="37">
        <f t="shared" si="8"/>
        <v>28939.265980800003</v>
      </c>
      <c r="AM18" s="38">
        <f>SUM(C18:N18)</f>
        <v>131190</v>
      </c>
      <c r="AN18" s="38">
        <f>SUM(O18:Z18)</f>
        <v>169969.25100000002</v>
      </c>
      <c r="AO18" s="38">
        <f>SUM(AA18:AL18)</f>
        <v>211189.17188960005</v>
      </c>
    </row>
    <row r="19" spans="1:41" x14ac:dyDescent="0.25">
      <c r="A19" s="35" t="s">
        <v>154</v>
      </c>
      <c r="B19" s="36" t="s">
        <v>159</v>
      </c>
      <c r="C19" s="41">
        <f t="shared" ref="C19:AO19" si="9">IFERROR(C18/C11,0)</f>
        <v>0.65628476084538379</v>
      </c>
      <c r="D19" s="41">
        <f t="shared" si="9"/>
        <v>0.65500945179584125</v>
      </c>
      <c r="E19" s="41">
        <f t="shared" si="9"/>
        <v>0.65316455696202536</v>
      </c>
      <c r="F19" s="41">
        <f t="shared" si="9"/>
        <v>0.65372670807453415</v>
      </c>
      <c r="G19" s="41">
        <f t="shared" si="9"/>
        <v>0.65307532826537662</v>
      </c>
      <c r="H19" s="41">
        <f t="shared" si="9"/>
        <v>0.65354838709677421</v>
      </c>
      <c r="I19" s="41">
        <f t="shared" si="9"/>
        <v>0.6530134581626682</v>
      </c>
      <c r="J19" s="41">
        <f t="shared" si="9"/>
        <v>0.65342163355408389</v>
      </c>
      <c r="K19" s="41">
        <f t="shared" si="9"/>
        <v>0.65296803652968038</v>
      </c>
      <c r="L19" s="41">
        <f t="shared" si="9"/>
        <v>0.65262659725508754</v>
      </c>
      <c r="M19" s="41">
        <f t="shared" si="9"/>
        <v>0.65106382978723409</v>
      </c>
      <c r="N19" s="41">
        <f t="shared" si="9"/>
        <v>0.64783565663976528</v>
      </c>
      <c r="O19" s="41">
        <f t="shared" si="9"/>
        <v>0.6533238367182167</v>
      </c>
      <c r="P19" s="41">
        <f t="shared" si="9"/>
        <v>0.65205890243121478</v>
      </c>
      <c r="Q19" s="41">
        <f t="shared" si="9"/>
        <v>0.65020449303514394</v>
      </c>
      <c r="R19" s="41">
        <f t="shared" si="9"/>
        <v>0.65068312058095157</v>
      </c>
      <c r="S19" s="41">
        <f t="shared" si="9"/>
        <v>0.65004625979545905</v>
      </c>
      <c r="T19" s="41">
        <f t="shared" si="9"/>
        <v>0.6504543089586825</v>
      </c>
      <c r="U19" s="41">
        <f t="shared" si="9"/>
        <v>0.64993693152122867</v>
      </c>
      <c r="V19" s="41">
        <f t="shared" si="9"/>
        <v>0.65029205812624358</v>
      </c>
      <c r="W19" s="41">
        <f t="shared" si="9"/>
        <v>0.64985687042455242</v>
      </c>
      <c r="X19" s="41">
        <f t="shared" si="9"/>
        <v>0.64941268412645681</v>
      </c>
      <c r="Y19" s="41">
        <f t="shared" si="9"/>
        <v>0.64777258827275019</v>
      </c>
      <c r="Z19" s="41">
        <f t="shared" si="9"/>
        <v>0.64426555699704469</v>
      </c>
      <c r="AA19" s="41">
        <f t="shared" si="9"/>
        <v>0.65013261186803373</v>
      </c>
      <c r="AB19" s="41">
        <f t="shared" si="9"/>
        <v>0.6488743637928589</v>
      </c>
      <c r="AC19" s="41">
        <f t="shared" si="9"/>
        <v>0.64700950368747812</v>
      </c>
      <c r="AD19" s="41">
        <f t="shared" si="9"/>
        <v>0.64741721243060624</v>
      </c>
      <c r="AE19" s="41">
        <f t="shared" si="9"/>
        <v>0.64679194969283638</v>
      </c>
      <c r="AF19" s="41">
        <f t="shared" si="9"/>
        <v>0.64714524034256826</v>
      </c>
      <c r="AG19" s="41">
        <f t="shared" si="9"/>
        <v>0.64664207202870294</v>
      </c>
      <c r="AH19" s="41">
        <f t="shared" si="9"/>
        <v>0.64695276889818276</v>
      </c>
      <c r="AI19" s="41">
        <f t="shared" si="9"/>
        <v>0.64653254236244617</v>
      </c>
      <c r="AJ19" s="41">
        <f t="shared" si="9"/>
        <v>0.64600129344944879</v>
      </c>
      <c r="AK19" s="41">
        <f t="shared" si="9"/>
        <v>0.64429459278010015</v>
      </c>
      <c r="AL19" s="41">
        <f t="shared" si="9"/>
        <v>0.64055531607546401</v>
      </c>
      <c r="AM19" s="42">
        <f t="shared" si="9"/>
        <v>0.65242689476825144</v>
      </c>
      <c r="AN19" s="42">
        <f t="shared" si="9"/>
        <v>0.6492485826516684</v>
      </c>
      <c r="AO19" s="42">
        <f t="shared" si="9"/>
        <v>0.64586684167217434</v>
      </c>
    </row>
    <row r="20" spans="1:41" x14ac:dyDescent="0.25">
      <c r="AM20" s="31"/>
      <c r="AN20" s="31"/>
      <c r="AO20" s="31"/>
    </row>
    <row r="21" spans="1:41" ht="18" customHeight="1" x14ac:dyDescent="0.25">
      <c r="A21" s="66" t="s">
        <v>160</v>
      </c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9"/>
      <c r="AN21" s="69"/>
      <c r="AO21" s="69"/>
    </row>
    <row r="22" spans="1:41" x14ac:dyDescent="0.25">
      <c r="A22" s="31" t="s">
        <v>154</v>
      </c>
      <c r="B22" s="32" t="s">
        <v>161</v>
      </c>
      <c r="C22" s="33">
        <f>IF(1&gt;=Supuestos!$J$25,Supuestos!$G$25*Supuestos!$H$25*(1+Supuestos!$I$25)*1,0)+IF(1&gt;=Supuestos!$J$26,Supuestos!$G$26*Supuestos!$H$26*(1+Supuestos!$I$26)*1,0)+IF(1&gt;=Supuestos!$J$27,Supuestos!$G$27*Supuestos!$H$27*(1+Supuestos!$I$27)*1,0)+IF(1&gt;=Supuestos!$J$28,Supuestos!$G$28*Supuestos!$H$28*(1+Supuestos!$I$28)*1,0)+IF(1&gt;=Supuestos!$J$29,Supuestos!$G$29*Supuestos!$H$29*(1+Supuestos!$I$29)*1,0)</f>
        <v>4650.5</v>
      </c>
      <c r="D22" s="33">
        <f>IF(2&gt;=Supuestos!$J$25,Supuestos!$G$25*Supuestos!$H$25*(1+Supuestos!$I$25)*1,0)+IF(2&gt;=Supuestos!$J$26,Supuestos!$G$26*Supuestos!$H$26*(1+Supuestos!$I$26)*1,0)+IF(2&gt;=Supuestos!$J$27,Supuestos!$G$27*Supuestos!$H$27*(1+Supuestos!$I$27)*1,0)+IF(2&gt;=Supuestos!$J$28,Supuestos!$G$28*Supuestos!$H$28*(1+Supuestos!$I$28)*1,0)+IF(2&gt;=Supuestos!$J$29,Supuestos!$G$29*Supuestos!$H$29*(1+Supuestos!$I$29)*1,0)</f>
        <v>4650.5</v>
      </c>
      <c r="E22" s="33">
        <f>IF(3&gt;=Supuestos!$J$25,Supuestos!$G$25*Supuestos!$H$25*(1+Supuestos!$I$25)*1,0)+IF(3&gt;=Supuestos!$J$26,Supuestos!$G$26*Supuestos!$H$26*(1+Supuestos!$I$26)*1,0)+IF(3&gt;=Supuestos!$J$27,Supuestos!$G$27*Supuestos!$H$27*(1+Supuestos!$I$27)*1,0)+IF(3&gt;=Supuestos!$J$28,Supuestos!$G$28*Supuestos!$H$28*(1+Supuestos!$I$28)*1,0)+IF(3&gt;=Supuestos!$J$29,Supuestos!$G$29*Supuestos!$H$29*(1+Supuestos!$I$29)*1,0)</f>
        <v>4650.5</v>
      </c>
      <c r="F22" s="33">
        <f>IF(4&gt;=Supuestos!$J$25,Supuestos!$G$25*Supuestos!$H$25*(1+Supuestos!$I$25)*1,0)+IF(4&gt;=Supuestos!$J$26,Supuestos!$G$26*Supuestos!$H$26*(1+Supuestos!$I$26)*1,0)+IF(4&gt;=Supuestos!$J$27,Supuestos!$G$27*Supuestos!$H$27*(1+Supuestos!$I$27)*1,0)+IF(4&gt;=Supuestos!$J$28,Supuestos!$G$28*Supuestos!$H$28*(1+Supuestos!$I$28)*1,0)+IF(4&gt;=Supuestos!$J$29,Supuestos!$G$29*Supuestos!$H$29*(1+Supuestos!$I$29)*1,0)</f>
        <v>4650.5</v>
      </c>
      <c r="G22" s="33">
        <f>IF(5&gt;=Supuestos!$J$25,Supuestos!$G$25*Supuestos!$H$25*(1+Supuestos!$I$25)*1,0)+IF(5&gt;=Supuestos!$J$26,Supuestos!$G$26*Supuestos!$H$26*(1+Supuestos!$I$26)*1,0)+IF(5&gt;=Supuestos!$J$27,Supuestos!$G$27*Supuestos!$H$27*(1+Supuestos!$I$27)*1,0)+IF(5&gt;=Supuestos!$J$28,Supuestos!$G$28*Supuestos!$H$28*(1+Supuestos!$I$28)*1,0)+IF(5&gt;=Supuestos!$J$29,Supuestos!$G$29*Supuestos!$H$29*(1+Supuestos!$I$29)*1,0)</f>
        <v>4650.5</v>
      </c>
      <c r="H22" s="33">
        <f>IF(6&gt;=Supuestos!$J$25,Supuestos!$G$25*Supuestos!$H$25*(1+Supuestos!$I$25)*1,0)+IF(6&gt;=Supuestos!$J$26,Supuestos!$G$26*Supuestos!$H$26*(1+Supuestos!$I$26)*1,0)+IF(6&gt;=Supuestos!$J$27,Supuestos!$G$27*Supuestos!$H$27*(1+Supuestos!$I$27)*1,0)+IF(6&gt;=Supuestos!$J$28,Supuestos!$G$28*Supuestos!$H$28*(1+Supuestos!$I$28)*1,0)+IF(6&gt;=Supuestos!$J$29,Supuestos!$G$29*Supuestos!$H$29*(1+Supuestos!$I$29)*1,0)</f>
        <v>6877.5</v>
      </c>
      <c r="I22" s="33">
        <f>IF(7&gt;=Supuestos!$J$25,Supuestos!$G$25*Supuestos!$H$25*(1+Supuestos!$I$25)*1,0)+IF(7&gt;=Supuestos!$J$26,Supuestos!$G$26*Supuestos!$H$26*(1+Supuestos!$I$26)*1,0)+IF(7&gt;=Supuestos!$J$27,Supuestos!$G$27*Supuestos!$H$27*(1+Supuestos!$I$27)*1,0)+IF(7&gt;=Supuestos!$J$28,Supuestos!$G$28*Supuestos!$H$28*(1+Supuestos!$I$28)*1,0)+IF(7&gt;=Supuestos!$J$29,Supuestos!$G$29*Supuestos!$H$29*(1+Supuestos!$I$29)*1,0)</f>
        <v>6877.5</v>
      </c>
      <c r="J22" s="33">
        <f>IF(8&gt;=Supuestos!$J$25,Supuestos!$G$25*Supuestos!$H$25*(1+Supuestos!$I$25)*1,0)+IF(8&gt;=Supuestos!$J$26,Supuestos!$G$26*Supuestos!$H$26*(1+Supuestos!$I$26)*1,0)+IF(8&gt;=Supuestos!$J$27,Supuestos!$G$27*Supuestos!$H$27*(1+Supuestos!$I$27)*1,0)+IF(8&gt;=Supuestos!$J$28,Supuestos!$G$28*Supuestos!$H$28*(1+Supuestos!$I$28)*1,0)+IF(8&gt;=Supuestos!$J$29,Supuestos!$G$29*Supuestos!$H$29*(1+Supuestos!$I$29)*1,0)</f>
        <v>6877.5</v>
      </c>
      <c r="K22" s="33">
        <f>IF(9&gt;=Supuestos!$J$25,Supuestos!$G$25*Supuestos!$H$25*(1+Supuestos!$I$25)*1,0)+IF(9&gt;=Supuestos!$J$26,Supuestos!$G$26*Supuestos!$H$26*(1+Supuestos!$I$26)*1,0)+IF(9&gt;=Supuestos!$J$27,Supuestos!$G$27*Supuestos!$H$27*(1+Supuestos!$I$27)*1,0)+IF(9&gt;=Supuestos!$J$28,Supuestos!$G$28*Supuestos!$H$28*(1+Supuestos!$I$28)*1,0)+IF(9&gt;=Supuestos!$J$29,Supuestos!$G$29*Supuestos!$H$29*(1+Supuestos!$I$29)*1,0)</f>
        <v>7794.5</v>
      </c>
      <c r="L22" s="33">
        <f>IF(10&gt;=Supuestos!$J$25,Supuestos!$G$25*Supuestos!$H$25*(1+Supuestos!$I$25)*1,0)+IF(10&gt;=Supuestos!$J$26,Supuestos!$G$26*Supuestos!$H$26*(1+Supuestos!$I$26)*1,0)+IF(10&gt;=Supuestos!$J$27,Supuestos!$G$27*Supuestos!$H$27*(1+Supuestos!$I$27)*1,0)+IF(10&gt;=Supuestos!$J$28,Supuestos!$G$28*Supuestos!$H$28*(1+Supuestos!$I$28)*1,0)+IF(10&gt;=Supuestos!$J$29,Supuestos!$G$29*Supuestos!$H$29*(1+Supuestos!$I$29)*1,0)</f>
        <v>7794.5</v>
      </c>
      <c r="M22" s="33">
        <f>IF(11&gt;=Supuestos!$J$25,Supuestos!$G$25*Supuestos!$H$25*(1+Supuestos!$I$25)*1,0)+IF(11&gt;=Supuestos!$J$26,Supuestos!$G$26*Supuestos!$H$26*(1+Supuestos!$I$26)*1,0)+IF(11&gt;=Supuestos!$J$27,Supuestos!$G$27*Supuestos!$H$27*(1+Supuestos!$I$27)*1,0)+IF(11&gt;=Supuestos!$J$28,Supuestos!$G$28*Supuestos!$H$28*(1+Supuestos!$I$28)*1,0)+IF(11&gt;=Supuestos!$J$29,Supuestos!$G$29*Supuestos!$H$29*(1+Supuestos!$I$29)*1,0)</f>
        <v>7794.5</v>
      </c>
      <c r="N22" s="33">
        <f>IF(12&gt;=Supuestos!$J$25,Supuestos!$G$25*Supuestos!$H$25*(1+Supuestos!$I$25)*1,0)+IF(12&gt;=Supuestos!$J$26,Supuestos!$G$26*Supuestos!$H$26*(1+Supuestos!$I$26)*1,0)+IF(12&gt;=Supuestos!$J$27,Supuestos!$G$27*Supuestos!$H$27*(1+Supuestos!$I$27)*1,0)+IF(12&gt;=Supuestos!$J$28,Supuestos!$G$28*Supuestos!$H$28*(1+Supuestos!$I$28)*1,0)+IF(12&gt;=Supuestos!$J$29,Supuestos!$G$29*Supuestos!$H$29*(1+Supuestos!$I$29)*1,0)</f>
        <v>7794.5</v>
      </c>
      <c r="O22" s="33">
        <f>IF(13&gt;=Supuestos!$J$25,Supuestos!$G$25*Supuestos!$H$25*(1+Supuestos!$I$25)*(1+Supuestos!$G$41),0)+IF(13&gt;=Supuestos!$J$26,Supuestos!$G$26*Supuestos!$H$26*(1+Supuestos!$I$26)*(1+Supuestos!$G$41),0)+IF(13&gt;=Supuestos!$J$27,Supuestos!$G$27*Supuestos!$H$27*(1+Supuestos!$I$27)*(1+Supuestos!$G$41),0)+IF(13&gt;=Supuestos!$J$28,Supuestos!$G$28*Supuestos!$H$28*(1+Supuestos!$I$28)*(1+Supuestos!$G$41),0)+IF(13&gt;=Supuestos!$J$29,Supuestos!$G$29*Supuestos!$H$29*(1+Supuestos!$I$29)*(1+Supuestos!$G$41),0)</f>
        <v>10582.834999999999</v>
      </c>
      <c r="P22" s="33">
        <f>IF(14&gt;=Supuestos!$J$25,Supuestos!$G$25*Supuestos!$H$25*(1+Supuestos!$I$25)*(1+Supuestos!$G$41),0)+IF(14&gt;=Supuestos!$J$26,Supuestos!$G$26*Supuestos!$H$26*(1+Supuestos!$I$26)*(1+Supuestos!$G$41),0)+IF(14&gt;=Supuestos!$J$27,Supuestos!$G$27*Supuestos!$H$27*(1+Supuestos!$I$27)*(1+Supuestos!$G$41),0)+IF(14&gt;=Supuestos!$J$28,Supuestos!$G$28*Supuestos!$H$28*(1+Supuestos!$I$28)*(1+Supuestos!$G$41),0)+IF(14&gt;=Supuestos!$J$29,Supuestos!$G$29*Supuestos!$H$29*(1+Supuestos!$I$29)*(1+Supuestos!$G$41),0)</f>
        <v>10582.834999999999</v>
      </c>
      <c r="Q22" s="33">
        <f>IF(15&gt;=Supuestos!$J$25,Supuestos!$G$25*Supuestos!$H$25*(1+Supuestos!$I$25)*(1+Supuestos!$G$41),0)+IF(15&gt;=Supuestos!$J$26,Supuestos!$G$26*Supuestos!$H$26*(1+Supuestos!$I$26)*(1+Supuestos!$G$41),0)+IF(15&gt;=Supuestos!$J$27,Supuestos!$G$27*Supuestos!$H$27*(1+Supuestos!$I$27)*(1+Supuestos!$G$41),0)+IF(15&gt;=Supuestos!$J$28,Supuestos!$G$28*Supuestos!$H$28*(1+Supuestos!$I$28)*(1+Supuestos!$G$41),0)+IF(15&gt;=Supuestos!$J$29,Supuestos!$G$29*Supuestos!$H$29*(1+Supuestos!$I$29)*(1+Supuestos!$G$41),0)</f>
        <v>10582.834999999999</v>
      </c>
      <c r="R22" s="33">
        <f>IF(16&gt;=Supuestos!$J$25,Supuestos!$G$25*Supuestos!$H$25*(1+Supuestos!$I$25)*(1+Supuestos!$G$41),0)+IF(16&gt;=Supuestos!$J$26,Supuestos!$G$26*Supuestos!$H$26*(1+Supuestos!$I$26)*(1+Supuestos!$G$41),0)+IF(16&gt;=Supuestos!$J$27,Supuestos!$G$27*Supuestos!$H$27*(1+Supuestos!$I$27)*(1+Supuestos!$G$41),0)+IF(16&gt;=Supuestos!$J$28,Supuestos!$G$28*Supuestos!$H$28*(1+Supuestos!$I$28)*(1+Supuestos!$G$41),0)+IF(16&gt;=Supuestos!$J$29,Supuestos!$G$29*Supuestos!$H$29*(1+Supuestos!$I$29)*(1+Supuestos!$G$41),0)</f>
        <v>10582.834999999999</v>
      </c>
      <c r="S22" s="33">
        <f>IF(17&gt;=Supuestos!$J$25,Supuestos!$G$25*Supuestos!$H$25*(1+Supuestos!$I$25)*(1+Supuestos!$G$41),0)+IF(17&gt;=Supuestos!$J$26,Supuestos!$G$26*Supuestos!$H$26*(1+Supuestos!$I$26)*(1+Supuestos!$G$41),0)+IF(17&gt;=Supuestos!$J$27,Supuestos!$G$27*Supuestos!$H$27*(1+Supuestos!$I$27)*(1+Supuestos!$G$41),0)+IF(17&gt;=Supuestos!$J$28,Supuestos!$G$28*Supuestos!$H$28*(1+Supuestos!$I$28)*(1+Supuestos!$G$41),0)+IF(17&gt;=Supuestos!$J$29,Supuestos!$G$29*Supuestos!$H$29*(1+Supuestos!$I$29)*(1+Supuestos!$G$41),0)</f>
        <v>10582.834999999999</v>
      </c>
      <c r="T22" s="33">
        <f>IF(18&gt;=Supuestos!$J$25,Supuestos!$G$25*Supuestos!$H$25*(1+Supuestos!$I$25)*(1+Supuestos!$G$41),0)+IF(18&gt;=Supuestos!$J$26,Supuestos!$G$26*Supuestos!$H$26*(1+Supuestos!$I$26)*(1+Supuestos!$G$41),0)+IF(18&gt;=Supuestos!$J$27,Supuestos!$G$27*Supuestos!$H$27*(1+Supuestos!$I$27)*(1+Supuestos!$G$41),0)+IF(18&gt;=Supuestos!$J$28,Supuestos!$G$28*Supuestos!$H$28*(1+Supuestos!$I$28)*(1+Supuestos!$G$41),0)+IF(18&gt;=Supuestos!$J$29,Supuestos!$G$29*Supuestos!$H$29*(1+Supuestos!$I$29)*(1+Supuestos!$G$41),0)</f>
        <v>10582.834999999999</v>
      </c>
      <c r="U22" s="33">
        <f>IF(19&gt;=Supuestos!$J$25,Supuestos!$G$25*Supuestos!$H$25*(1+Supuestos!$I$25)*(1+Supuestos!$G$41),0)+IF(19&gt;=Supuestos!$J$26,Supuestos!$G$26*Supuestos!$H$26*(1+Supuestos!$I$26)*(1+Supuestos!$G$41),0)+IF(19&gt;=Supuestos!$J$27,Supuestos!$G$27*Supuestos!$H$27*(1+Supuestos!$I$27)*(1+Supuestos!$G$41),0)+IF(19&gt;=Supuestos!$J$28,Supuestos!$G$28*Supuestos!$H$28*(1+Supuestos!$I$28)*(1+Supuestos!$G$41),0)+IF(19&gt;=Supuestos!$J$29,Supuestos!$G$29*Supuestos!$H$29*(1+Supuestos!$I$29)*(1+Supuestos!$G$41),0)</f>
        <v>10582.834999999999</v>
      </c>
      <c r="V22" s="33">
        <f>IF(20&gt;=Supuestos!$J$25,Supuestos!$G$25*Supuestos!$H$25*(1+Supuestos!$I$25)*(1+Supuestos!$G$41),0)+IF(20&gt;=Supuestos!$J$26,Supuestos!$G$26*Supuestos!$H$26*(1+Supuestos!$I$26)*(1+Supuestos!$G$41),0)+IF(20&gt;=Supuestos!$J$27,Supuestos!$G$27*Supuestos!$H$27*(1+Supuestos!$I$27)*(1+Supuestos!$G$41),0)+IF(20&gt;=Supuestos!$J$28,Supuestos!$G$28*Supuestos!$H$28*(1+Supuestos!$I$28)*(1+Supuestos!$G$41),0)+IF(20&gt;=Supuestos!$J$29,Supuestos!$G$29*Supuestos!$H$29*(1+Supuestos!$I$29)*(1+Supuestos!$G$41),0)</f>
        <v>10582.834999999999</v>
      </c>
      <c r="W22" s="33">
        <f>IF(21&gt;=Supuestos!$J$25,Supuestos!$G$25*Supuestos!$H$25*(1+Supuestos!$I$25)*(1+Supuestos!$G$41),0)+IF(21&gt;=Supuestos!$J$26,Supuestos!$G$26*Supuestos!$H$26*(1+Supuestos!$I$26)*(1+Supuestos!$G$41),0)+IF(21&gt;=Supuestos!$J$27,Supuestos!$G$27*Supuestos!$H$27*(1+Supuestos!$I$27)*(1+Supuestos!$G$41),0)+IF(21&gt;=Supuestos!$J$28,Supuestos!$G$28*Supuestos!$H$28*(1+Supuestos!$I$28)*(1+Supuestos!$G$41),0)+IF(21&gt;=Supuestos!$J$29,Supuestos!$G$29*Supuestos!$H$29*(1+Supuestos!$I$29)*(1+Supuestos!$G$41),0)</f>
        <v>10582.834999999999</v>
      </c>
      <c r="X22" s="33">
        <f>IF(22&gt;=Supuestos!$J$25,Supuestos!$G$25*Supuestos!$H$25*(1+Supuestos!$I$25)*(1+Supuestos!$G$41),0)+IF(22&gt;=Supuestos!$J$26,Supuestos!$G$26*Supuestos!$H$26*(1+Supuestos!$I$26)*(1+Supuestos!$G$41),0)+IF(22&gt;=Supuestos!$J$27,Supuestos!$G$27*Supuestos!$H$27*(1+Supuestos!$I$27)*(1+Supuestos!$G$41),0)+IF(22&gt;=Supuestos!$J$28,Supuestos!$G$28*Supuestos!$H$28*(1+Supuestos!$I$28)*(1+Supuestos!$G$41),0)+IF(22&gt;=Supuestos!$J$29,Supuestos!$G$29*Supuestos!$H$29*(1+Supuestos!$I$29)*(1+Supuestos!$G$41),0)</f>
        <v>10582.834999999999</v>
      </c>
      <c r="Y22" s="33">
        <f>IF(23&gt;=Supuestos!$J$25,Supuestos!$G$25*Supuestos!$H$25*(1+Supuestos!$I$25)*(1+Supuestos!$G$41),0)+IF(23&gt;=Supuestos!$J$26,Supuestos!$G$26*Supuestos!$H$26*(1+Supuestos!$I$26)*(1+Supuestos!$G$41),0)+IF(23&gt;=Supuestos!$J$27,Supuestos!$G$27*Supuestos!$H$27*(1+Supuestos!$I$27)*(1+Supuestos!$G$41),0)+IF(23&gt;=Supuestos!$J$28,Supuestos!$G$28*Supuestos!$H$28*(1+Supuestos!$I$28)*(1+Supuestos!$G$41),0)+IF(23&gt;=Supuestos!$J$29,Supuestos!$G$29*Supuestos!$H$29*(1+Supuestos!$I$29)*(1+Supuestos!$G$41),0)</f>
        <v>10582.834999999999</v>
      </c>
      <c r="Z22" s="33">
        <f>IF(24&gt;=Supuestos!$J$25,Supuestos!$G$25*Supuestos!$H$25*(1+Supuestos!$I$25)*(1+Supuestos!$G$41),0)+IF(24&gt;=Supuestos!$J$26,Supuestos!$G$26*Supuestos!$H$26*(1+Supuestos!$I$26)*(1+Supuestos!$G$41),0)+IF(24&gt;=Supuestos!$J$27,Supuestos!$G$27*Supuestos!$H$27*(1+Supuestos!$I$27)*(1+Supuestos!$G$41),0)+IF(24&gt;=Supuestos!$J$28,Supuestos!$G$28*Supuestos!$H$28*(1+Supuestos!$I$28)*(1+Supuestos!$G$41),0)+IF(24&gt;=Supuestos!$J$29,Supuestos!$G$29*Supuestos!$H$29*(1+Supuestos!$I$29)*(1+Supuestos!$G$41),0)</f>
        <v>10582.834999999999</v>
      </c>
      <c r="AA22" s="33">
        <f>IF(25&gt;=Supuestos!$J$25,Supuestos!$G$25*Supuestos!$H$25*(1+Supuestos!$I$25)*(1+Supuestos!$G$41)*(1+Supuestos!$G$42),0)+IF(25&gt;=Supuestos!$J$26,Supuestos!$G$26*Supuestos!$H$26*(1+Supuestos!$I$26)*(1+Supuestos!$G$41)*(1+Supuestos!$G$42),0)+IF(25&gt;=Supuestos!$J$27,Supuestos!$G$27*Supuestos!$H$27*(1+Supuestos!$I$27)*(1+Supuestos!$G$41)*(1+Supuestos!$G$42),0)+IF(25&gt;=Supuestos!$J$28,Supuestos!$G$28*Supuestos!$H$28*(1+Supuestos!$I$28)*(1+Supuestos!$G$41)*(1+Supuestos!$G$42),0)+IF(25&gt;=Supuestos!$J$29,Supuestos!$G$29*Supuestos!$H$29*(1+Supuestos!$I$29)*(1+Supuestos!$G$41)*(1+Supuestos!$G$42),0)</f>
        <v>11111.976750000002</v>
      </c>
      <c r="AB22" s="33">
        <f>IF(26&gt;=Supuestos!$J$25,Supuestos!$G$25*Supuestos!$H$25*(1+Supuestos!$I$25)*(1+Supuestos!$G$41)*(1+Supuestos!$G$42),0)+IF(26&gt;=Supuestos!$J$26,Supuestos!$G$26*Supuestos!$H$26*(1+Supuestos!$I$26)*(1+Supuestos!$G$41)*(1+Supuestos!$G$42),0)+IF(26&gt;=Supuestos!$J$27,Supuestos!$G$27*Supuestos!$H$27*(1+Supuestos!$I$27)*(1+Supuestos!$G$41)*(1+Supuestos!$G$42),0)+IF(26&gt;=Supuestos!$J$28,Supuestos!$G$28*Supuestos!$H$28*(1+Supuestos!$I$28)*(1+Supuestos!$G$41)*(1+Supuestos!$G$42),0)+IF(26&gt;=Supuestos!$J$29,Supuestos!$G$29*Supuestos!$H$29*(1+Supuestos!$I$29)*(1+Supuestos!$G$41)*(1+Supuestos!$G$42),0)</f>
        <v>11111.976750000002</v>
      </c>
      <c r="AC22" s="33">
        <f>IF(27&gt;=Supuestos!$J$25,Supuestos!$G$25*Supuestos!$H$25*(1+Supuestos!$I$25)*(1+Supuestos!$G$41)*(1+Supuestos!$G$42),0)+IF(27&gt;=Supuestos!$J$26,Supuestos!$G$26*Supuestos!$H$26*(1+Supuestos!$I$26)*(1+Supuestos!$G$41)*(1+Supuestos!$G$42),0)+IF(27&gt;=Supuestos!$J$27,Supuestos!$G$27*Supuestos!$H$27*(1+Supuestos!$I$27)*(1+Supuestos!$G$41)*(1+Supuestos!$G$42),0)+IF(27&gt;=Supuestos!$J$28,Supuestos!$G$28*Supuestos!$H$28*(1+Supuestos!$I$28)*(1+Supuestos!$G$41)*(1+Supuestos!$G$42),0)+IF(27&gt;=Supuestos!$J$29,Supuestos!$G$29*Supuestos!$H$29*(1+Supuestos!$I$29)*(1+Supuestos!$G$41)*(1+Supuestos!$G$42),0)</f>
        <v>11111.976750000002</v>
      </c>
      <c r="AD22" s="33">
        <f>IF(28&gt;=Supuestos!$J$25,Supuestos!$G$25*Supuestos!$H$25*(1+Supuestos!$I$25)*(1+Supuestos!$G$41)*(1+Supuestos!$G$42),0)+IF(28&gt;=Supuestos!$J$26,Supuestos!$G$26*Supuestos!$H$26*(1+Supuestos!$I$26)*(1+Supuestos!$G$41)*(1+Supuestos!$G$42),0)+IF(28&gt;=Supuestos!$J$27,Supuestos!$G$27*Supuestos!$H$27*(1+Supuestos!$I$27)*(1+Supuestos!$G$41)*(1+Supuestos!$G$42),0)+IF(28&gt;=Supuestos!$J$28,Supuestos!$G$28*Supuestos!$H$28*(1+Supuestos!$I$28)*(1+Supuestos!$G$41)*(1+Supuestos!$G$42),0)+IF(28&gt;=Supuestos!$J$29,Supuestos!$G$29*Supuestos!$H$29*(1+Supuestos!$I$29)*(1+Supuestos!$G$41)*(1+Supuestos!$G$42),0)</f>
        <v>11111.976750000002</v>
      </c>
      <c r="AE22" s="33">
        <f>IF(29&gt;=Supuestos!$J$25,Supuestos!$G$25*Supuestos!$H$25*(1+Supuestos!$I$25)*(1+Supuestos!$G$41)*(1+Supuestos!$G$42),0)+IF(29&gt;=Supuestos!$J$26,Supuestos!$G$26*Supuestos!$H$26*(1+Supuestos!$I$26)*(1+Supuestos!$G$41)*(1+Supuestos!$G$42),0)+IF(29&gt;=Supuestos!$J$27,Supuestos!$G$27*Supuestos!$H$27*(1+Supuestos!$I$27)*(1+Supuestos!$G$41)*(1+Supuestos!$G$42),0)+IF(29&gt;=Supuestos!$J$28,Supuestos!$G$28*Supuestos!$H$28*(1+Supuestos!$I$28)*(1+Supuestos!$G$41)*(1+Supuestos!$G$42),0)+IF(29&gt;=Supuestos!$J$29,Supuestos!$G$29*Supuestos!$H$29*(1+Supuestos!$I$29)*(1+Supuestos!$G$41)*(1+Supuestos!$G$42),0)</f>
        <v>11111.976750000002</v>
      </c>
      <c r="AF22" s="33">
        <f>IF(30&gt;=Supuestos!$J$25,Supuestos!$G$25*Supuestos!$H$25*(1+Supuestos!$I$25)*(1+Supuestos!$G$41)*(1+Supuestos!$G$42),0)+IF(30&gt;=Supuestos!$J$26,Supuestos!$G$26*Supuestos!$H$26*(1+Supuestos!$I$26)*(1+Supuestos!$G$41)*(1+Supuestos!$G$42),0)+IF(30&gt;=Supuestos!$J$27,Supuestos!$G$27*Supuestos!$H$27*(1+Supuestos!$I$27)*(1+Supuestos!$G$41)*(1+Supuestos!$G$42),0)+IF(30&gt;=Supuestos!$J$28,Supuestos!$G$28*Supuestos!$H$28*(1+Supuestos!$I$28)*(1+Supuestos!$G$41)*(1+Supuestos!$G$42),0)+IF(30&gt;=Supuestos!$J$29,Supuestos!$G$29*Supuestos!$H$29*(1+Supuestos!$I$29)*(1+Supuestos!$G$41)*(1+Supuestos!$G$42),0)</f>
        <v>11111.976750000002</v>
      </c>
      <c r="AG22" s="33">
        <f>IF(31&gt;=Supuestos!$J$25,Supuestos!$G$25*Supuestos!$H$25*(1+Supuestos!$I$25)*(1+Supuestos!$G$41)*(1+Supuestos!$G$42),0)+IF(31&gt;=Supuestos!$J$26,Supuestos!$G$26*Supuestos!$H$26*(1+Supuestos!$I$26)*(1+Supuestos!$G$41)*(1+Supuestos!$G$42),0)+IF(31&gt;=Supuestos!$J$27,Supuestos!$G$27*Supuestos!$H$27*(1+Supuestos!$I$27)*(1+Supuestos!$G$41)*(1+Supuestos!$G$42),0)+IF(31&gt;=Supuestos!$J$28,Supuestos!$G$28*Supuestos!$H$28*(1+Supuestos!$I$28)*(1+Supuestos!$G$41)*(1+Supuestos!$G$42),0)+IF(31&gt;=Supuestos!$J$29,Supuestos!$G$29*Supuestos!$H$29*(1+Supuestos!$I$29)*(1+Supuestos!$G$41)*(1+Supuestos!$G$42),0)</f>
        <v>11111.976750000002</v>
      </c>
      <c r="AH22" s="33">
        <f>IF(32&gt;=Supuestos!$J$25,Supuestos!$G$25*Supuestos!$H$25*(1+Supuestos!$I$25)*(1+Supuestos!$G$41)*(1+Supuestos!$G$42),0)+IF(32&gt;=Supuestos!$J$26,Supuestos!$G$26*Supuestos!$H$26*(1+Supuestos!$I$26)*(1+Supuestos!$G$41)*(1+Supuestos!$G$42),0)+IF(32&gt;=Supuestos!$J$27,Supuestos!$G$27*Supuestos!$H$27*(1+Supuestos!$I$27)*(1+Supuestos!$G$41)*(1+Supuestos!$G$42),0)+IF(32&gt;=Supuestos!$J$28,Supuestos!$G$28*Supuestos!$H$28*(1+Supuestos!$I$28)*(1+Supuestos!$G$41)*(1+Supuestos!$G$42),0)+IF(32&gt;=Supuestos!$J$29,Supuestos!$G$29*Supuestos!$H$29*(1+Supuestos!$I$29)*(1+Supuestos!$G$41)*(1+Supuestos!$G$42),0)</f>
        <v>11111.976750000002</v>
      </c>
      <c r="AI22" s="33">
        <f>IF(33&gt;=Supuestos!$J$25,Supuestos!$G$25*Supuestos!$H$25*(1+Supuestos!$I$25)*(1+Supuestos!$G$41)*(1+Supuestos!$G$42),0)+IF(33&gt;=Supuestos!$J$26,Supuestos!$G$26*Supuestos!$H$26*(1+Supuestos!$I$26)*(1+Supuestos!$G$41)*(1+Supuestos!$G$42),0)+IF(33&gt;=Supuestos!$J$27,Supuestos!$G$27*Supuestos!$H$27*(1+Supuestos!$I$27)*(1+Supuestos!$G$41)*(1+Supuestos!$G$42),0)+IF(33&gt;=Supuestos!$J$28,Supuestos!$G$28*Supuestos!$H$28*(1+Supuestos!$I$28)*(1+Supuestos!$G$41)*(1+Supuestos!$G$42),0)+IF(33&gt;=Supuestos!$J$29,Supuestos!$G$29*Supuestos!$H$29*(1+Supuestos!$I$29)*(1+Supuestos!$G$41)*(1+Supuestos!$G$42),0)</f>
        <v>11111.976750000002</v>
      </c>
      <c r="AJ22" s="33">
        <f>IF(34&gt;=Supuestos!$J$25,Supuestos!$G$25*Supuestos!$H$25*(1+Supuestos!$I$25)*(1+Supuestos!$G$41)*(1+Supuestos!$G$42),0)+IF(34&gt;=Supuestos!$J$26,Supuestos!$G$26*Supuestos!$H$26*(1+Supuestos!$I$26)*(1+Supuestos!$G$41)*(1+Supuestos!$G$42),0)+IF(34&gt;=Supuestos!$J$27,Supuestos!$G$27*Supuestos!$H$27*(1+Supuestos!$I$27)*(1+Supuestos!$G$41)*(1+Supuestos!$G$42),0)+IF(34&gt;=Supuestos!$J$28,Supuestos!$G$28*Supuestos!$H$28*(1+Supuestos!$I$28)*(1+Supuestos!$G$41)*(1+Supuestos!$G$42),0)+IF(34&gt;=Supuestos!$J$29,Supuestos!$G$29*Supuestos!$H$29*(1+Supuestos!$I$29)*(1+Supuestos!$G$41)*(1+Supuestos!$G$42),0)</f>
        <v>11111.976750000002</v>
      </c>
      <c r="AK22" s="33">
        <f>IF(35&gt;=Supuestos!$J$25,Supuestos!$G$25*Supuestos!$H$25*(1+Supuestos!$I$25)*(1+Supuestos!$G$41)*(1+Supuestos!$G$42),0)+IF(35&gt;=Supuestos!$J$26,Supuestos!$G$26*Supuestos!$H$26*(1+Supuestos!$I$26)*(1+Supuestos!$G$41)*(1+Supuestos!$G$42),0)+IF(35&gt;=Supuestos!$J$27,Supuestos!$G$27*Supuestos!$H$27*(1+Supuestos!$I$27)*(1+Supuestos!$G$41)*(1+Supuestos!$G$42),0)+IF(35&gt;=Supuestos!$J$28,Supuestos!$G$28*Supuestos!$H$28*(1+Supuestos!$I$28)*(1+Supuestos!$G$41)*(1+Supuestos!$G$42),0)+IF(35&gt;=Supuestos!$J$29,Supuestos!$G$29*Supuestos!$H$29*(1+Supuestos!$I$29)*(1+Supuestos!$G$41)*(1+Supuestos!$G$42),0)</f>
        <v>11111.976750000002</v>
      </c>
      <c r="AL22" s="33">
        <f>IF(36&gt;=Supuestos!$J$25,Supuestos!$G$25*Supuestos!$H$25*(1+Supuestos!$I$25)*(1+Supuestos!$G$41)*(1+Supuestos!$G$42),0)+IF(36&gt;=Supuestos!$J$26,Supuestos!$G$26*Supuestos!$H$26*(1+Supuestos!$I$26)*(1+Supuestos!$G$41)*(1+Supuestos!$G$42),0)+IF(36&gt;=Supuestos!$J$27,Supuestos!$G$27*Supuestos!$H$27*(1+Supuestos!$I$27)*(1+Supuestos!$G$41)*(1+Supuestos!$G$42),0)+IF(36&gt;=Supuestos!$J$28,Supuestos!$G$28*Supuestos!$H$28*(1+Supuestos!$I$28)*(1+Supuestos!$G$41)*(1+Supuestos!$G$42),0)+IF(36&gt;=Supuestos!$J$29,Supuestos!$G$29*Supuestos!$H$29*(1+Supuestos!$I$29)*(1+Supuestos!$G$41)*(1+Supuestos!$G$42),0)</f>
        <v>11111.976750000002</v>
      </c>
      <c r="AM22" s="34">
        <f t="shared" ref="AM22:AM35" si="10">SUM(C22:N22)</f>
        <v>75063</v>
      </c>
      <c r="AN22" s="34">
        <f t="shared" ref="AN22:AN35" si="11">SUM(O22:Z22)</f>
        <v>126994.01999999996</v>
      </c>
      <c r="AO22" s="34">
        <f t="shared" ref="AO22:AO35" si="12">SUM(AA22:AL22)</f>
        <v>133343.72100000002</v>
      </c>
    </row>
    <row r="23" spans="1:41" x14ac:dyDescent="0.25">
      <c r="A23" s="31" t="s">
        <v>154</v>
      </c>
      <c r="B23" s="32" t="s">
        <v>110</v>
      </c>
      <c r="C23" s="33">
        <f>Supuestos!$B$25*Supuestos!$H$8</f>
        <v>1200</v>
      </c>
      <c r="D23" s="33">
        <f>Supuestos!$B$25*Supuestos!$H$8</f>
        <v>1200</v>
      </c>
      <c r="E23" s="33">
        <f>Supuestos!$B$25*Supuestos!$H$8</f>
        <v>1200</v>
      </c>
      <c r="F23" s="33">
        <f>Supuestos!$B$25*Supuestos!$H$8</f>
        <v>1200</v>
      </c>
      <c r="G23" s="33">
        <f>Supuestos!$B$25*Supuestos!$H$8</f>
        <v>1200</v>
      </c>
      <c r="H23" s="33">
        <f>Supuestos!$B$25*Supuestos!$H$8</f>
        <v>1200</v>
      </c>
      <c r="I23" s="33">
        <f>Supuestos!$B$25*Supuestos!$H$8</f>
        <v>1200</v>
      </c>
      <c r="J23" s="33">
        <f>Supuestos!$B$25*Supuestos!$H$8</f>
        <v>1200</v>
      </c>
      <c r="K23" s="33">
        <f>Supuestos!$B$25*Supuestos!$H$8</f>
        <v>1200</v>
      </c>
      <c r="L23" s="33">
        <f>Supuestos!$B$25*Supuestos!$H$8</f>
        <v>1200</v>
      </c>
      <c r="M23" s="33">
        <f>Supuestos!$B$25*Supuestos!$H$8</f>
        <v>1200</v>
      </c>
      <c r="N23" s="33">
        <f>Supuestos!$B$25*Supuestos!$H$8</f>
        <v>1200</v>
      </c>
      <c r="O23" s="33">
        <f>C23*(1+Supuestos!$C$25)</f>
        <v>1260</v>
      </c>
      <c r="P23" s="33">
        <f>D23*(1+Supuestos!$C$25)</f>
        <v>1260</v>
      </c>
      <c r="Q23" s="33">
        <f>E23*(1+Supuestos!$C$25)</f>
        <v>1260</v>
      </c>
      <c r="R23" s="33">
        <f>F23*(1+Supuestos!$C$25)</f>
        <v>1260</v>
      </c>
      <c r="S23" s="33">
        <f>G23*(1+Supuestos!$C$25)</f>
        <v>1260</v>
      </c>
      <c r="T23" s="33">
        <f>H23*(1+Supuestos!$C$25)</f>
        <v>1260</v>
      </c>
      <c r="U23" s="33">
        <f>I23*(1+Supuestos!$C$25)</f>
        <v>1260</v>
      </c>
      <c r="V23" s="33">
        <f>J23*(1+Supuestos!$C$25)</f>
        <v>1260</v>
      </c>
      <c r="W23" s="33">
        <f>K23*(1+Supuestos!$C$25)</f>
        <v>1260</v>
      </c>
      <c r="X23" s="33">
        <f>L23*(1+Supuestos!$C$25)</f>
        <v>1260</v>
      </c>
      <c r="Y23" s="33">
        <f>M23*(1+Supuestos!$C$25)</f>
        <v>1260</v>
      </c>
      <c r="Z23" s="33">
        <f>N23*(1+Supuestos!$C$25)</f>
        <v>1260</v>
      </c>
      <c r="AA23" s="33">
        <f>O23*(1+Supuestos!$D$25)</f>
        <v>1310.4000000000001</v>
      </c>
      <c r="AB23" s="33">
        <f>P23*(1+Supuestos!$D$25)</f>
        <v>1310.4000000000001</v>
      </c>
      <c r="AC23" s="33">
        <f>Q23*(1+Supuestos!$D$25)</f>
        <v>1310.4000000000001</v>
      </c>
      <c r="AD23" s="33">
        <f>R23*(1+Supuestos!$D$25)</f>
        <v>1310.4000000000001</v>
      </c>
      <c r="AE23" s="33">
        <f>S23*(1+Supuestos!$D$25)</f>
        <v>1310.4000000000001</v>
      </c>
      <c r="AF23" s="33">
        <f>T23*(1+Supuestos!$D$25)</f>
        <v>1310.4000000000001</v>
      </c>
      <c r="AG23" s="33">
        <f>U23*(1+Supuestos!$D$25)</f>
        <v>1310.4000000000001</v>
      </c>
      <c r="AH23" s="33">
        <f>V23*(1+Supuestos!$D$25)</f>
        <v>1310.4000000000001</v>
      </c>
      <c r="AI23" s="33">
        <f>W23*(1+Supuestos!$D$25)</f>
        <v>1310.4000000000001</v>
      </c>
      <c r="AJ23" s="33">
        <f>X23*(1+Supuestos!$D$25)</f>
        <v>1310.4000000000001</v>
      </c>
      <c r="AK23" s="33">
        <f>Y23*(1+Supuestos!$D$25)</f>
        <v>1310.4000000000001</v>
      </c>
      <c r="AL23" s="33">
        <f>Z23*(1+Supuestos!$D$25)</f>
        <v>1310.4000000000001</v>
      </c>
      <c r="AM23" s="34">
        <f t="shared" si="10"/>
        <v>14400</v>
      </c>
      <c r="AN23" s="34">
        <f t="shared" si="11"/>
        <v>15120</v>
      </c>
      <c r="AO23" s="34">
        <f t="shared" si="12"/>
        <v>15724.799999999997</v>
      </c>
    </row>
    <row r="24" spans="1:41" x14ac:dyDescent="0.25">
      <c r="A24" s="31" t="s">
        <v>154</v>
      </c>
      <c r="B24" s="32" t="s">
        <v>114</v>
      </c>
      <c r="C24" s="33">
        <f>Supuestos!$B$26*Supuestos!$H$9</f>
        <v>600</v>
      </c>
      <c r="D24" s="33">
        <f>Supuestos!$B$26*Supuestos!$H$9</f>
        <v>600</v>
      </c>
      <c r="E24" s="33">
        <f>Supuestos!$B$26*Supuestos!$H$9</f>
        <v>600</v>
      </c>
      <c r="F24" s="33">
        <f>Supuestos!$B$26*Supuestos!$H$9</f>
        <v>600</v>
      </c>
      <c r="G24" s="33">
        <f>Supuestos!$B$26*Supuestos!$H$9</f>
        <v>600</v>
      </c>
      <c r="H24" s="33">
        <f>Supuestos!$B$26*Supuestos!$H$9</f>
        <v>600</v>
      </c>
      <c r="I24" s="33">
        <f>Supuestos!$B$26*Supuestos!$H$9</f>
        <v>600</v>
      </c>
      <c r="J24" s="33">
        <f>Supuestos!$B$26*Supuestos!$H$9</f>
        <v>600</v>
      </c>
      <c r="K24" s="33">
        <f>Supuestos!$B$26*Supuestos!$H$9</f>
        <v>600</v>
      </c>
      <c r="L24" s="33">
        <f>Supuestos!$B$26*Supuestos!$H$9</f>
        <v>600</v>
      </c>
      <c r="M24" s="33">
        <f>Supuestos!$B$26*Supuestos!$H$9</f>
        <v>600</v>
      </c>
      <c r="N24" s="33">
        <f>Supuestos!$B$26*Supuestos!$H$9</f>
        <v>600</v>
      </c>
      <c r="O24" s="33">
        <f>C24*(1+Supuestos!$C$26)</f>
        <v>648</v>
      </c>
      <c r="P24" s="33">
        <f>D24*(1+Supuestos!$C$26)</f>
        <v>648</v>
      </c>
      <c r="Q24" s="33">
        <f>E24*(1+Supuestos!$C$26)</f>
        <v>648</v>
      </c>
      <c r="R24" s="33">
        <f>F24*(1+Supuestos!$C$26)</f>
        <v>648</v>
      </c>
      <c r="S24" s="33">
        <f>G24*(1+Supuestos!$C$26)</f>
        <v>648</v>
      </c>
      <c r="T24" s="33">
        <f>H24*(1+Supuestos!$C$26)</f>
        <v>648</v>
      </c>
      <c r="U24" s="33">
        <f>I24*(1+Supuestos!$C$26)</f>
        <v>648</v>
      </c>
      <c r="V24" s="33">
        <f>J24*(1+Supuestos!$C$26)</f>
        <v>648</v>
      </c>
      <c r="W24" s="33">
        <f>K24*(1+Supuestos!$C$26)</f>
        <v>648</v>
      </c>
      <c r="X24" s="33">
        <f>L24*(1+Supuestos!$C$26)</f>
        <v>648</v>
      </c>
      <c r="Y24" s="33">
        <f>M24*(1+Supuestos!$C$26)</f>
        <v>648</v>
      </c>
      <c r="Z24" s="33">
        <f>N24*(1+Supuestos!$C$26)</f>
        <v>648</v>
      </c>
      <c r="AA24" s="33">
        <f>O24*(1+Supuestos!$D$26)</f>
        <v>686.88</v>
      </c>
      <c r="AB24" s="33">
        <f>P24*(1+Supuestos!$D$26)</f>
        <v>686.88</v>
      </c>
      <c r="AC24" s="33">
        <f>Q24*(1+Supuestos!$D$26)</f>
        <v>686.88</v>
      </c>
      <c r="AD24" s="33">
        <f>R24*(1+Supuestos!$D$26)</f>
        <v>686.88</v>
      </c>
      <c r="AE24" s="33">
        <f>S24*(1+Supuestos!$D$26)</f>
        <v>686.88</v>
      </c>
      <c r="AF24" s="33">
        <f>T24*(1+Supuestos!$D$26)</f>
        <v>686.88</v>
      </c>
      <c r="AG24" s="33">
        <f>U24*(1+Supuestos!$D$26)</f>
        <v>686.88</v>
      </c>
      <c r="AH24" s="33">
        <f>V24*(1+Supuestos!$D$26)</f>
        <v>686.88</v>
      </c>
      <c r="AI24" s="33">
        <f>W24*(1+Supuestos!$D$26)</f>
        <v>686.88</v>
      </c>
      <c r="AJ24" s="33">
        <f>X24*(1+Supuestos!$D$26)</f>
        <v>686.88</v>
      </c>
      <c r="AK24" s="33">
        <f>Y24*(1+Supuestos!$D$26)</f>
        <v>686.88</v>
      </c>
      <c r="AL24" s="33">
        <f>Z24*(1+Supuestos!$D$26)</f>
        <v>686.88</v>
      </c>
      <c r="AM24" s="34">
        <f t="shared" si="10"/>
        <v>7200</v>
      </c>
      <c r="AN24" s="34">
        <f t="shared" si="11"/>
        <v>7776</v>
      </c>
      <c r="AO24" s="34">
        <f t="shared" si="12"/>
        <v>8242.56</v>
      </c>
    </row>
    <row r="25" spans="1:41" x14ac:dyDescent="0.25">
      <c r="A25" s="31" t="s">
        <v>154</v>
      </c>
      <c r="B25" s="32" t="s">
        <v>118</v>
      </c>
      <c r="C25" s="33">
        <f>Supuestos!$B$27*Supuestos!$H$8</f>
        <v>180</v>
      </c>
      <c r="D25" s="33">
        <f>Supuestos!$B$27*Supuestos!$H$8</f>
        <v>180</v>
      </c>
      <c r="E25" s="33">
        <f>Supuestos!$B$27*Supuestos!$H$8</f>
        <v>180</v>
      </c>
      <c r="F25" s="33">
        <f>Supuestos!$B$27*Supuestos!$H$8</f>
        <v>180</v>
      </c>
      <c r="G25" s="33">
        <f>Supuestos!$B$27*Supuestos!$H$8</f>
        <v>180</v>
      </c>
      <c r="H25" s="33">
        <f>Supuestos!$B$27*Supuestos!$H$8</f>
        <v>180</v>
      </c>
      <c r="I25" s="33">
        <f>Supuestos!$B$27*Supuestos!$H$8</f>
        <v>180</v>
      </c>
      <c r="J25" s="33">
        <f>Supuestos!$B$27*Supuestos!$H$8</f>
        <v>180</v>
      </c>
      <c r="K25" s="33">
        <f>Supuestos!$B$27*Supuestos!$H$8</f>
        <v>180</v>
      </c>
      <c r="L25" s="33">
        <f>Supuestos!$B$27*Supuestos!$H$8</f>
        <v>180</v>
      </c>
      <c r="M25" s="33">
        <f>Supuestos!$B$27*Supuestos!$H$8</f>
        <v>180</v>
      </c>
      <c r="N25" s="33">
        <f>Supuestos!$B$27*Supuestos!$H$8</f>
        <v>180</v>
      </c>
      <c r="O25" s="33">
        <f>C25*(1+Supuestos!$C$27)</f>
        <v>189</v>
      </c>
      <c r="P25" s="33">
        <f>D25*(1+Supuestos!$C$27)</f>
        <v>189</v>
      </c>
      <c r="Q25" s="33">
        <f>E25*(1+Supuestos!$C$27)</f>
        <v>189</v>
      </c>
      <c r="R25" s="33">
        <f>F25*(1+Supuestos!$C$27)</f>
        <v>189</v>
      </c>
      <c r="S25" s="33">
        <f>G25*(1+Supuestos!$C$27)</f>
        <v>189</v>
      </c>
      <c r="T25" s="33">
        <f>H25*(1+Supuestos!$C$27)</f>
        <v>189</v>
      </c>
      <c r="U25" s="33">
        <f>I25*(1+Supuestos!$C$27)</f>
        <v>189</v>
      </c>
      <c r="V25" s="33">
        <f>J25*(1+Supuestos!$C$27)</f>
        <v>189</v>
      </c>
      <c r="W25" s="33">
        <f>K25*(1+Supuestos!$C$27)</f>
        <v>189</v>
      </c>
      <c r="X25" s="33">
        <f>L25*(1+Supuestos!$C$27)</f>
        <v>189</v>
      </c>
      <c r="Y25" s="33">
        <f>M25*(1+Supuestos!$C$27)</f>
        <v>189</v>
      </c>
      <c r="Z25" s="33">
        <f>N25*(1+Supuestos!$C$27)</f>
        <v>189</v>
      </c>
      <c r="AA25" s="33">
        <f>O25*(1+Supuestos!$D$27)</f>
        <v>196.56</v>
      </c>
      <c r="AB25" s="33">
        <f>P25*(1+Supuestos!$D$27)</f>
        <v>196.56</v>
      </c>
      <c r="AC25" s="33">
        <f>Q25*(1+Supuestos!$D$27)</f>
        <v>196.56</v>
      </c>
      <c r="AD25" s="33">
        <f>R25*(1+Supuestos!$D$27)</f>
        <v>196.56</v>
      </c>
      <c r="AE25" s="33">
        <f>S25*(1+Supuestos!$D$27)</f>
        <v>196.56</v>
      </c>
      <c r="AF25" s="33">
        <f>T25*(1+Supuestos!$D$27)</f>
        <v>196.56</v>
      </c>
      <c r="AG25" s="33">
        <f>U25*(1+Supuestos!$D$27)</f>
        <v>196.56</v>
      </c>
      <c r="AH25" s="33">
        <f>V25*(1+Supuestos!$D$27)</f>
        <v>196.56</v>
      </c>
      <c r="AI25" s="33">
        <f>W25*(1+Supuestos!$D$27)</f>
        <v>196.56</v>
      </c>
      <c r="AJ25" s="33">
        <f>X25*(1+Supuestos!$D$27)</f>
        <v>196.56</v>
      </c>
      <c r="AK25" s="33">
        <f>Y25*(1+Supuestos!$D$27)</f>
        <v>196.56</v>
      </c>
      <c r="AL25" s="33">
        <f>Z25*(1+Supuestos!$D$27)</f>
        <v>196.56</v>
      </c>
      <c r="AM25" s="34">
        <f t="shared" si="10"/>
        <v>2160</v>
      </c>
      <c r="AN25" s="34">
        <f t="shared" si="11"/>
        <v>2268</v>
      </c>
      <c r="AO25" s="34">
        <f t="shared" si="12"/>
        <v>2358.7199999999998</v>
      </c>
    </row>
    <row r="26" spans="1:41" x14ac:dyDescent="0.25">
      <c r="A26" s="31" t="s">
        <v>154</v>
      </c>
      <c r="B26" s="32" t="s">
        <v>122</v>
      </c>
      <c r="C26" s="33">
        <f>Supuestos!$B$28*Supuestos!$H$8</f>
        <v>420</v>
      </c>
      <c r="D26" s="33">
        <f>Supuestos!$B$28*Supuestos!$H$8</f>
        <v>420</v>
      </c>
      <c r="E26" s="33">
        <f>Supuestos!$B$28*Supuestos!$H$8</f>
        <v>420</v>
      </c>
      <c r="F26" s="33">
        <f>Supuestos!$B$28*Supuestos!$H$8</f>
        <v>420</v>
      </c>
      <c r="G26" s="33">
        <f>Supuestos!$B$28*Supuestos!$H$8</f>
        <v>420</v>
      </c>
      <c r="H26" s="33">
        <f>Supuestos!$B$28*Supuestos!$H$8</f>
        <v>420</v>
      </c>
      <c r="I26" s="33">
        <f>Supuestos!$B$28*Supuestos!$H$8</f>
        <v>420</v>
      </c>
      <c r="J26" s="33">
        <f>Supuestos!$B$28*Supuestos!$H$8</f>
        <v>420</v>
      </c>
      <c r="K26" s="33">
        <f>Supuestos!$B$28*Supuestos!$H$8</f>
        <v>420</v>
      </c>
      <c r="L26" s="33">
        <f>Supuestos!$B$28*Supuestos!$H$8</f>
        <v>420</v>
      </c>
      <c r="M26" s="33">
        <f>Supuestos!$B$28*Supuestos!$H$8</f>
        <v>420</v>
      </c>
      <c r="N26" s="33">
        <f>Supuestos!$B$28*Supuestos!$H$8</f>
        <v>420</v>
      </c>
      <c r="O26" s="33">
        <f>C26*(1+Supuestos!$C$28)</f>
        <v>445.20000000000005</v>
      </c>
      <c r="P26" s="33">
        <f>D26*(1+Supuestos!$C$28)</f>
        <v>445.20000000000005</v>
      </c>
      <c r="Q26" s="33">
        <f>E26*(1+Supuestos!$C$28)</f>
        <v>445.20000000000005</v>
      </c>
      <c r="R26" s="33">
        <f>F26*(1+Supuestos!$C$28)</f>
        <v>445.20000000000005</v>
      </c>
      <c r="S26" s="33">
        <f>G26*(1+Supuestos!$C$28)</f>
        <v>445.20000000000005</v>
      </c>
      <c r="T26" s="33">
        <f>H26*(1+Supuestos!$C$28)</f>
        <v>445.20000000000005</v>
      </c>
      <c r="U26" s="33">
        <f>I26*(1+Supuestos!$C$28)</f>
        <v>445.20000000000005</v>
      </c>
      <c r="V26" s="33">
        <f>J26*(1+Supuestos!$C$28)</f>
        <v>445.20000000000005</v>
      </c>
      <c r="W26" s="33">
        <f>K26*(1+Supuestos!$C$28)</f>
        <v>445.20000000000005</v>
      </c>
      <c r="X26" s="33">
        <f>L26*(1+Supuestos!$C$28)</f>
        <v>445.20000000000005</v>
      </c>
      <c r="Y26" s="33">
        <f>M26*(1+Supuestos!$C$28)</f>
        <v>445.20000000000005</v>
      </c>
      <c r="Z26" s="33">
        <f>N26*(1+Supuestos!$C$28)</f>
        <v>445.20000000000005</v>
      </c>
      <c r="AA26" s="33">
        <f>O26*(1+Supuestos!$D$28)</f>
        <v>467.46000000000009</v>
      </c>
      <c r="AB26" s="33">
        <f>P26*(1+Supuestos!$D$28)</f>
        <v>467.46000000000009</v>
      </c>
      <c r="AC26" s="33">
        <f>Q26*(1+Supuestos!$D$28)</f>
        <v>467.46000000000009</v>
      </c>
      <c r="AD26" s="33">
        <f>R26*(1+Supuestos!$D$28)</f>
        <v>467.46000000000009</v>
      </c>
      <c r="AE26" s="33">
        <f>S26*(1+Supuestos!$D$28)</f>
        <v>467.46000000000009</v>
      </c>
      <c r="AF26" s="33">
        <f>T26*(1+Supuestos!$D$28)</f>
        <v>467.46000000000009</v>
      </c>
      <c r="AG26" s="33">
        <f>U26*(1+Supuestos!$D$28)</f>
        <v>467.46000000000009</v>
      </c>
      <c r="AH26" s="33">
        <f>V26*(1+Supuestos!$D$28)</f>
        <v>467.46000000000009</v>
      </c>
      <c r="AI26" s="33">
        <f>W26*(1+Supuestos!$D$28)</f>
        <v>467.46000000000009</v>
      </c>
      <c r="AJ26" s="33">
        <f>X26*(1+Supuestos!$D$28)</f>
        <v>467.46000000000009</v>
      </c>
      <c r="AK26" s="33">
        <f>Y26*(1+Supuestos!$D$28)</f>
        <v>467.46000000000009</v>
      </c>
      <c r="AL26" s="33">
        <f>Z26*(1+Supuestos!$D$28)</f>
        <v>467.46000000000009</v>
      </c>
      <c r="AM26" s="34">
        <f t="shared" si="10"/>
        <v>5040</v>
      </c>
      <c r="AN26" s="34">
        <f t="shared" si="11"/>
        <v>5342.3999999999987</v>
      </c>
      <c r="AO26" s="34">
        <f t="shared" si="12"/>
        <v>5609.5200000000013</v>
      </c>
    </row>
    <row r="27" spans="1:41" x14ac:dyDescent="0.25">
      <c r="A27" s="31" t="s">
        <v>154</v>
      </c>
      <c r="B27" s="32" t="s">
        <v>127</v>
      </c>
      <c r="C27" s="33">
        <f>Supuestos!$B$29*Supuestos!$H$8</f>
        <v>210</v>
      </c>
      <c r="D27" s="33">
        <f>Supuestos!$B$29*Supuestos!$H$8</f>
        <v>210</v>
      </c>
      <c r="E27" s="33">
        <f>Supuestos!$B$29*Supuestos!$H$8</f>
        <v>210</v>
      </c>
      <c r="F27" s="33">
        <f>Supuestos!$B$29*Supuestos!$H$8</f>
        <v>210</v>
      </c>
      <c r="G27" s="33">
        <f>Supuestos!$B$29*Supuestos!$H$8</f>
        <v>210</v>
      </c>
      <c r="H27" s="33">
        <f>Supuestos!$B$29*Supuestos!$H$8</f>
        <v>210</v>
      </c>
      <c r="I27" s="33">
        <f>Supuestos!$B$29*Supuestos!$H$8</f>
        <v>210</v>
      </c>
      <c r="J27" s="33">
        <f>Supuestos!$B$29*Supuestos!$H$8</f>
        <v>210</v>
      </c>
      <c r="K27" s="33">
        <f>Supuestos!$B$29*Supuestos!$H$8</f>
        <v>210</v>
      </c>
      <c r="L27" s="33">
        <f>Supuestos!$B$29*Supuestos!$H$8</f>
        <v>210</v>
      </c>
      <c r="M27" s="33">
        <f>Supuestos!$B$29*Supuestos!$H$8</f>
        <v>210</v>
      </c>
      <c r="N27" s="33">
        <f>Supuestos!$B$29*Supuestos!$H$8</f>
        <v>210</v>
      </c>
      <c r="O27" s="33">
        <f>C27*(1+Supuestos!$C$29)</f>
        <v>218.4</v>
      </c>
      <c r="P27" s="33">
        <f>D27*(1+Supuestos!$C$29)</f>
        <v>218.4</v>
      </c>
      <c r="Q27" s="33">
        <f>E27*(1+Supuestos!$C$29)</f>
        <v>218.4</v>
      </c>
      <c r="R27" s="33">
        <f>F27*(1+Supuestos!$C$29)</f>
        <v>218.4</v>
      </c>
      <c r="S27" s="33">
        <f>G27*(1+Supuestos!$C$29)</f>
        <v>218.4</v>
      </c>
      <c r="T27" s="33">
        <f>H27*(1+Supuestos!$C$29)</f>
        <v>218.4</v>
      </c>
      <c r="U27" s="33">
        <f>I27*(1+Supuestos!$C$29)</f>
        <v>218.4</v>
      </c>
      <c r="V27" s="33">
        <f>J27*(1+Supuestos!$C$29)</f>
        <v>218.4</v>
      </c>
      <c r="W27" s="33">
        <f>K27*(1+Supuestos!$C$29)</f>
        <v>218.4</v>
      </c>
      <c r="X27" s="33">
        <f>L27*(1+Supuestos!$C$29)</f>
        <v>218.4</v>
      </c>
      <c r="Y27" s="33">
        <f>M27*(1+Supuestos!$C$29)</f>
        <v>218.4</v>
      </c>
      <c r="Z27" s="33">
        <f>N27*(1+Supuestos!$C$29)</f>
        <v>218.4</v>
      </c>
      <c r="AA27" s="33">
        <f>O27*(1+Supuestos!$D$29)</f>
        <v>227.13600000000002</v>
      </c>
      <c r="AB27" s="33">
        <f>P27*(1+Supuestos!$D$29)</f>
        <v>227.13600000000002</v>
      </c>
      <c r="AC27" s="33">
        <f>Q27*(1+Supuestos!$D$29)</f>
        <v>227.13600000000002</v>
      </c>
      <c r="AD27" s="33">
        <f>R27*(1+Supuestos!$D$29)</f>
        <v>227.13600000000002</v>
      </c>
      <c r="AE27" s="33">
        <f>S27*(1+Supuestos!$D$29)</f>
        <v>227.13600000000002</v>
      </c>
      <c r="AF27" s="33">
        <f>T27*(1+Supuestos!$D$29)</f>
        <v>227.13600000000002</v>
      </c>
      <c r="AG27" s="33">
        <f>U27*(1+Supuestos!$D$29)</f>
        <v>227.13600000000002</v>
      </c>
      <c r="AH27" s="33">
        <f>V27*(1+Supuestos!$D$29)</f>
        <v>227.13600000000002</v>
      </c>
      <c r="AI27" s="33">
        <f>W27*(1+Supuestos!$D$29)</f>
        <v>227.13600000000002</v>
      </c>
      <c r="AJ27" s="33">
        <f>X27*(1+Supuestos!$D$29)</f>
        <v>227.13600000000002</v>
      </c>
      <c r="AK27" s="33">
        <f>Y27*(1+Supuestos!$D$29)</f>
        <v>227.13600000000002</v>
      </c>
      <c r="AL27" s="33">
        <f>Z27*(1+Supuestos!$D$29)</f>
        <v>227.13600000000002</v>
      </c>
      <c r="AM27" s="34">
        <f t="shared" si="10"/>
        <v>2520</v>
      </c>
      <c r="AN27" s="34">
        <f t="shared" si="11"/>
        <v>2620.8000000000006</v>
      </c>
      <c r="AO27" s="34">
        <f t="shared" si="12"/>
        <v>2725.6320000000001</v>
      </c>
    </row>
    <row r="28" spans="1:41" x14ac:dyDescent="0.25">
      <c r="A28" s="31" t="s">
        <v>154</v>
      </c>
      <c r="B28" s="32" t="s">
        <v>130</v>
      </c>
      <c r="C28" s="33">
        <f>Supuestos!$B$30*Supuestos!$H$8</f>
        <v>240</v>
      </c>
      <c r="D28" s="33">
        <f>Supuestos!$B$30*Supuestos!$H$8</f>
        <v>240</v>
      </c>
      <c r="E28" s="33">
        <f>Supuestos!$B$30*Supuestos!$H$8</f>
        <v>240</v>
      </c>
      <c r="F28" s="33">
        <f>Supuestos!$B$30*Supuestos!$H$8</f>
        <v>240</v>
      </c>
      <c r="G28" s="33">
        <f>Supuestos!$B$30*Supuestos!$H$8</f>
        <v>240</v>
      </c>
      <c r="H28" s="33">
        <f>Supuestos!$B$30*Supuestos!$H$8</f>
        <v>240</v>
      </c>
      <c r="I28" s="33">
        <f>Supuestos!$B$30*Supuestos!$H$8</f>
        <v>240</v>
      </c>
      <c r="J28" s="33">
        <f>Supuestos!$B$30*Supuestos!$H$8</f>
        <v>240</v>
      </c>
      <c r="K28" s="33">
        <f>Supuestos!$B$30*Supuestos!$H$8</f>
        <v>240</v>
      </c>
      <c r="L28" s="33">
        <f>Supuestos!$B$30*Supuestos!$H$8</f>
        <v>240</v>
      </c>
      <c r="M28" s="33">
        <f>Supuestos!$B$30*Supuestos!$H$8</f>
        <v>240</v>
      </c>
      <c r="N28" s="33">
        <f>Supuestos!$B$30*Supuestos!$H$8</f>
        <v>240</v>
      </c>
      <c r="O28" s="33">
        <f>C28*(1+Supuestos!$C$30)</f>
        <v>249.60000000000002</v>
      </c>
      <c r="P28" s="33">
        <f>D28*(1+Supuestos!$C$30)</f>
        <v>249.60000000000002</v>
      </c>
      <c r="Q28" s="33">
        <f>E28*(1+Supuestos!$C$30)</f>
        <v>249.60000000000002</v>
      </c>
      <c r="R28" s="33">
        <f>F28*(1+Supuestos!$C$30)</f>
        <v>249.60000000000002</v>
      </c>
      <c r="S28" s="33">
        <f>G28*(1+Supuestos!$C$30)</f>
        <v>249.60000000000002</v>
      </c>
      <c r="T28" s="33">
        <f>H28*(1+Supuestos!$C$30)</f>
        <v>249.60000000000002</v>
      </c>
      <c r="U28" s="33">
        <f>I28*(1+Supuestos!$C$30)</f>
        <v>249.60000000000002</v>
      </c>
      <c r="V28" s="33">
        <f>J28*(1+Supuestos!$C$30)</f>
        <v>249.60000000000002</v>
      </c>
      <c r="W28" s="33">
        <f>K28*(1+Supuestos!$C$30)</f>
        <v>249.60000000000002</v>
      </c>
      <c r="X28" s="33">
        <f>L28*(1+Supuestos!$C$30)</f>
        <v>249.60000000000002</v>
      </c>
      <c r="Y28" s="33">
        <f>M28*(1+Supuestos!$C$30)</f>
        <v>249.60000000000002</v>
      </c>
      <c r="Z28" s="33">
        <f>N28*(1+Supuestos!$C$30)</f>
        <v>249.60000000000002</v>
      </c>
      <c r="AA28" s="33">
        <f>O28*(1+Supuestos!$D$30)</f>
        <v>259.58400000000006</v>
      </c>
      <c r="AB28" s="33">
        <f>P28*(1+Supuestos!$D$30)</f>
        <v>259.58400000000006</v>
      </c>
      <c r="AC28" s="33">
        <f>Q28*(1+Supuestos!$D$30)</f>
        <v>259.58400000000006</v>
      </c>
      <c r="AD28" s="33">
        <f>R28*(1+Supuestos!$D$30)</f>
        <v>259.58400000000006</v>
      </c>
      <c r="AE28" s="33">
        <f>S28*(1+Supuestos!$D$30)</f>
        <v>259.58400000000006</v>
      </c>
      <c r="AF28" s="33">
        <f>T28*(1+Supuestos!$D$30)</f>
        <v>259.58400000000006</v>
      </c>
      <c r="AG28" s="33">
        <f>U28*(1+Supuestos!$D$30)</f>
        <v>259.58400000000006</v>
      </c>
      <c r="AH28" s="33">
        <f>V28*(1+Supuestos!$D$30)</f>
        <v>259.58400000000006</v>
      </c>
      <c r="AI28" s="33">
        <f>W28*(1+Supuestos!$D$30)</f>
        <v>259.58400000000006</v>
      </c>
      <c r="AJ28" s="33">
        <f>X28*(1+Supuestos!$D$30)</f>
        <v>259.58400000000006</v>
      </c>
      <c r="AK28" s="33">
        <f>Y28*(1+Supuestos!$D$30)</f>
        <v>259.58400000000006</v>
      </c>
      <c r="AL28" s="33">
        <f>Z28*(1+Supuestos!$D$30)</f>
        <v>259.58400000000006</v>
      </c>
      <c r="AM28" s="34">
        <f t="shared" si="10"/>
        <v>2880</v>
      </c>
      <c r="AN28" s="34">
        <f t="shared" si="11"/>
        <v>2995.1999999999994</v>
      </c>
      <c r="AO28" s="34">
        <f t="shared" si="12"/>
        <v>3115.0079999999998</v>
      </c>
    </row>
    <row r="29" spans="1:41" x14ac:dyDescent="0.25">
      <c r="A29" s="35" t="s">
        <v>154</v>
      </c>
      <c r="B29" s="36" t="s">
        <v>162</v>
      </c>
      <c r="C29" s="37">
        <f t="shared" ref="C29:AL29" si="13">SUM(C22:C28)</f>
        <v>7500.5</v>
      </c>
      <c r="D29" s="37">
        <f t="shared" si="13"/>
        <v>7500.5</v>
      </c>
      <c r="E29" s="37">
        <f t="shared" si="13"/>
        <v>7500.5</v>
      </c>
      <c r="F29" s="37">
        <f t="shared" si="13"/>
        <v>7500.5</v>
      </c>
      <c r="G29" s="37">
        <f t="shared" si="13"/>
        <v>7500.5</v>
      </c>
      <c r="H29" s="37">
        <f t="shared" si="13"/>
        <v>9727.5</v>
      </c>
      <c r="I29" s="37">
        <f t="shared" si="13"/>
        <v>9727.5</v>
      </c>
      <c r="J29" s="37">
        <f t="shared" si="13"/>
        <v>9727.5</v>
      </c>
      <c r="K29" s="37">
        <f t="shared" si="13"/>
        <v>10644.5</v>
      </c>
      <c r="L29" s="37">
        <f t="shared" si="13"/>
        <v>10644.5</v>
      </c>
      <c r="M29" s="37">
        <f t="shared" si="13"/>
        <v>10644.5</v>
      </c>
      <c r="N29" s="37">
        <f t="shared" si="13"/>
        <v>10644.5</v>
      </c>
      <c r="O29" s="37">
        <f t="shared" si="13"/>
        <v>13593.035</v>
      </c>
      <c r="P29" s="37">
        <f t="shared" si="13"/>
        <v>13593.035</v>
      </c>
      <c r="Q29" s="37">
        <f t="shared" si="13"/>
        <v>13593.035</v>
      </c>
      <c r="R29" s="37">
        <f t="shared" si="13"/>
        <v>13593.035</v>
      </c>
      <c r="S29" s="37">
        <f t="shared" si="13"/>
        <v>13593.035</v>
      </c>
      <c r="T29" s="37">
        <f t="shared" si="13"/>
        <v>13593.035</v>
      </c>
      <c r="U29" s="37">
        <f t="shared" si="13"/>
        <v>13593.035</v>
      </c>
      <c r="V29" s="37">
        <f t="shared" si="13"/>
        <v>13593.035</v>
      </c>
      <c r="W29" s="37">
        <f t="shared" si="13"/>
        <v>13593.035</v>
      </c>
      <c r="X29" s="37">
        <f t="shared" si="13"/>
        <v>13593.035</v>
      </c>
      <c r="Y29" s="37">
        <f t="shared" si="13"/>
        <v>13593.035</v>
      </c>
      <c r="Z29" s="37">
        <f t="shared" si="13"/>
        <v>13593.035</v>
      </c>
      <c r="AA29" s="37">
        <f t="shared" si="13"/>
        <v>14259.996750000002</v>
      </c>
      <c r="AB29" s="37">
        <f t="shared" si="13"/>
        <v>14259.996750000002</v>
      </c>
      <c r="AC29" s="37">
        <f t="shared" si="13"/>
        <v>14259.996750000002</v>
      </c>
      <c r="AD29" s="37">
        <f t="shared" si="13"/>
        <v>14259.996750000002</v>
      </c>
      <c r="AE29" s="37">
        <f t="shared" si="13"/>
        <v>14259.996750000002</v>
      </c>
      <c r="AF29" s="37">
        <f t="shared" si="13"/>
        <v>14259.996750000002</v>
      </c>
      <c r="AG29" s="37">
        <f t="shared" si="13"/>
        <v>14259.996750000002</v>
      </c>
      <c r="AH29" s="37">
        <f t="shared" si="13"/>
        <v>14259.996750000002</v>
      </c>
      <c r="AI29" s="37">
        <f t="shared" si="13"/>
        <v>14259.996750000002</v>
      </c>
      <c r="AJ29" s="37">
        <f t="shared" si="13"/>
        <v>14259.996750000002</v>
      </c>
      <c r="AK29" s="37">
        <f t="shared" si="13"/>
        <v>14259.996750000002</v>
      </c>
      <c r="AL29" s="37">
        <f t="shared" si="13"/>
        <v>14259.996750000002</v>
      </c>
      <c r="AM29" s="38">
        <f t="shared" si="10"/>
        <v>109263</v>
      </c>
      <c r="AN29" s="38">
        <f t="shared" si="11"/>
        <v>163116.42000000001</v>
      </c>
      <c r="AO29" s="38">
        <f t="shared" si="12"/>
        <v>171119.96100000001</v>
      </c>
    </row>
    <row r="30" spans="1:41" x14ac:dyDescent="0.25">
      <c r="A30" s="35" t="s">
        <v>154</v>
      </c>
      <c r="B30" s="36" t="s">
        <v>163</v>
      </c>
      <c r="C30" s="37">
        <f t="shared" ref="C30:AL30" si="14">C18-C29</f>
        <v>-1600.5</v>
      </c>
      <c r="D30" s="37">
        <f t="shared" si="14"/>
        <v>-570.5</v>
      </c>
      <c r="E30" s="37">
        <f t="shared" si="14"/>
        <v>239.5</v>
      </c>
      <c r="F30" s="37">
        <f t="shared" si="14"/>
        <v>919.5</v>
      </c>
      <c r="G30" s="37">
        <f t="shared" si="14"/>
        <v>1949.5</v>
      </c>
      <c r="H30" s="37">
        <f t="shared" si="14"/>
        <v>402.5</v>
      </c>
      <c r="I30" s="37">
        <f t="shared" si="14"/>
        <v>1432.5</v>
      </c>
      <c r="J30" s="37">
        <f t="shared" si="14"/>
        <v>2112.5</v>
      </c>
      <c r="K30" s="37">
        <f t="shared" si="14"/>
        <v>2225.5</v>
      </c>
      <c r="L30" s="37">
        <f t="shared" si="14"/>
        <v>3145.5</v>
      </c>
      <c r="M30" s="37">
        <f t="shared" si="14"/>
        <v>4655.5</v>
      </c>
      <c r="N30" s="37">
        <f t="shared" si="14"/>
        <v>7015.5</v>
      </c>
      <c r="O30" s="37">
        <f t="shared" si="14"/>
        <v>-5970.4999999999991</v>
      </c>
      <c r="P30" s="37">
        <f t="shared" si="14"/>
        <v>-4653.1339999999982</v>
      </c>
      <c r="Q30" s="37">
        <f t="shared" si="14"/>
        <v>-3624.5359999999982</v>
      </c>
      <c r="R30" s="37">
        <f t="shared" si="14"/>
        <v>-2715.3049999999985</v>
      </c>
      <c r="S30" s="37">
        <f t="shared" si="14"/>
        <v>-1397.9389999999985</v>
      </c>
      <c r="T30" s="37">
        <f t="shared" si="14"/>
        <v>-488.70800000000236</v>
      </c>
      <c r="U30" s="37">
        <f t="shared" si="14"/>
        <v>828.65799999999945</v>
      </c>
      <c r="V30" s="37">
        <f t="shared" si="14"/>
        <v>1737.8890000000029</v>
      </c>
      <c r="W30" s="37">
        <f t="shared" si="14"/>
        <v>3055.255000000001</v>
      </c>
      <c r="X30" s="37">
        <f t="shared" si="14"/>
        <v>4296.1810000000005</v>
      </c>
      <c r="Y30" s="37">
        <f t="shared" si="14"/>
        <v>6276.9370000000017</v>
      </c>
      <c r="Z30" s="37">
        <f t="shared" si="14"/>
        <v>9508.0329999999994</v>
      </c>
      <c r="AA30" s="37">
        <f t="shared" si="14"/>
        <v>-4814.4447179999988</v>
      </c>
      <c r="AB30" s="37">
        <f t="shared" si="14"/>
        <v>-3193.8826204000015</v>
      </c>
      <c r="AC30" s="37">
        <f t="shared" si="14"/>
        <v>-1934.5623276000024</v>
      </c>
      <c r="AD30" s="37">
        <f t="shared" si="14"/>
        <v>-777.46771000000081</v>
      </c>
      <c r="AE30" s="37">
        <f t="shared" si="14"/>
        <v>843.0943875999983</v>
      </c>
      <c r="AF30" s="37">
        <f t="shared" si="14"/>
        <v>2000.1890051999981</v>
      </c>
      <c r="AG30" s="37">
        <f t="shared" si="14"/>
        <v>3620.7511028000008</v>
      </c>
      <c r="AH30" s="37">
        <f t="shared" si="14"/>
        <v>4777.8457204000042</v>
      </c>
      <c r="AI30" s="37">
        <f t="shared" si="14"/>
        <v>6398.4078179999997</v>
      </c>
      <c r="AJ30" s="37">
        <f t="shared" si="14"/>
        <v>7990.1134436000029</v>
      </c>
      <c r="AK30" s="37">
        <f t="shared" si="14"/>
        <v>10479.897557200002</v>
      </c>
      <c r="AL30" s="37">
        <f t="shared" si="14"/>
        <v>14679.269230800001</v>
      </c>
      <c r="AM30" s="38">
        <f t="shared" si="10"/>
        <v>21927</v>
      </c>
      <c r="AN30" s="38">
        <f t="shared" si="11"/>
        <v>6852.8310000000092</v>
      </c>
      <c r="AO30" s="38">
        <f t="shared" si="12"/>
        <v>40069.210889599999</v>
      </c>
    </row>
    <row r="31" spans="1:41" x14ac:dyDescent="0.25">
      <c r="A31" s="35" t="s">
        <v>154</v>
      </c>
      <c r="B31" s="36" t="s">
        <v>164</v>
      </c>
      <c r="C31" s="37">
        <f>IF(AND(1&gt;=Supuestos!$M$25,1&lt;Supuestos!$M$25+Supuestos!$O$25*12),Supuestos!$N$25/(Supuestos!$O$25*12),0)+IF(AND(1&gt;=Supuestos!$M$26,1&lt;Supuestos!$M$26+Supuestos!$O$26*12),Supuestos!$N$26/(Supuestos!$O$26*12),0)+IF(AND(1&gt;=Supuestos!$M$27,1&lt;Supuestos!$M$27+Supuestos!$O$27*12),Supuestos!$N$27/(Supuestos!$O$27*12),0)+IF(AND(1&gt;=Supuestos!$M$28,1&lt;Supuestos!$M$28+Supuestos!$O$28*12),Supuestos!$N$28/(Supuestos!$O$28*12),0)</f>
        <v>258.33333333333337</v>
      </c>
      <c r="D31" s="37">
        <f>IF(AND(2&gt;=Supuestos!$M$25,2&lt;Supuestos!$M$25+Supuestos!$O$25*12),Supuestos!$N$25/(Supuestos!$O$25*12),0)+IF(AND(2&gt;=Supuestos!$M$26,2&lt;Supuestos!$M$26+Supuestos!$O$26*12),Supuestos!$N$26/(Supuestos!$O$26*12),0)+IF(AND(2&gt;=Supuestos!$M$27,2&lt;Supuestos!$M$27+Supuestos!$O$27*12),Supuestos!$N$27/(Supuestos!$O$27*12),0)+IF(AND(2&gt;=Supuestos!$M$28,2&lt;Supuestos!$M$28+Supuestos!$O$28*12),Supuestos!$N$28/(Supuestos!$O$28*12),0)</f>
        <v>491.66666666666669</v>
      </c>
      <c r="E31" s="37">
        <f>IF(AND(3&gt;=Supuestos!$M$25,3&lt;Supuestos!$M$25+Supuestos!$O$25*12),Supuestos!$N$25/(Supuestos!$O$25*12),0)+IF(AND(3&gt;=Supuestos!$M$26,3&lt;Supuestos!$M$26+Supuestos!$O$26*12),Supuestos!$N$26/(Supuestos!$O$26*12),0)+IF(AND(3&gt;=Supuestos!$M$27,3&lt;Supuestos!$M$27+Supuestos!$O$27*12),Supuestos!$N$27/(Supuestos!$O$27*12),0)+IF(AND(3&gt;=Supuestos!$M$28,3&lt;Supuestos!$M$28+Supuestos!$O$28*12),Supuestos!$N$28/(Supuestos!$O$28*12),0)</f>
        <v>491.66666666666669</v>
      </c>
      <c r="F31" s="37">
        <f>IF(AND(4&gt;=Supuestos!$M$25,4&lt;Supuestos!$M$25+Supuestos!$O$25*12),Supuestos!$N$25/(Supuestos!$O$25*12),0)+IF(AND(4&gt;=Supuestos!$M$26,4&lt;Supuestos!$M$26+Supuestos!$O$26*12),Supuestos!$N$26/(Supuestos!$O$26*12),0)+IF(AND(4&gt;=Supuestos!$M$27,4&lt;Supuestos!$M$27+Supuestos!$O$27*12),Supuestos!$N$27/(Supuestos!$O$27*12),0)+IF(AND(4&gt;=Supuestos!$M$28,4&lt;Supuestos!$M$28+Supuestos!$O$28*12),Supuestos!$N$28/(Supuestos!$O$28*12),0)</f>
        <v>491.66666666666669</v>
      </c>
      <c r="G31" s="37">
        <f>IF(AND(5&gt;=Supuestos!$M$25,5&lt;Supuestos!$M$25+Supuestos!$O$25*12),Supuestos!$N$25/(Supuestos!$O$25*12),0)+IF(AND(5&gt;=Supuestos!$M$26,5&lt;Supuestos!$M$26+Supuestos!$O$26*12),Supuestos!$N$26/(Supuestos!$O$26*12),0)+IF(AND(5&gt;=Supuestos!$M$27,5&lt;Supuestos!$M$27+Supuestos!$O$27*12),Supuestos!$N$27/(Supuestos!$O$27*12),0)+IF(AND(5&gt;=Supuestos!$M$28,5&lt;Supuestos!$M$28+Supuestos!$O$28*12),Supuestos!$N$28/(Supuestos!$O$28*12),0)</f>
        <v>491.66666666666669</v>
      </c>
      <c r="H31" s="37">
        <f>IF(AND(6&gt;=Supuestos!$M$25,6&lt;Supuestos!$M$25+Supuestos!$O$25*12),Supuestos!$N$25/(Supuestos!$O$25*12),0)+IF(AND(6&gt;=Supuestos!$M$26,6&lt;Supuestos!$M$26+Supuestos!$O$26*12),Supuestos!$N$26/(Supuestos!$O$26*12),0)+IF(AND(6&gt;=Supuestos!$M$27,6&lt;Supuestos!$M$27+Supuestos!$O$27*12),Supuestos!$N$27/(Supuestos!$O$27*12),0)+IF(AND(6&gt;=Supuestos!$M$28,6&lt;Supuestos!$M$28+Supuestos!$O$28*12),Supuestos!$N$28/(Supuestos!$O$28*12),0)</f>
        <v>491.66666666666669</v>
      </c>
      <c r="I31" s="37">
        <f>IF(AND(7&gt;=Supuestos!$M$25,7&lt;Supuestos!$M$25+Supuestos!$O$25*12),Supuestos!$N$25/(Supuestos!$O$25*12),0)+IF(AND(7&gt;=Supuestos!$M$26,7&lt;Supuestos!$M$26+Supuestos!$O$26*12),Supuestos!$N$26/(Supuestos!$O$26*12),0)+IF(AND(7&gt;=Supuestos!$M$27,7&lt;Supuestos!$M$27+Supuestos!$O$27*12),Supuestos!$N$27/(Supuestos!$O$27*12),0)+IF(AND(7&gt;=Supuestos!$M$28,7&lt;Supuestos!$M$28+Supuestos!$O$28*12),Supuestos!$N$28/(Supuestos!$O$28*12),0)</f>
        <v>491.66666666666669</v>
      </c>
      <c r="J31" s="37">
        <f>IF(AND(8&gt;=Supuestos!$M$25,8&lt;Supuestos!$M$25+Supuestos!$O$25*12),Supuestos!$N$25/(Supuestos!$O$25*12),0)+IF(AND(8&gt;=Supuestos!$M$26,8&lt;Supuestos!$M$26+Supuestos!$O$26*12),Supuestos!$N$26/(Supuestos!$O$26*12),0)+IF(AND(8&gt;=Supuestos!$M$27,8&lt;Supuestos!$M$27+Supuestos!$O$27*12),Supuestos!$N$27/(Supuestos!$O$27*12),0)+IF(AND(8&gt;=Supuestos!$M$28,8&lt;Supuestos!$M$28+Supuestos!$O$28*12),Supuestos!$N$28/(Supuestos!$O$28*12),0)</f>
        <v>491.66666666666669</v>
      </c>
      <c r="K31" s="37">
        <f>IF(AND(9&gt;=Supuestos!$M$25,9&lt;Supuestos!$M$25+Supuestos!$O$25*12),Supuestos!$N$25/(Supuestos!$O$25*12),0)+IF(AND(9&gt;=Supuestos!$M$26,9&lt;Supuestos!$M$26+Supuestos!$O$26*12),Supuestos!$N$26/(Supuestos!$O$26*12),0)+IF(AND(9&gt;=Supuestos!$M$27,9&lt;Supuestos!$M$27+Supuestos!$O$27*12),Supuestos!$N$27/(Supuestos!$O$27*12),0)+IF(AND(9&gt;=Supuestos!$M$28,9&lt;Supuestos!$M$28+Supuestos!$O$28*12),Supuestos!$N$28/(Supuestos!$O$28*12),0)</f>
        <v>491.66666666666669</v>
      </c>
      <c r="L31" s="37">
        <f>IF(AND(10&gt;=Supuestos!$M$25,10&lt;Supuestos!$M$25+Supuestos!$O$25*12),Supuestos!$N$25/(Supuestos!$O$25*12),0)+IF(AND(10&gt;=Supuestos!$M$26,10&lt;Supuestos!$M$26+Supuestos!$O$26*12),Supuestos!$N$26/(Supuestos!$O$26*12),0)+IF(AND(10&gt;=Supuestos!$M$27,10&lt;Supuestos!$M$27+Supuestos!$O$27*12),Supuestos!$N$27/(Supuestos!$O$27*12),0)+IF(AND(10&gt;=Supuestos!$M$28,10&lt;Supuestos!$M$28+Supuestos!$O$28*12),Supuestos!$N$28/(Supuestos!$O$28*12),0)</f>
        <v>491.66666666666669</v>
      </c>
      <c r="M31" s="37">
        <f>IF(AND(11&gt;=Supuestos!$M$25,11&lt;Supuestos!$M$25+Supuestos!$O$25*12),Supuestos!$N$25/(Supuestos!$O$25*12),0)+IF(AND(11&gt;=Supuestos!$M$26,11&lt;Supuestos!$M$26+Supuestos!$O$26*12),Supuestos!$N$26/(Supuestos!$O$26*12),0)+IF(AND(11&gt;=Supuestos!$M$27,11&lt;Supuestos!$M$27+Supuestos!$O$27*12),Supuestos!$N$27/(Supuestos!$O$27*12),0)+IF(AND(11&gt;=Supuestos!$M$28,11&lt;Supuestos!$M$28+Supuestos!$O$28*12),Supuestos!$N$28/(Supuestos!$O$28*12),0)</f>
        <v>491.66666666666669</v>
      </c>
      <c r="N31" s="37">
        <f>IF(AND(12&gt;=Supuestos!$M$25,12&lt;Supuestos!$M$25+Supuestos!$O$25*12),Supuestos!$N$25/(Supuestos!$O$25*12),0)+IF(AND(12&gt;=Supuestos!$M$26,12&lt;Supuestos!$M$26+Supuestos!$O$26*12),Supuestos!$N$26/(Supuestos!$O$26*12),0)+IF(AND(12&gt;=Supuestos!$M$27,12&lt;Supuestos!$M$27+Supuestos!$O$27*12),Supuestos!$N$27/(Supuestos!$O$27*12),0)+IF(AND(12&gt;=Supuestos!$M$28,12&lt;Supuestos!$M$28+Supuestos!$O$28*12),Supuestos!$N$28/(Supuestos!$O$28*12),0)</f>
        <v>491.66666666666669</v>
      </c>
      <c r="O31" s="37">
        <f>IF(AND(13&gt;=Supuestos!$M$25,13&lt;Supuestos!$M$25+Supuestos!$O$25*12),Supuestos!$N$25/(Supuestos!$O$25*12),0)+IF(AND(13&gt;=Supuestos!$M$26,13&lt;Supuestos!$M$26+Supuestos!$O$26*12),Supuestos!$N$26/(Supuestos!$O$26*12),0)+IF(AND(13&gt;=Supuestos!$M$27,13&lt;Supuestos!$M$27+Supuestos!$O$27*12),Supuestos!$N$27/(Supuestos!$O$27*12),0)+IF(AND(13&gt;=Supuestos!$M$28,13&lt;Supuestos!$M$28+Supuestos!$O$28*12),Supuestos!$N$28/(Supuestos!$O$28*12),0)</f>
        <v>491.66666666666669</v>
      </c>
      <c r="P31" s="37">
        <f>IF(AND(14&gt;=Supuestos!$M$25,14&lt;Supuestos!$M$25+Supuestos!$O$25*12),Supuestos!$N$25/(Supuestos!$O$25*12),0)+IF(AND(14&gt;=Supuestos!$M$26,14&lt;Supuestos!$M$26+Supuestos!$O$26*12),Supuestos!$N$26/(Supuestos!$O$26*12),0)+IF(AND(14&gt;=Supuestos!$M$27,14&lt;Supuestos!$M$27+Supuestos!$O$27*12),Supuestos!$N$27/(Supuestos!$O$27*12),0)+IF(AND(14&gt;=Supuestos!$M$28,14&lt;Supuestos!$M$28+Supuestos!$O$28*12),Supuestos!$N$28/(Supuestos!$O$28*12),0)</f>
        <v>491.66666666666669</v>
      </c>
      <c r="Q31" s="37">
        <f>IF(AND(15&gt;=Supuestos!$M$25,15&lt;Supuestos!$M$25+Supuestos!$O$25*12),Supuestos!$N$25/(Supuestos!$O$25*12),0)+IF(AND(15&gt;=Supuestos!$M$26,15&lt;Supuestos!$M$26+Supuestos!$O$26*12),Supuestos!$N$26/(Supuestos!$O$26*12),0)+IF(AND(15&gt;=Supuestos!$M$27,15&lt;Supuestos!$M$27+Supuestos!$O$27*12),Supuestos!$N$27/(Supuestos!$O$27*12),0)+IF(AND(15&gt;=Supuestos!$M$28,15&lt;Supuestos!$M$28+Supuestos!$O$28*12),Supuestos!$N$28/(Supuestos!$O$28*12),0)</f>
        <v>491.66666666666669</v>
      </c>
      <c r="R31" s="37">
        <f>IF(AND(16&gt;=Supuestos!$M$25,16&lt;Supuestos!$M$25+Supuestos!$O$25*12),Supuestos!$N$25/(Supuestos!$O$25*12),0)+IF(AND(16&gt;=Supuestos!$M$26,16&lt;Supuestos!$M$26+Supuestos!$O$26*12),Supuestos!$N$26/(Supuestos!$O$26*12),0)+IF(AND(16&gt;=Supuestos!$M$27,16&lt;Supuestos!$M$27+Supuestos!$O$27*12),Supuestos!$N$27/(Supuestos!$O$27*12),0)+IF(AND(16&gt;=Supuestos!$M$28,16&lt;Supuestos!$M$28+Supuestos!$O$28*12),Supuestos!$N$28/(Supuestos!$O$28*12),0)</f>
        <v>491.66666666666669</v>
      </c>
      <c r="S31" s="37">
        <f>IF(AND(17&gt;=Supuestos!$M$25,17&lt;Supuestos!$M$25+Supuestos!$O$25*12),Supuestos!$N$25/(Supuestos!$O$25*12),0)+IF(AND(17&gt;=Supuestos!$M$26,17&lt;Supuestos!$M$26+Supuestos!$O$26*12),Supuestos!$N$26/(Supuestos!$O$26*12),0)+IF(AND(17&gt;=Supuestos!$M$27,17&lt;Supuestos!$M$27+Supuestos!$O$27*12),Supuestos!$N$27/(Supuestos!$O$27*12),0)+IF(AND(17&gt;=Supuestos!$M$28,17&lt;Supuestos!$M$28+Supuestos!$O$28*12),Supuestos!$N$28/(Supuestos!$O$28*12),0)</f>
        <v>491.66666666666669</v>
      </c>
      <c r="T31" s="37">
        <f>IF(AND(18&gt;=Supuestos!$M$25,18&lt;Supuestos!$M$25+Supuestos!$O$25*12),Supuestos!$N$25/(Supuestos!$O$25*12),0)+IF(AND(18&gt;=Supuestos!$M$26,18&lt;Supuestos!$M$26+Supuestos!$O$26*12),Supuestos!$N$26/(Supuestos!$O$26*12),0)+IF(AND(18&gt;=Supuestos!$M$27,18&lt;Supuestos!$M$27+Supuestos!$O$27*12),Supuestos!$N$27/(Supuestos!$O$27*12),0)+IF(AND(18&gt;=Supuestos!$M$28,18&lt;Supuestos!$M$28+Supuestos!$O$28*12),Supuestos!$N$28/(Supuestos!$O$28*12),0)</f>
        <v>491.66666666666669</v>
      </c>
      <c r="U31" s="37">
        <f>IF(AND(19&gt;=Supuestos!$M$25,19&lt;Supuestos!$M$25+Supuestos!$O$25*12),Supuestos!$N$25/(Supuestos!$O$25*12),0)+IF(AND(19&gt;=Supuestos!$M$26,19&lt;Supuestos!$M$26+Supuestos!$O$26*12),Supuestos!$N$26/(Supuestos!$O$26*12),0)+IF(AND(19&gt;=Supuestos!$M$27,19&lt;Supuestos!$M$27+Supuestos!$O$27*12),Supuestos!$N$27/(Supuestos!$O$27*12),0)+IF(AND(19&gt;=Supuestos!$M$28,19&lt;Supuestos!$M$28+Supuestos!$O$28*12),Supuestos!$N$28/(Supuestos!$O$28*12),0)</f>
        <v>491.66666666666669</v>
      </c>
      <c r="V31" s="37">
        <f>IF(AND(20&gt;=Supuestos!$M$25,20&lt;Supuestos!$M$25+Supuestos!$O$25*12),Supuestos!$N$25/(Supuestos!$O$25*12),0)+IF(AND(20&gt;=Supuestos!$M$26,20&lt;Supuestos!$M$26+Supuestos!$O$26*12),Supuestos!$N$26/(Supuestos!$O$26*12),0)+IF(AND(20&gt;=Supuestos!$M$27,20&lt;Supuestos!$M$27+Supuestos!$O$27*12),Supuestos!$N$27/(Supuestos!$O$27*12),0)+IF(AND(20&gt;=Supuestos!$M$28,20&lt;Supuestos!$M$28+Supuestos!$O$28*12),Supuestos!$N$28/(Supuestos!$O$28*12),0)</f>
        <v>491.66666666666669</v>
      </c>
      <c r="W31" s="37">
        <f>IF(AND(21&gt;=Supuestos!$M$25,21&lt;Supuestos!$M$25+Supuestos!$O$25*12),Supuestos!$N$25/(Supuestos!$O$25*12),0)+IF(AND(21&gt;=Supuestos!$M$26,21&lt;Supuestos!$M$26+Supuestos!$O$26*12),Supuestos!$N$26/(Supuestos!$O$26*12),0)+IF(AND(21&gt;=Supuestos!$M$27,21&lt;Supuestos!$M$27+Supuestos!$O$27*12),Supuestos!$N$27/(Supuestos!$O$27*12),0)+IF(AND(21&gt;=Supuestos!$M$28,21&lt;Supuestos!$M$28+Supuestos!$O$28*12),Supuestos!$N$28/(Supuestos!$O$28*12),0)</f>
        <v>491.66666666666669</v>
      </c>
      <c r="X31" s="37">
        <f>IF(AND(22&gt;=Supuestos!$M$25,22&lt;Supuestos!$M$25+Supuestos!$O$25*12),Supuestos!$N$25/(Supuestos!$O$25*12),0)+IF(AND(22&gt;=Supuestos!$M$26,22&lt;Supuestos!$M$26+Supuestos!$O$26*12),Supuestos!$N$26/(Supuestos!$O$26*12),0)+IF(AND(22&gt;=Supuestos!$M$27,22&lt;Supuestos!$M$27+Supuestos!$O$27*12),Supuestos!$N$27/(Supuestos!$O$27*12),0)+IF(AND(22&gt;=Supuestos!$M$28,22&lt;Supuestos!$M$28+Supuestos!$O$28*12),Supuestos!$N$28/(Supuestos!$O$28*12),0)</f>
        <v>491.66666666666669</v>
      </c>
      <c r="Y31" s="37">
        <f>IF(AND(23&gt;=Supuestos!$M$25,23&lt;Supuestos!$M$25+Supuestos!$O$25*12),Supuestos!$N$25/(Supuestos!$O$25*12),0)+IF(AND(23&gt;=Supuestos!$M$26,23&lt;Supuestos!$M$26+Supuestos!$O$26*12),Supuestos!$N$26/(Supuestos!$O$26*12),0)+IF(AND(23&gt;=Supuestos!$M$27,23&lt;Supuestos!$M$27+Supuestos!$O$27*12),Supuestos!$N$27/(Supuestos!$O$27*12),0)+IF(AND(23&gt;=Supuestos!$M$28,23&lt;Supuestos!$M$28+Supuestos!$O$28*12),Supuestos!$N$28/(Supuestos!$O$28*12),0)</f>
        <v>491.66666666666669</v>
      </c>
      <c r="Z31" s="37">
        <f>IF(AND(24&gt;=Supuestos!$M$25,24&lt;Supuestos!$M$25+Supuestos!$O$25*12),Supuestos!$N$25/(Supuestos!$O$25*12),0)+IF(AND(24&gt;=Supuestos!$M$26,24&lt;Supuestos!$M$26+Supuestos!$O$26*12),Supuestos!$N$26/(Supuestos!$O$26*12),0)+IF(AND(24&gt;=Supuestos!$M$27,24&lt;Supuestos!$M$27+Supuestos!$O$27*12),Supuestos!$N$27/(Supuestos!$O$27*12),0)+IF(AND(24&gt;=Supuestos!$M$28,24&lt;Supuestos!$M$28+Supuestos!$O$28*12),Supuestos!$N$28/(Supuestos!$O$28*12),0)</f>
        <v>491.66666666666669</v>
      </c>
      <c r="AA31" s="37">
        <f>IF(AND(25&gt;=Supuestos!$M$25,25&lt;Supuestos!$M$25+Supuestos!$O$25*12),Supuestos!$N$25/(Supuestos!$O$25*12),0)+IF(AND(25&gt;=Supuestos!$M$26,25&lt;Supuestos!$M$26+Supuestos!$O$26*12),Supuestos!$N$26/(Supuestos!$O$26*12),0)+IF(AND(25&gt;=Supuestos!$M$27,25&lt;Supuestos!$M$27+Supuestos!$O$27*12),Supuestos!$N$27/(Supuestos!$O$27*12),0)+IF(AND(25&gt;=Supuestos!$M$28,25&lt;Supuestos!$M$28+Supuestos!$O$28*12),Supuestos!$N$28/(Supuestos!$O$28*12),0)</f>
        <v>491.66666666666669</v>
      </c>
      <c r="AB31" s="37">
        <f>IF(AND(26&gt;=Supuestos!$M$25,26&lt;Supuestos!$M$25+Supuestos!$O$25*12),Supuestos!$N$25/(Supuestos!$O$25*12),0)+IF(AND(26&gt;=Supuestos!$M$26,26&lt;Supuestos!$M$26+Supuestos!$O$26*12),Supuestos!$N$26/(Supuestos!$O$26*12),0)+IF(AND(26&gt;=Supuestos!$M$27,26&lt;Supuestos!$M$27+Supuestos!$O$27*12),Supuestos!$N$27/(Supuestos!$O$27*12),0)+IF(AND(26&gt;=Supuestos!$M$28,26&lt;Supuestos!$M$28+Supuestos!$O$28*12),Supuestos!$N$28/(Supuestos!$O$28*12),0)</f>
        <v>491.66666666666669</v>
      </c>
      <c r="AC31" s="37">
        <f>IF(AND(27&gt;=Supuestos!$M$25,27&lt;Supuestos!$M$25+Supuestos!$O$25*12),Supuestos!$N$25/(Supuestos!$O$25*12),0)+IF(AND(27&gt;=Supuestos!$M$26,27&lt;Supuestos!$M$26+Supuestos!$O$26*12),Supuestos!$N$26/(Supuestos!$O$26*12),0)+IF(AND(27&gt;=Supuestos!$M$27,27&lt;Supuestos!$M$27+Supuestos!$O$27*12),Supuestos!$N$27/(Supuestos!$O$27*12),0)+IF(AND(27&gt;=Supuestos!$M$28,27&lt;Supuestos!$M$28+Supuestos!$O$28*12),Supuestos!$N$28/(Supuestos!$O$28*12),0)</f>
        <v>491.66666666666669</v>
      </c>
      <c r="AD31" s="37">
        <f>IF(AND(28&gt;=Supuestos!$M$25,28&lt;Supuestos!$M$25+Supuestos!$O$25*12),Supuestos!$N$25/(Supuestos!$O$25*12),0)+IF(AND(28&gt;=Supuestos!$M$26,28&lt;Supuestos!$M$26+Supuestos!$O$26*12),Supuestos!$N$26/(Supuestos!$O$26*12),0)+IF(AND(28&gt;=Supuestos!$M$27,28&lt;Supuestos!$M$27+Supuestos!$O$27*12),Supuestos!$N$27/(Supuestos!$O$27*12),0)+IF(AND(28&gt;=Supuestos!$M$28,28&lt;Supuestos!$M$28+Supuestos!$O$28*12),Supuestos!$N$28/(Supuestos!$O$28*12),0)</f>
        <v>491.66666666666669</v>
      </c>
      <c r="AE31" s="37">
        <f>IF(AND(29&gt;=Supuestos!$M$25,29&lt;Supuestos!$M$25+Supuestos!$O$25*12),Supuestos!$N$25/(Supuestos!$O$25*12),0)+IF(AND(29&gt;=Supuestos!$M$26,29&lt;Supuestos!$M$26+Supuestos!$O$26*12),Supuestos!$N$26/(Supuestos!$O$26*12),0)+IF(AND(29&gt;=Supuestos!$M$27,29&lt;Supuestos!$M$27+Supuestos!$O$27*12),Supuestos!$N$27/(Supuestos!$O$27*12),0)+IF(AND(29&gt;=Supuestos!$M$28,29&lt;Supuestos!$M$28+Supuestos!$O$28*12),Supuestos!$N$28/(Supuestos!$O$28*12),0)</f>
        <v>491.66666666666669</v>
      </c>
      <c r="AF31" s="37">
        <f>IF(AND(30&gt;=Supuestos!$M$25,30&lt;Supuestos!$M$25+Supuestos!$O$25*12),Supuestos!$N$25/(Supuestos!$O$25*12),0)+IF(AND(30&gt;=Supuestos!$M$26,30&lt;Supuestos!$M$26+Supuestos!$O$26*12),Supuestos!$N$26/(Supuestos!$O$26*12),0)+IF(AND(30&gt;=Supuestos!$M$27,30&lt;Supuestos!$M$27+Supuestos!$O$27*12),Supuestos!$N$27/(Supuestos!$O$27*12),0)+IF(AND(30&gt;=Supuestos!$M$28,30&lt;Supuestos!$M$28+Supuestos!$O$28*12),Supuestos!$N$28/(Supuestos!$O$28*12),0)</f>
        <v>491.66666666666669</v>
      </c>
      <c r="AG31" s="37">
        <f>IF(AND(31&gt;=Supuestos!$M$25,31&lt;Supuestos!$M$25+Supuestos!$O$25*12),Supuestos!$N$25/(Supuestos!$O$25*12),0)+IF(AND(31&gt;=Supuestos!$M$26,31&lt;Supuestos!$M$26+Supuestos!$O$26*12),Supuestos!$N$26/(Supuestos!$O$26*12),0)+IF(AND(31&gt;=Supuestos!$M$27,31&lt;Supuestos!$M$27+Supuestos!$O$27*12),Supuestos!$N$27/(Supuestos!$O$27*12),0)+IF(AND(31&gt;=Supuestos!$M$28,31&lt;Supuestos!$M$28+Supuestos!$O$28*12),Supuestos!$N$28/(Supuestos!$O$28*12),0)</f>
        <v>491.66666666666669</v>
      </c>
      <c r="AH31" s="37">
        <f>IF(AND(32&gt;=Supuestos!$M$25,32&lt;Supuestos!$M$25+Supuestos!$O$25*12),Supuestos!$N$25/(Supuestos!$O$25*12),0)+IF(AND(32&gt;=Supuestos!$M$26,32&lt;Supuestos!$M$26+Supuestos!$O$26*12),Supuestos!$N$26/(Supuestos!$O$26*12),0)+IF(AND(32&gt;=Supuestos!$M$27,32&lt;Supuestos!$M$27+Supuestos!$O$27*12),Supuestos!$N$27/(Supuestos!$O$27*12),0)+IF(AND(32&gt;=Supuestos!$M$28,32&lt;Supuestos!$M$28+Supuestos!$O$28*12),Supuestos!$N$28/(Supuestos!$O$28*12),0)</f>
        <v>491.66666666666669</v>
      </c>
      <c r="AI31" s="37">
        <f>IF(AND(33&gt;=Supuestos!$M$25,33&lt;Supuestos!$M$25+Supuestos!$O$25*12),Supuestos!$N$25/(Supuestos!$O$25*12),0)+IF(AND(33&gt;=Supuestos!$M$26,33&lt;Supuestos!$M$26+Supuestos!$O$26*12),Supuestos!$N$26/(Supuestos!$O$26*12),0)+IF(AND(33&gt;=Supuestos!$M$27,33&lt;Supuestos!$M$27+Supuestos!$O$27*12),Supuestos!$N$27/(Supuestos!$O$27*12),0)+IF(AND(33&gt;=Supuestos!$M$28,33&lt;Supuestos!$M$28+Supuestos!$O$28*12),Supuestos!$N$28/(Supuestos!$O$28*12),0)</f>
        <v>491.66666666666669</v>
      </c>
      <c r="AJ31" s="37">
        <f>IF(AND(34&gt;=Supuestos!$M$25,34&lt;Supuestos!$M$25+Supuestos!$O$25*12),Supuestos!$N$25/(Supuestos!$O$25*12),0)+IF(AND(34&gt;=Supuestos!$M$26,34&lt;Supuestos!$M$26+Supuestos!$O$26*12),Supuestos!$N$26/(Supuestos!$O$26*12),0)+IF(AND(34&gt;=Supuestos!$M$27,34&lt;Supuestos!$M$27+Supuestos!$O$27*12),Supuestos!$N$27/(Supuestos!$O$27*12),0)+IF(AND(34&gt;=Supuestos!$M$28,34&lt;Supuestos!$M$28+Supuestos!$O$28*12),Supuestos!$N$28/(Supuestos!$O$28*12),0)</f>
        <v>491.66666666666669</v>
      </c>
      <c r="AK31" s="37">
        <f>IF(AND(35&gt;=Supuestos!$M$25,35&lt;Supuestos!$M$25+Supuestos!$O$25*12),Supuestos!$N$25/(Supuestos!$O$25*12),0)+IF(AND(35&gt;=Supuestos!$M$26,35&lt;Supuestos!$M$26+Supuestos!$O$26*12),Supuestos!$N$26/(Supuestos!$O$26*12),0)+IF(AND(35&gt;=Supuestos!$M$27,35&lt;Supuestos!$M$27+Supuestos!$O$27*12),Supuestos!$N$27/(Supuestos!$O$27*12),0)+IF(AND(35&gt;=Supuestos!$M$28,35&lt;Supuestos!$M$28+Supuestos!$O$28*12),Supuestos!$N$28/(Supuestos!$O$28*12),0)</f>
        <v>491.66666666666669</v>
      </c>
      <c r="AL31" s="37">
        <f>IF(AND(36&gt;=Supuestos!$M$25,36&lt;Supuestos!$M$25+Supuestos!$O$25*12),Supuestos!$N$25/(Supuestos!$O$25*12),0)+IF(AND(36&gt;=Supuestos!$M$26,36&lt;Supuestos!$M$26+Supuestos!$O$26*12),Supuestos!$N$26/(Supuestos!$O$26*12),0)+IF(AND(36&gt;=Supuestos!$M$27,36&lt;Supuestos!$M$27+Supuestos!$O$27*12),Supuestos!$N$27/(Supuestos!$O$27*12),0)+IF(AND(36&gt;=Supuestos!$M$28,36&lt;Supuestos!$M$28+Supuestos!$O$28*12),Supuestos!$N$28/(Supuestos!$O$28*12),0)</f>
        <v>491.66666666666669</v>
      </c>
      <c r="AM31" s="38">
        <f t="shared" si="10"/>
        <v>5666.666666666667</v>
      </c>
      <c r="AN31" s="38">
        <f t="shared" si="11"/>
        <v>5900.0000000000009</v>
      </c>
      <c r="AO31" s="38">
        <f t="shared" si="12"/>
        <v>5900.0000000000009</v>
      </c>
    </row>
    <row r="32" spans="1:41" x14ac:dyDescent="0.25">
      <c r="A32" s="35" t="s">
        <v>154</v>
      </c>
      <c r="B32" s="36" t="s">
        <v>165</v>
      </c>
      <c r="C32" s="37">
        <f t="shared" ref="C32:AL32" si="15">C30-C31</f>
        <v>-1858.8333333333335</v>
      </c>
      <c r="D32" s="37">
        <f t="shared" si="15"/>
        <v>-1062.1666666666667</v>
      </c>
      <c r="E32" s="37">
        <f t="shared" si="15"/>
        <v>-252.16666666666669</v>
      </c>
      <c r="F32" s="37">
        <f t="shared" si="15"/>
        <v>427.83333333333331</v>
      </c>
      <c r="G32" s="37">
        <f t="shared" si="15"/>
        <v>1457.8333333333333</v>
      </c>
      <c r="H32" s="37">
        <f t="shared" si="15"/>
        <v>-89.166666666666686</v>
      </c>
      <c r="I32" s="37">
        <f t="shared" si="15"/>
        <v>940.83333333333326</v>
      </c>
      <c r="J32" s="37">
        <f t="shared" si="15"/>
        <v>1620.8333333333333</v>
      </c>
      <c r="K32" s="37">
        <f t="shared" si="15"/>
        <v>1733.8333333333333</v>
      </c>
      <c r="L32" s="37">
        <f t="shared" si="15"/>
        <v>2653.8333333333335</v>
      </c>
      <c r="M32" s="37">
        <f t="shared" si="15"/>
        <v>4163.833333333333</v>
      </c>
      <c r="N32" s="37">
        <f t="shared" si="15"/>
        <v>6523.833333333333</v>
      </c>
      <c r="O32" s="37">
        <f t="shared" si="15"/>
        <v>-6462.1666666666661</v>
      </c>
      <c r="P32" s="37">
        <f t="shared" si="15"/>
        <v>-5144.8006666666652</v>
      </c>
      <c r="Q32" s="37">
        <f t="shared" si="15"/>
        <v>-4116.2026666666652</v>
      </c>
      <c r="R32" s="37">
        <f t="shared" si="15"/>
        <v>-3206.971666666665</v>
      </c>
      <c r="S32" s="37">
        <f t="shared" si="15"/>
        <v>-1889.6056666666652</v>
      </c>
      <c r="T32" s="37">
        <f t="shared" si="15"/>
        <v>-980.3746666666691</v>
      </c>
      <c r="U32" s="37">
        <f t="shared" si="15"/>
        <v>336.99133333333276</v>
      </c>
      <c r="V32" s="37">
        <f t="shared" si="15"/>
        <v>1246.2223333333361</v>
      </c>
      <c r="W32" s="37">
        <f t="shared" si="15"/>
        <v>2563.5883333333345</v>
      </c>
      <c r="X32" s="37">
        <f t="shared" si="15"/>
        <v>3804.514333333334</v>
      </c>
      <c r="Y32" s="37">
        <f t="shared" si="15"/>
        <v>5785.2703333333347</v>
      </c>
      <c r="Z32" s="37">
        <f t="shared" si="15"/>
        <v>9016.3663333333334</v>
      </c>
      <c r="AA32" s="37">
        <f t="shared" si="15"/>
        <v>-5306.1113846666658</v>
      </c>
      <c r="AB32" s="37">
        <f t="shared" si="15"/>
        <v>-3685.5492870666681</v>
      </c>
      <c r="AC32" s="37">
        <f t="shared" si="15"/>
        <v>-2426.2289942666689</v>
      </c>
      <c r="AD32" s="37">
        <f t="shared" si="15"/>
        <v>-1269.1343766666675</v>
      </c>
      <c r="AE32" s="37">
        <f t="shared" si="15"/>
        <v>351.42772093333161</v>
      </c>
      <c r="AF32" s="37">
        <f t="shared" si="15"/>
        <v>1508.5223385333313</v>
      </c>
      <c r="AG32" s="37">
        <f t="shared" si="15"/>
        <v>3129.0844361333343</v>
      </c>
      <c r="AH32" s="37">
        <f t="shared" si="15"/>
        <v>4286.1790537333372</v>
      </c>
      <c r="AI32" s="37">
        <f t="shared" si="15"/>
        <v>5906.7411513333327</v>
      </c>
      <c r="AJ32" s="37">
        <f t="shared" si="15"/>
        <v>7498.446776933336</v>
      </c>
      <c r="AK32" s="37">
        <f t="shared" si="15"/>
        <v>9988.2308905333357</v>
      </c>
      <c r="AL32" s="37">
        <f t="shared" si="15"/>
        <v>14187.602564133334</v>
      </c>
      <c r="AM32" s="38">
        <f t="shared" si="10"/>
        <v>16260.333333333332</v>
      </c>
      <c r="AN32" s="38">
        <f t="shared" si="11"/>
        <v>952.8310000000065</v>
      </c>
      <c r="AO32" s="38">
        <f t="shared" si="12"/>
        <v>34169.210889600006</v>
      </c>
    </row>
    <row r="33" spans="1:41" x14ac:dyDescent="0.25">
      <c r="A33" s="35" t="s">
        <v>154</v>
      </c>
      <c r="B33" s="36" t="s">
        <v>166</v>
      </c>
      <c r="C33" s="37">
        <f>C72*(Supuestos!$G$37/12)</f>
        <v>127.50000000000001</v>
      </c>
      <c r="D33" s="37">
        <f>D72*(Supuestos!$G$37/12)</f>
        <v>127.50000000000001</v>
      </c>
      <c r="E33" s="37">
        <f>E72*(Supuestos!$G$37/12)</f>
        <v>127.50000000000001</v>
      </c>
      <c r="F33" s="37">
        <f>F72*(Supuestos!$G$37/12)</f>
        <v>127.50000000000001</v>
      </c>
      <c r="G33" s="37">
        <f>G72*(Supuestos!$G$37/12)</f>
        <v>124.05674424305485</v>
      </c>
      <c r="H33" s="37">
        <f>H72*(Supuestos!$G$37/12)</f>
        <v>120.58909875783135</v>
      </c>
      <c r="I33" s="37">
        <f>I72*(Supuestos!$G$37/12)</f>
        <v>117.09689078375419</v>
      </c>
      <c r="J33" s="37">
        <f>J72*(Supuestos!$G$37/12)</f>
        <v>113.5799463365273</v>
      </c>
      <c r="K33" s="37">
        <f>K72*(Supuestos!$G$37/12)</f>
        <v>110.03809019946588</v>
      </c>
      <c r="L33" s="37">
        <f>L72*(Supuestos!$G$37/12)</f>
        <v>106.47114591476696</v>
      </c>
      <c r="M33" s="37">
        <f>M72*(Supuestos!$G$37/12)</f>
        <v>102.87893577471809</v>
      </c>
      <c r="N33" s="37">
        <f>N72*(Supuestos!$G$37/12)</f>
        <v>99.26128081284385</v>
      </c>
      <c r="O33" s="37">
        <f>O72*(Supuestos!$G$37/12)</f>
        <v>95.618000794989669</v>
      </c>
      <c r="P33" s="37">
        <f>P72*(Supuestos!$G$37/12)</f>
        <v>91.948914210342366</v>
      </c>
      <c r="Q33" s="37">
        <f>Q72*(Supuestos!$G$37/12)</f>
        <v>88.253838262387148</v>
      </c>
      <c r="R33" s="37">
        <f>R72*(Supuestos!$G$37/12)</f>
        <v>84.532588859800583</v>
      </c>
      <c r="S33" s="37">
        <f>S72*(Supuestos!$G$37/12)</f>
        <v>80.784980607279024</v>
      </c>
      <c r="T33" s="37">
        <f>T72*(Supuestos!$G$37/12)</f>
        <v>77.010826796302098</v>
      </c>
      <c r="U33" s="37">
        <f>U72*(Supuestos!$G$37/12)</f>
        <v>73.209939395830759</v>
      </c>
      <c r="V33" s="37">
        <f>V72*(Supuestos!$G$37/12)</f>
        <v>69.382129042939411</v>
      </c>
      <c r="W33" s="37">
        <f>W72*(Supuestos!$G$37/12)</f>
        <v>65.527205033381748</v>
      </c>
      <c r="X33" s="37">
        <f>X72*(Supuestos!$G$37/12)</f>
        <v>61.64497531208972</v>
      </c>
      <c r="Y33" s="37">
        <f>Y72*(Supuestos!$G$37/12)</f>
        <v>57.735246463605208</v>
      </c>
      <c r="Z33" s="37">
        <f>Z72*(Supuestos!$G$37/12)</f>
        <v>53.797823702443928</v>
      </c>
      <c r="AA33" s="37">
        <f>AA72*(Supuestos!$G$37/12)</f>
        <v>49.832510863391093</v>
      </c>
      <c r="AB33" s="37">
        <f>AB72*(Supuestos!$G$37/12)</f>
        <v>45.83911039172829</v>
      </c>
      <c r="AC33" s="37">
        <f>AC72*(Supuestos!$G$37/12)</f>
        <v>41.817423333391218</v>
      </c>
      <c r="AD33" s="37">
        <f>AD72*(Supuestos!$G$37/12)</f>
        <v>37.767249325057591</v>
      </c>
      <c r="AE33" s="37">
        <f>AE72*(Supuestos!$G$37/12)</f>
        <v>33.688386584164938</v>
      </c>
      <c r="AF33" s="37">
        <f>AF72*(Supuestos!$G$37/12)</f>
        <v>29.580631898857622</v>
      </c>
      <c r="AG33" s="37">
        <f>AG72*(Supuestos!$G$37/12)</f>
        <v>25.443780617862714</v>
      </c>
      <c r="AH33" s="37">
        <f>AH72*(Supuestos!$G$37/12)</f>
        <v>21.277626640294091</v>
      </c>
      <c r="AI33" s="37">
        <f>AI72*(Supuestos!$G$37/12)</f>
        <v>17.081962405384363</v>
      </c>
      <c r="AJ33" s="37">
        <f>AJ72*(Supuestos!$G$37/12)</f>
        <v>12.856578882144019</v>
      </c>
      <c r="AK33" s="37">
        <f>AK72*(Supuestos!$G$37/12)</f>
        <v>8.6012655589473912</v>
      </c>
      <c r="AL33" s="37">
        <f>AL72*(Supuestos!$G$37/12)</f>
        <v>4.3158104330447866</v>
      </c>
      <c r="AM33" s="38">
        <f t="shared" si="10"/>
        <v>1403.9721328229625</v>
      </c>
      <c r="AN33" s="38">
        <f t="shared" si="11"/>
        <v>899.44646848139166</v>
      </c>
      <c r="AO33" s="38">
        <f t="shared" si="12"/>
        <v>328.10233693426807</v>
      </c>
    </row>
    <row r="34" spans="1:41" x14ac:dyDescent="0.25">
      <c r="A34" s="35" t="s">
        <v>154</v>
      </c>
      <c r="B34" s="36" t="s">
        <v>141</v>
      </c>
      <c r="C34" s="37">
        <f>IF(C32-C33&gt;0,(C32-C33)*Supuestos!$G$40,0)</f>
        <v>0</v>
      </c>
      <c r="D34" s="37">
        <f>IF(D32-D33&gt;0,(D32-D33)*Supuestos!$G$40,0)</f>
        <v>0</v>
      </c>
      <c r="E34" s="37">
        <f>IF(E32-E33&gt;0,(E32-E33)*Supuestos!$G$40,0)</f>
        <v>0</v>
      </c>
      <c r="F34" s="37">
        <f>IF(F32-F33&gt;0,(F32-F33)*Supuestos!$G$40,0)</f>
        <v>75.083333333333329</v>
      </c>
      <c r="G34" s="37">
        <f>IF(G32-G33&gt;0,(G32-G33)*Supuestos!$G$40,0)</f>
        <v>333.44414727256958</v>
      </c>
      <c r="H34" s="37">
        <f>IF(H32-H33&gt;0,(H32-H33)*Supuestos!$G$40,0)</f>
        <v>0</v>
      </c>
      <c r="I34" s="37">
        <f>IF(I32-I33&gt;0,(I32-I33)*Supuestos!$G$40,0)</f>
        <v>205.93411063739478</v>
      </c>
      <c r="J34" s="37">
        <f>IF(J32-J33&gt;0,(J32-J33)*Supuestos!$G$40,0)</f>
        <v>376.81334674920151</v>
      </c>
      <c r="K34" s="37">
        <f>IF(K32-K33&gt;0,(K32-K33)*Supuestos!$G$40,0)</f>
        <v>405.94881078346685</v>
      </c>
      <c r="L34" s="37">
        <f>IF(L32-L33&gt;0,(L32-L33)*Supuestos!$G$40,0)</f>
        <v>636.84054685464162</v>
      </c>
      <c r="M34" s="37">
        <f>IF(M32-M33&gt;0,(M32-M33)*Supuestos!$G$40,0)</f>
        <v>1015.2385993896537</v>
      </c>
      <c r="N34" s="37">
        <f>IF(N32-N33&gt;0,(N32-N33)*Supuestos!$G$40,0)</f>
        <v>1606.1430131301222</v>
      </c>
      <c r="O34" s="37">
        <f>IF(O32-O33&gt;0,(O32-O33)*Supuestos!$G$40,0)</f>
        <v>0</v>
      </c>
      <c r="P34" s="37">
        <f>IF(P32-P33&gt;0,(P32-P33)*Supuestos!$G$40,0)</f>
        <v>0</v>
      </c>
      <c r="Q34" s="37">
        <f>IF(Q32-Q33&gt;0,(Q32-Q33)*Supuestos!$G$40,0)</f>
        <v>0</v>
      </c>
      <c r="R34" s="37">
        <f>IF(R32-R33&gt;0,(R32-R33)*Supuestos!$G$40,0)</f>
        <v>0</v>
      </c>
      <c r="S34" s="37">
        <f>IF(S32-S33&gt;0,(S32-S33)*Supuestos!$G$40,0)</f>
        <v>0</v>
      </c>
      <c r="T34" s="37">
        <f>IF(T32-T33&gt;0,(T32-T33)*Supuestos!$G$40,0)</f>
        <v>0</v>
      </c>
      <c r="U34" s="37">
        <f>IF(U32-U33&gt;0,(U32-U33)*Supuestos!$G$40,0)</f>
        <v>65.945348484375501</v>
      </c>
      <c r="V34" s="37">
        <f>IF(V32-V33&gt;0,(V32-V33)*Supuestos!$G$40,0)</f>
        <v>294.21005107259919</v>
      </c>
      <c r="W34" s="37">
        <f>IF(W32-W33&gt;0,(W32-W33)*Supuestos!$G$40,0)</f>
        <v>624.51528207498814</v>
      </c>
      <c r="X34" s="37">
        <f>IF(X32-X33&gt;0,(X32-X33)*Supuestos!$G$40,0)</f>
        <v>935.71733950531109</v>
      </c>
      <c r="Y34" s="37">
        <f>IF(Y32-Y33&gt;0,(Y32-Y33)*Supuestos!$G$40,0)</f>
        <v>1431.8837717174324</v>
      </c>
      <c r="Z34" s="37">
        <f>IF(Z32-Z33&gt;0,(Z32-Z33)*Supuestos!$G$40,0)</f>
        <v>2240.6421274077225</v>
      </c>
      <c r="AA34" s="37">
        <f>IF(AA32-AA33&gt;0,(AA32-AA33)*Supuestos!$G$40,0)</f>
        <v>0</v>
      </c>
      <c r="AB34" s="37">
        <f>IF(AB32-AB33&gt;0,(AB32-AB33)*Supuestos!$G$40,0)</f>
        <v>0</v>
      </c>
      <c r="AC34" s="37">
        <f>IF(AC32-AC33&gt;0,(AC32-AC33)*Supuestos!$G$40,0)</f>
        <v>0</v>
      </c>
      <c r="AD34" s="37">
        <f>IF(AD32-AD33&gt;0,(AD32-AD33)*Supuestos!$G$40,0)</f>
        <v>0</v>
      </c>
      <c r="AE34" s="37">
        <f>IF(AE32-AE33&gt;0,(AE32-AE33)*Supuestos!$G$40,0)</f>
        <v>79.434833587291664</v>
      </c>
      <c r="AF34" s="37">
        <f>IF(AF32-AF33&gt;0,(AF32-AF33)*Supuestos!$G$40,0)</f>
        <v>369.73542665861845</v>
      </c>
      <c r="AG34" s="37">
        <f>IF(AG32-AG33&gt;0,(AG32-AG33)*Supuestos!$G$40,0)</f>
        <v>775.91016387886793</v>
      </c>
      <c r="AH34" s="37">
        <f>IF(AH32-AH33&gt;0,(AH32-AH33)*Supuestos!$G$40,0)</f>
        <v>1066.2253567732607</v>
      </c>
      <c r="AI34" s="37">
        <f>IF(AI32-AI33&gt;0,(AI32-AI33)*Supuestos!$G$40,0)</f>
        <v>1472.414797231987</v>
      </c>
      <c r="AJ34" s="37">
        <f>IF(AJ32-AJ33&gt;0,(AJ32-AJ33)*Supuestos!$G$40,0)</f>
        <v>1871.3975495127979</v>
      </c>
      <c r="AK34" s="37">
        <f>IF(AK32-AK33&gt;0,(AK32-AK33)*Supuestos!$G$40,0)</f>
        <v>2494.9074062435971</v>
      </c>
      <c r="AL34" s="37">
        <f>IF(AL32-AL33&gt;0,(AL32-AL33)*Supuestos!$G$40,0)</f>
        <v>3545.8216884250724</v>
      </c>
      <c r="AM34" s="38">
        <f t="shared" si="10"/>
        <v>4655.4459081503837</v>
      </c>
      <c r="AN34" s="38">
        <f t="shared" si="11"/>
        <v>5592.9139202624283</v>
      </c>
      <c r="AO34" s="38">
        <f t="shared" si="12"/>
        <v>11675.847222311493</v>
      </c>
    </row>
    <row r="35" spans="1:41" x14ac:dyDescent="0.25">
      <c r="A35" s="35" t="s">
        <v>154</v>
      </c>
      <c r="B35" s="36" t="s">
        <v>167</v>
      </c>
      <c r="C35" s="43">
        <f t="shared" ref="C35:AL35" si="16">C32-C33-C34</f>
        <v>-1986.3333333333335</v>
      </c>
      <c r="D35" s="43">
        <f t="shared" si="16"/>
        <v>-1189.6666666666667</v>
      </c>
      <c r="E35" s="43">
        <f t="shared" si="16"/>
        <v>-379.66666666666669</v>
      </c>
      <c r="F35" s="43">
        <f t="shared" si="16"/>
        <v>225.25</v>
      </c>
      <c r="G35" s="43">
        <f t="shared" si="16"/>
        <v>1000.3324418177087</v>
      </c>
      <c r="H35" s="43">
        <f t="shared" si="16"/>
        <v>-209.75576542449804</v>
      </c>
      <c r="I35" s="43">
        <f t="shared" si="16"/>
        <v>617.8023319121844</v>
      </c>
      <c r="J35" s="43">
        <f t="shared" si="16"/>
        <v>1130.4400402476044</v>
      </c>
      <c r="K35" s="43">
        <f t="shared" si="16"/>
        <v>1217.8464323504006</v>
      </c>
      <c r="L35" s="43">
        <f t="shared" si="16"/>
        <v>1910.5216405639248</v>
      </c>
      <c r="M35" s="43">
        <f t="shared" si="16"/>
        <v>3045.7157981689611</v>
      </c>
      <c r="N35" s="43">
        <f t="shared" si="16"/>
        <v>4818.4290393903666</v>
      </c>
      <c r="O35" s="43">
        <f t="shared" si="16"/>
        <v>-6557.7846674616558</v>
      </c>
      <c r="P35" s="43">
        <f t="shared" si="16"/>
        <v>-5236.7495808770072</v>
      </c>
      <c r="Q35" s="43">
        <f t="shared" si="16"/>
        <v>-4204.4565049290522</v>
      </c>
      <c r="R35" s="43">
        <f t="shared" si="16"/>
        <v>-3291.5042555264654</v>
      </c>
      <c r="S35" s="43">
        <f t="shared" si="16"/>
        <v>-1970.3906472739443</v>
      </c>
      <c r="T35" s="43">
        <f t="shared" si="16"/>
        <v>-1057.3854934629712</v>
      </c>
      <c r="U35" s="43">
        <f t="shared" si="16"/>
        <v>197.8360454531265</v>
      </c>
      <c r="V35" s="43">
        <f t="shared" si="16"/>
        <v>882.63015321779756</v>
      </c>
      <c r="W35" s="43">
        <f t="shared" si="16"/>
        <v>1873.5458462249644</v>
      </c>
      <c r="X35" s="43">
        <f t="shared" si="16"/>
        <v>2807.1520185159334</v>
      </c>
      <c r="Y35" s="43">
        <f t="shared" si="16"/>
        <v>4295.6513151522977</v>
      </c>
      <c r="Z35" s="43">
        <f t="shared" si="16"/>
        <v>6721.9263822231678</v>
      </c>
      <c r="AA35" s="43">
        <f t="shared" si="16"/>
        <v>-5355.9438955300566</v>
      </c>
      <c r="AB35" s="43">
        <f t="shared" si="16"/>
        <v>-3731.3883974583964</v>
      </c>
      <c r="AC35" s="43">
        <f t="shared" si="16"/>
        <v>-2468.0464176000601</v>
      </c>
      <c r="AD35" s="43">
        <f t="shared" si="16"/>
        <v>-1306.901625991725</v>
      </c>
      <c r="AE35" s="43">
        <f t="shared" si="16"/>
        <v>238.30450076187498</v>
      </c>
      <c r="AF35" s="43">
        <f t="shared" si="16"/>
        <v>1109.2062799758553</v>
      </c>
      <c r="AG35" s="43">
        <f t="shared" si="16"/>
        <v>2327.7304916366038</v>
      </c>
      <c r="AH35" s="43">
        <f t="shared" si="16"/>
        <v>3198.6760703197824</v>
      </c>
      <c r="AI35" s="43">
        <f t="shared" si="16"/>
        <v>4417.244391695961</v>
      </c>
      <c r="AJ35" s="43">
        <f t="shared" si="16"/>
        <v>5614.1926485383938</v>
      </c>
      <c r="AK35" s="43">
        <f t="shared" si="16"/>
        <v>7484.7222187307907</v>
      </c>
      <c r="AL35" s="43">
        <f t="shared" si="16"/>
        <v>10637.465065275217</v>
      </c>
      <c r="AM35" s="44">
        <f t="shared" si="10"/>
        <v>10200.915292359987</v>
      </c>
      <c r="AN35" s="44">
        <f t="shared" si="11"/>
        <v>-5539.5293887438129</v>
      </c>
      <c r="AO35" s="44">
        <f t="shared" si="12"/>
        <v>22165.261330354242</v>
      </c>
    </row>
    <row r="36" spans="1:41" x14ac:dyDescent="0.25">
      <c r="AM36" s="31"/>
      <c r="AN36" s="31"/>
      <c r="AO36" s="31"/>
    </row>
    <row r="37" spans="1:41" ht="18" customHeight="1" x14ac:dyDescent="0.25">
      <c r="A37" s="66" t="s">
        <v>168</v>
      </c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9"/>
      <c r="AN37" s="69"/>
      <c r="AO37" s="69"/>
    </row>
    <row r="38" spans="1:41" x14ac:dyDescent="0.25">
      <c r="A38" s="31" t="s">
        <v>154</v>
      </c>
      <c r="B38" s="32" t="s">
        <v>132</v>
      </c>
      <c r="C38" s="33">
        <f>Supuestos!$G$32</f>
        <v>12000</v>
      </c>
      <c r="D38" s="33">
        <f t="shared" ref="D38:AL38" si="17">C44</f>
        <v>47372</v>
      </c>
      <c r="E38" s="33">
        <f t="shared" si="17"/>
        <v>32674</v>
      </c>
      <c r="F38" s="33">
        <f t="shared" si="17"/>
        <v>32786</v>
      </c>
      <c r="G38" s="33">
        <f t="shared" si="17"/>
        <v>33016.809971568524</v>
      </c>
      <c r="H38" s="33">
        <f t="shared" si="17"/>
        <v>34019.259129197817</v>
      </c>
      <c r="I38" s="33">
        <f t="shared" si="17"/>
        <v>33808.152434099677</v>
      </c>
      <c r="J38" s="33">
        <f t="shared" si="17"/>
        <v>34421.111628364146</v>
      </c>
      <c r="K38" s="33">
        <f t="shared" si="17"/>
        <v>35543.191586516805</v>
      </c>
      <c r="L38" s="33">
        <f t="shared" si="17"/>
        <v>36749.136080635195</v>
      </c>
      <c r="M38" s="33">
        <f t="shared" si="17"/>
        <v>38644.188838682414</v>
      </c>
      <c r="N38" s="33">
        <f t="shared" si="17"/>
        <v>41670.84354419462</v>
      </c>
      <c r="O38" s="33">
        <f t="shared" si="17"/>
        <v>46466.593835966363</v>
      </c>
      <c r="P38" s="33">
        <f t="shared" si="17"/>
        <v>39882.487140868223</v>
      </c>
      <c r="Q38" s="33">
        <f t="shared" si="17"/>
        <v>34615.746445770084</v>
      </c>
      <c r="R38" s="33">
        <f t="shared" si="17"/>
        <v>30377.603750671948</v>
      </c>
      <c r="S38" s="33">
        <f t="shared" si="17"/>
        <v>27048.692055573811</v>
      </c>
      <c r="T38" s="33">
        <f t="shared" si="17"/>
        <v>25037.146360475675</v>
      </c>
      <c r="U38" s="33">
        <f t="shared" si="17"/>
        <v>23934.831665377536</v>
      </c>
      <c r="V38" s="33">
        <f t="shared" si="17"/>
        <v>24083.937621795023</v>
      </c>
      <c r="W38" s="33">
        <f t="shared" si="17"/>
        <v>24914.009875624288</v>
      </c>
      <c r="X38" s="33">
        <f t="shared" si="17"/>
        <v>26731.142898451162</v>
      </c>
      <c r="Y38" s="33">
        <f t="shared" si="17"/>
        <v>29477.999863847712</v>
      </c>
      <c r="Z38" s="33">
        <f t="shared" si="17"/>
        <v>33709.446397032145</v>
      </c>
      <c r="AA38" s="33">
        <f t="shared" si="17"/>
        <v>40363.230574526286</v>
      </c>
      <c r="AB38" s="33">
        <f t="shared" si="17"/>
        <v>34935.179161428154</v>
      </c>
      <c r="AC38" s="33">
        <f t="shared" si="17"/>
        <v>31127.689845930014</v>
      </c>
      <c r="AD38" s="33">
        <f t="shared" si="17"/>
        <v>28579.520823231873</v>
      </c>
      <c r="AE38" s="33">
        <f t="shared" si="17"/>
        <v>27188.446418133735</v>
      </c>
      <c r="AF38" s="33">
        <f t="shared" si="17"/>
        <v>27338.499277048304</v>
      </c>
      <c r="AG38" s="33">
        <f t="shared" si="17"/>
        <v>28355.346160491543</v>
      </c>
      <c r="AH38" s="33">
        <f t="shared" si="17"/>
        <v>30586.580404314536</v>
      </c>
      <c r="AI38" s="33">
        <f t="shared" si="17"/>
        <v>33684.594072843138</v>
      </c>
      <c r="AJ38" s="33">
        <f t="shared" si="17"/>
        <v>37996.980398513006</v>
      </c>
      <c r="AK38" s="33">
        <f t="shared" si="17"/>
        <v>43502.089597502069</v>
      </c>
      <c r="AL38" s="33">
        <f t="shared" si="17"/>
        <v>50873.473053360336</v>
      </c>
      <c r="AM38" s="34">
        <f>C38</f>
        <v>12000</v>
      </c>
      <c r="AN38" s="34">
        <f>O38</f>
        <v>46466.593835966363</v>
      </c>
      <c r="AO38" s="34">
        <f>AA38</f>
        <v>40363.230574526286</v>
      </c>
    </row>
    <row r="39" spans="1:41" x14ac:dyDescent="0.25">
      <c r="A39" s="31" t="s">
        <v>154</v>
      </c>
      <c r="B39" s="32" t="s">
        <v>169</v>
      </c>
      <c r="C39" s="33">
        <f t="shared" ref="C39:AL39" si="18">C35+C31</f>
        <v>-1728</v>
      </c>
      <c r="D39" s="33">
        <f t="shared" si="18"/>
        <v>-698</v>
      </c>
      <c r="E39" s="33">
        <f t="shared" si="18"/>
        <v>112</v>
      </c>
      <c r="F39" s="33">
        <f t="shared" si="18"/>
        <v>716.91666666666674</v>
      </c>
      <c r="G39" s="33">
        <f t="shared" si="18"/>
        <v>1491.9991084843755</v>
      </c>
      <c r="H39" s="33">
        <f t="shared" si="18"/>
        <v>281.91090124216862</v>
      </c>
      <c r="I39" s="33">
        <f t="shared" si="18"/>
        <v>1109.4689985788511</v>
      </c>
      <c r="J39" s="33">
        <f t="shared" si="18"/>
        <v>1622.1067069142712</v>
      </c>
      <c r="K39" s="33">
        <f t="shared" si="18"/>
        <v>1709.5130990170674</v>
      </c>
      <c r="L39" s="33">
        <f t="shared" si="18"/>
        <v>2402.1883072305914</v>
      </c>
      <c r="M39" s="33">
        <f t="shared" si="18"/>
        <v>3537.3824648356276</v>
      </c>
      <c r="N39" s="33">
        <f t="shared" si="18"/>
        <v>5310.0957060570336</v>
      </c>
      <c r="O39" s="33">
        <f t="shared" si="18"/>
        <v>-6066.1180007949888</v>
      </c>
      <c r="P39" s="33">
        <f t="shared" si="18"/>
        <v>-4745.0829142103403</v>
      </c>
      <c r="Q39" s="33">
        <f t="shared" si="18"/>
        <v>-3712.7898382623857</v>
      </c>
      <c r="R39" s="33">
        <f t="shared" si="18"/>
        <v>-2799.8375888597989</v>
      </c>
      <c r="S39" s="33">
        <f t="shared" si="18"/>
        <v>-1478.7239806072776</v>
      </c>
      <c r="T39" s="33">
        <f t="shared" si="18"/>
        <v>-565.71882679630448</v>
      </c>
      <c r="U39" s="33">
        <f t="shared" si="18"/>
        <v>689.50271211979316</v>
      </c>
      <c r="V39" s="33">
        <f t="shared" si="18"/>
        <v>1374.2968198844642</v>
      </c>
      <c r="W39" s="33">
        <f t="shared" si="18"/>
        <v>2365.2125128916309</v>
      </c>
      <c r="X39" s="33">
        <f t="shared" si="18"/>
        <v>3298.8186851825999</v>
      </c>
      <c r="Y39" s="33">
        <f t="shared" si="18"/>
        <v>4787.3179818189647</v>
      </c>
      <c r="Z39" s="33">
        <f t="shared" si="18"/>
        <v>7213.5930488898348</v>
      </c>
      <c r="AA39" s="33">
        <f t="shared" si="18"/>
        <v>-4864.2772288633896</v>
      </c>
      <c r="AB39" s="33">
        <f t="shared" si="18"/>
        <v>-3239.7217307917299</v>
      </c>
      <c r="AC39" s="33">
        <f t="shared" si="18"/>
        <v>-1976.3797509333933</v>
      </c>
      <c r="AD39" s="33">
        <f t="shared" si="18"/>
        <v>-815.2349593250583</v>
      </c>
      <c r="AE39" s="33">
        <f t="shared" si="18"/>
        <v>729.97116742854166</v>
      </c>
      <c r="AF39" s="33">
        <f t="shared" si="18"/>
        <v>1600.872946642522</v>
      </c>
      <c r="AG39" s="33">
        <f t="shared" si="18"/>
        <v>2819.3971583032703</v>
      </c>
      <c r="AH39" s="33">
        <f t="shared" si="18"/>
        <v>3690.3427369864489</v>
      </c>
      <c r="AI39" s="33">
        <f t="shared" si="18"/>
        <v>4908.911058362628</v>
      </c>
      <c r="AJ39" s="33">
        <f t="shared" si="18"/>
        <v>6105.8593152050607</v>
      </c>
      <c r="AK39" s="33">
        <f t="shared" si="18"/>
        <v>7976.3888853974577</v>
      </c>
      <c r="AL39" s="33">
        <f t="shared" si="18"/>
        <v>11129.131731941883</v>
      </c>
      <c r="AM39" s="34">
        <f>SUM(C39:N39)</f>
        <v>15867.581959026655</v>
      </c>
      <c r="AN39" s="34">
        <f>SUM(O39:Z39)</f>
        <v>360.47061125618893</v>
      </c>
      <c r="AO39" s="34">
        <f>SUM(AA39:AL39)</f>
        <v>28065.261330354238</v>
      </c>
    </row>
    <row r="40" spans="1:41" x14ac:dyDescent="0.25">
      <c r="A40" s="31" t="s">
        <v>154</v>
      </c>
      <c r="B40" s="32" t="s">
        <v>134</v>
      </c>
      <c r="C40" s="33">
        <f>IF(1=Supuestos!$G$34,Supuestos!$G$33,0)</f>
        <v>30000</v>
      </c>
      <c r="D40" s="33">
        <f>IF(2=Supuestos!$G$34,Supuestos!$G$33,0)</f>
        <v>0</v>
      </c>
      <c r="E40" s="33">
        <f>IF(3=Supuestos!$G$34,Supuestos!$G$33,0)</f>
        <v>0</v>
      </c>
      <c r="F40" s="33">
        <f>IF(4=Supuestos!$G$34,Supuestos!$G$33,0)</f>
        <v>0</v>
      </c>
      <c r="G40" s="33">
        <f>IF(5=Supuestos!$G$34,Supuestos!$G$33,0)</f>
        <v>0</v>
      </c>
      <c r="H40" s="33">
        <f>IF(6=Supuestos!$G$34,Supuestos!$G$33,0)</f>
        <v>0</v>
      </c>
      <c r="I40" s="33">
        <f>IF(7=Supuestos!$G$34,Supuestos!$G$33,0)</f>
        <v>0</v>
      </c>
      <c r="J40" s="33">
        <f>IF(8=Supuestos!$G$34,Supuestos!$G$33,0)</f>
        <v>0</v>
      </c>
      <c r="K40" s="33">
        <f>IF(9=Supuestos!$G$34,Supuestos!$G$33,0)</f>
        <v>0</v>
      </c>
      <c r="L40" s="33">
        <f>IF(10=Supuestos!$G$34,Supuestos!$G$33,0)</f>
        <v>0</v>
      </c>
      <c r="M40" s="33">
        <f>IF(11=Supuestos!$G$34,Supuestos!$G$33,0)</f>
        <v>0</v>
      </c>
      <c r="N40" s="33">
        <f>IF(12=Supuestos!$G$34,Supuestos!$G$33,0)</f>
        <v>0</v>
      </c>
      <c r="O40" s="33">
        <f>IF(13=Supuestos!$G$34,Supuestos!$G$33,0)</f>
        <v>0</v>
      </c>
      <c r="P40" s="33">
        <f>IF(14=Supuestos!$G$34,Supuestos!$G$33,0)</f>
        <v>0</v>
      </c>
      <c r="Q40" s="33">
        <f>IF(15=Supuestos!$G$34,Supuestos!$G$33,0)</f>
        <v>0</v>
      </c>
      <c r="R40" s="33">
        <f>IF(16=Supuestos!$G$34,Supuestos!$G$33,0)</f>
        <v>0</v>
      </c>
      <c r="S40" s="33">
        <f>IF(17=Supuestos!$G$34,Supuestos!$G$33,0)</f>
        <v>0</v>
      </c>
      <c r="T40" s="33">
        <f>IF(18=Supuestos!$G$34,Supuestos!$G$33,0)</f>
        <v>0</v>
      </c>
      <c r="U40" s="33">
        <f>IF(19=Supuestos!$G$34,Supuestos!$G$33,0)</f>
        <v>0</v>
      </c>
      <c r="V40" s="33">
        <f>IF(20=Supuestos!$G$34,Supuestos!$G$33,0)</f>
        <v>0</v>
      </c>
      <c r="W40" s="33">
        <f>IF(21=Supuestos!$G$34,Supuestos!$G$33,0)</f>
        <v>0</v>
      </c>
      <c r="X40" s="33">
        <f>IF(22=Supuestos!$G$34,Supuestos!$G$33,0)</f>
        <v>0</v>
      </c>
      <c r="Y40" s="33">
        <f>IF(23=Supuestos!$G$34,Supuestos!$G$33,0)</f>
        <v>0</v>
      </c>
      <c r="Z40" s="33">
        <f>IF(24=Supuestos!$G$34,Supuestos!$G$33,0)</f>
        <v>0</v>
      </c>
      <c r="AA40" s="33">
        <f>IF(25=Supuestos!$G$34,Supuestos!$G$33,0)</f>
        <v>0</v>
      </c>
      <c r="AB40" s="33">
        <f>IF(26=Supuestos!$G$34,Supuestos!$G$33,0)</f>
        <v>0</v>
      </c>
      <c r="AC40" s="33">
        <f>IF(27=Supuestos!$G$34,Supuestos!$G$33,0)</f>
        <v>0</v>
      </c>
      <c r="AD40" s="33">
        <f>IF(28=Supuestos!$G$34,Supuestos!$G$33,0)</f>
        <v>0</v>
      </c>
      <c r="AE40" s="33">
        <f>IF(29=Supuestos!$G$34,Supuestos!$G$33,0)</f>
        <v>0</v>
      </c>
      <c r="AF40" s="33">
        <f>IF(30=Supuestos!$G$34,Supuestos!$G$33,0)</f>
        <v>0</v>
      </c>
      <c r="AG40" s="33">
        <f>IF(31=Supuestos!$G$34,Supuestos!$G$33,0)</f>
        <v>0</v>
      </c>
      <c r="AH40" s="33">
        <f>IF(32=Supuestos!$G$34,Supuestos!$G$33,0)</f>
        <v>0</v>
      </c>
      <c r="AI40" s="33">
        <f>IF(33=Supuestos!$G$34,Supuestos!$G$33,0)</f>
        <v>0</v>
      </c>
      <c r="AJ40" s="33">
        <f>IF(34=Supuestos!$G$34,Supuestos!$G$33,0)</f>
        <v>0</v>
      </c>
      <c r="AK40" s="33">
        <f>IF(35=Supuestos!$G$34,Supuestos!$G$33,0)</f>
        <v>0</v>
      </c>
      <c r="AL40" s="33">
        <f>IF(36=Supuestos!$G$34,Supuestos!$G$33,0)</f>
        <v>0</v>
      </c>
      <c r="AM40" s="34">
        <f>SUM(C40:N40)</f>
        <v>30000</v>
      </c>
      <c r="AN40" s="34">
        <f>SUM(O40:Z40)</f>
        <v>0</v>
      </c>
      <c r="AO40" s="34">
        <f>SUM(AA40:AL40)</f>
        <v>0</v>
      </c>
    </row>
    <row r="41" spans="1:41" x14ac:dyDescent="0.25">
      <c r="A41" s="31" t="s">
        <v>154</v>
      </c>
      <c r="B41" s="32" t="s">
        <v>170</v>
      </c>
      <c r="C41" s="33">
        <f>IF(1=Supuestos!$G$36,Supuestos!$G$35,0)</f>
        <v>18000</v>
      </c>
      <c r="D41" s="33">
        <f>IF(2=Supuestos!$G$36,Supuestos!$G$35,0)</f>
        <v>0</v>
      </c>
      <c r="E41" s="33">
        <f>IF(3=Supuestos!$G$36,Supuestos!$G$35,0)</f>
        <v>0</v>
      </c>
      <c r="F41" s="33">
        <f>IF(4=Supuestos!$G$36,Supuestos!$G$35,0)</f>
        <v>0</v>
      </c>
      <c r="G41" s="33">
        <f>IF(5=Supuestos!$G$36,Supuestos!$G$35,0)</f>
        <v>0</v>
      </c>
      <c r="H41" s="33">
        <f>IF(6=Supuestos!$G$36,Supuestos!$G$35,0)</f>
        <v>0</v>
      </c>
      <c r="I41" s="33">
        <f>IF(7=Supuestos!$G$36,Supuestos!$G$35,0)</f>
        <v>0</v>
      </c>
      <c r="J41" s="33">
        <f>IF(8=Supuestos!$G$36,Supuestos!$G$35,0)</f>
        <v>0</v>
      </c>
      <c r="K41" s="33">
        <f>IF(9=Supuestos!$G$36,Supuestos!$G$35,0)</f>
        <v>0</v>
      </c>
      <c r="L41" s="33">
        <f>IF(10=Supuestos!$G$36,Supuestos!$G$35,0)</f>
        <v>0</v>
      </c>
      <c r="M41" s="33">
        <f>IF(11=Supuestos!$G$36,Supuestos!$G$35,0)</f>
        <v>0</v>
      </c>
      <c r="N41" s="33">
        <f>IF(12=Supuestos!$G$36,Supuestos!$G$35,0)</f>
        <v>0</v>
      </c>
      <c r="O41" s="33">
        <f>IF(13=Supuestos!$G$36,Supuestos!$G$35,0)</f>
        <v>0</v>
      </c>
      <c r="P41" s="33">
        <f>IF(14=Supuestos!$G$36,Supuestos!$G$35,0)</f>
        <v>0</v>
      </c>
      <c r="Q41" s="33">
        <f>IF(15=Supuestos!$G$36,Supuestos!$G$35,0)</f>
        <v>0</v>
      </c>
      <c r="R41" s="33">
        <f>IF(16=Supuestos!$G$36,Supuestos!$G$35,0)</f>
        <v>0</v>
      </c>
      <c r="S41" s="33">
        <f>IF(17=Supuestos!$G$36,Supuestos!$G$35,0)</f>
        <v>0</v>
      </c>
      <c r="T41" s="33">
        <f>IF(18=Supuestos!$G$36,Supuestos!$G$35,0)</f>
        <v>0</v>
      </c>
      <c r="U41" s="33">
        <f>IF(19=Supuestos!$G$36,Supuestos!$G$35,0)</f>
        <v>0</v>
      </c>
      <c r="V41" s="33">
        <f>IF(20=Supuestos!$G$36,Supuestos!$G$35,0)</f>
        <v>0</v>
      </c>
      <c r="W41" s="33">
        <f>IF(21=Supuestos!$G$36,Supuestos!$G$35,0)</f>
        <v>0</v>
      </c>
      <c r="X41" s="33">
        <f>IF(22=Supuestos!$G$36,Supuestos!$G$35,0)</f>
        <v>0</v>
      </c>
      <c r="Y41" s="33">
        <f>IF(23=Supuestos!$G$36,Supuestos!$G$35,0)</f>
        <v>0</v>
      </c>
      <c r="Z41" s="33">
        <f>IF(24=Supuestos!$G$36,Supuestos!$G$35,0)</f>
        <v>0</v>
      </c>
      <c r="AA41" s="33">
        <f>IF(25=Supuestos!$G$36,Supuestos!$G$35,0)</f>
        <v>0</v>
      </c>
      <c r="AB41" s="33">
        <f>IF(26=Supuestos!$G$36,Supuestos!$G$35,0)</f>
        <v>0</v>
      </c>
      <c r="AC41" s="33">
        <f>IF(27=Supuestos!$G$36,Supuestos!$G$35,0)</f>
        <v>0</v>
      </c>
      <c r="AD41" s="33">
        <f>IF(28=Supuestos!$G$36,Supuestos!$G$35,0)</f>
        <v>0</v>
      </c>
      <c r="AE41" s="33">
        <f>IF(29=Supuestos!$G$36,Supuestos!$G$35,0)</f>
        <v>0</v>
      </c>
      <c r="AF41" s="33">
        <f>IF(30=Supuestos!$G$36,Supuestos!$G$35,0)</f>
        <v>0</v>
      </c>
      <c r="AG41" s="33">
        <f>IF(31=Supuestos!$G$36,Supuestos!$G$35,0)</f>
        <v>0</v>
      </c>
      <c r="AH41" s="33">
        <f>IF(32=Supuestos!$G$36,Supuestos!$G$35,0)</f>
        <v>0</v>
      </c>
      <c r="AI41" s="33">
        <f>IF(33=Supuestos!$G$36,Supuestos!$G$35,0)</f>
        <v>0</v>
      </c>
      <c r="AJ41" s="33">
        <f>IF(34=Supuestos!$G$36,Supuestos!$G$35,0)</f>
        <v>0</v>
      </c>
      <c r="AK41" s="33">
        <f>IF(35=Supuestos!$G$36,Supuestos!$G$35,0)</f>
        <v>0</v>
      </c>
      <c r="AL41" s="33">
        <f>IF(36=Supuestos!$G$36,Supuestos!$G$35,0)</f>
        <v>0</v>
      </c>
      <c r="AM41" s="34">
        <f>SUM(C41:N41)</f>
        <v>18000</v>
      </c>
      <c r="AN41" s="34">
        <f>SUM(O41:Z41)</f>
        <v>0</v>
      </c>
      <c r="AO41" s="34">
        <f>SUM(AA41:AL41)</f>
        <v>0</v>
      </c>
    </row>
    <row r="42" spans="1:41" x14ac:dyDescent="0.25">
      <c r="A42" s="31" t="s">
        <v>154</v>
      </c>
      <c r="B42" s="32" t="s">
        <v>171</v>
      </c>
      <c r="C42" s="33">
        <f>IF(1=Supuestos!$M$25,-Supuestos!$N$25,0)+IF(1=Supuestos!$M$26,-Supuestos!$N$26,0)+IF(1=Supuestos!$M$27,-Supuestos!$N$27,0)+IF(1=Supuestos!$M$28,-Supuestos!$N$28,0)</f>
        <v>-10900</v>
      </c>
      <c r="D42" s="33">
        <f>IF(2=Supuestos!$M$25,-Supuestos!$N$25,0)+IF(2=Supuestos!$M$26,-Supuestos!$N$26,0)+IF(2=Supuestos!$M$27,-Supuestos!$N$27,0)+IF(2=Supuestos!$M$28,-Supuestos!$N$28,0)</f>
        <v>-14000</v>
      </c>
      <c r="E42" s="33">
        <f>IF(3=Supuestos!$M$25,-Supuestos!$N$25,0)+IF(3=Supuestos!$M$26,-Supuestos!$N$26,0)+IF(3=Supuestos!$M$27,-Supuestos!$N$27,0)+IF(3=Supuestos!$M$28,-Supuestos!$N$28,0)</f>
        <v>0</v>
      </c>
      <c r="F42" s="33">
        <f>IF(4=Supuestos!$M$25,-Supuestos!$N$25,0)+IF(4=Supuestos!$M$26,-Supuestos!$N$26,0)+IF(4=Supuestos!$M$27,-Supuestos!$N$27,0)+IF(4=Supuestos!$M$28,-Supuestos!$N$28,0)</f>
        <v>0</v>
      </c>
      <c r="G42" s="33">
        <f>IF(5=Supuestos!$M$25,-Supuestos!$N$25,0)+IF(5=Supuestos!$M$26,-Supuestos!$N$26,0)+IF(5=Supuestos!$M$27,-Supuestos!$N$27,0)+IF(5=Supuestos!$M$28,-Supuestos!$N$28,0)</f>
        <v>0</v>
      </c>
      <c r="H42" s="33">
        <f>IF(6=Supuestos!$M$25,-Supuestos!$N$25,0)+IF(6=Supuestos!$M$26,-Supuestos!$N$26,0)+IF(6=Supuestos!$M$27,-Supuestos!$N$27,0)+IF(6=Supuestos!$M$28,-Supuestos!$N$28,0)</f>
        <v>0</v>
      </c>
      <c r="I42" s="33">
        <f>IF(7=Supuestos!$M$25,-Supuestos!$N$25,0)+IF(7=Supuestos!$M$26,-Supuestos!$N$26,0)+IF(7=Supuestos!$M$27,-Supuestos!$N$27,0)+IF(7=Supuestos!$M$28,-Supuestos!$N$28,0)</f>
        <v>0</v>
      </c>
      <c r="J42" s="33">
        <f>IF(8=Supuestos!$M$25,-Supuestos!$N$25,0)+IF(8=Supuestos!$M$26,-Supuestos!$N$26,0)+IF(8=Supuestos!$M$27,-Supuestos!$N$27,0)+IF(8=Supuestos!$M$28,-Supuestos!$N$28,0)</f>
        <v>0</v>
      </c>
      <c r="K42" s="33">
        <f>IF(9=Supuestos!$M$25,-Supuestos!$N$25,0)+IF(9=Supuestos!$M$26,-Supuestos!$N$26,0)+IF(9=Supuestos!$M$27,-Supuestos!$N$27,0)+IF(9=Supuestos!$M$28,-Supuestos!$N$28,0)</f>
        <v>0</v>
      </c>
      <c r="L42" s="33">
        <f>IF(10=Supuestos!$M$25,-Supuestos!$N$25,0)+IF(10=Supuestos!$M$26,-Supuestos!$N$26,0)+IF(10=Supuestos!$M$27,-Supuestos!$N$27,0)+IF(10=Supuestos!$M$28,-Supuestos!$N$28,0)</f>
        <v>0</v>
      </c>
      <c r="M42" s="33">
        <f>IF(11=Supuestos!$M$25,-Supuestos!$N$25,0)+IF(11=Supuestos!$M$26,-Supuestos!$N$26,0)+IF(11=Supuestos!$M$27,-Supuestos!$N$27,0)+IF(11=Supuestos!$M$28,-Supuestos!$N$28,0)</f>
        <v>0</v>
      </c>
      <c r="N42" s="33">
        <f>IF(12=Supuestos!$M$25,-Supuestos!$N$25,0)+IF(12=Supuestos!$M$26,-Supuestos!$N$26,0)+IF(12=Supuestos!$M$27,-Supuestos!$N$27,0)+IF(12=Supuestos!$M$28,-Supuestos!$N$28,0)</f>
        <v>0</v>
      </c>
      <c r="O42" s="33">
        <f>IF(13=Supuestos!$M$25,-Supuestos!$N$25,0)+IF(13=Supuestos!$M$26,-Supuestos!$N$26,0)+IF(13=Supuestos!$M$27,-Supuestos!$N$27,0)+IF(13=Supuestos!$M$28,-Supuestos!$N$28,0)</f>
        <v>0</v>
      </c>
      <c r="P42" s="33">
        <f>IF(14=Supuestos!$M$25,-Supuestos!$N$25,0)+IF(14=Supuestos!$M$26,-Supuestos!$N$26,0)+IF(14=Supuestos!$M$27,-Supuestos!$N$27,0)+IF(14=Supuestos!$M$28,-Supuestos!$N$28,0)</f>
        <v>0</v>
      </c>
      <c r="Q42" s="33">
        <f>IF(15=Supuestos!$M$25,-Supuestos!$N$25,0)+IF(15=Supuestos!$M$26,-Supuestos!$N$26,0)+IF(15=Supuestos!$M$27,-Supuestos!$N$27,0)+IF(15=Supuestos!$M$28,-Supuestos!$N$28,0)</f>
        <v>0</v>
      </c>
      <c r="R42" s="33">
        <f>IF(16=Supuestos!$M$25,-Supuestos!$N$25,0)+IF(16=Supuestos!$M$26,-Supuestos!$N$26,0)+IF(16=Supuestos!$M$27,-Supuestos!$N$27,0)+IF(16=Supuestos!$M$28,-Supuestos!$N$28,0)</f>
        <v>0</v>
      </c>
      <c r="S42" s="33">
        <f>IF(17=Supuestos!$M$25,-Supuestos!$N$25,0)+IF(17=Supuestos!$M$26,-Supuestos!$N$26,0)+IF(17=Supuestos!$M$27,-Supuestos!$N$27,0)+IF(17=Supuestos!$M$28,-Supuestos!$N$28,0)</f>
        <v>0</v>
      </c>
      <c r="T42" s="33">
        <f>IF(18=Supuestos!$M$25,-Supuestos!$N$25,0)+IF(18=Supuestos!$M$26,-Supuestos!$N$26,0)+IF(18=Supuestos!$M$27,-Supuestos!$N$27,0)+IF(18=Supuestos!$M$28,-Supuestos!$N$28,0)</f>
        <v>0</v>
      </c>
      <c r="U42" s="33">
        <f>IF(19=Supuestos!$M$25,-Supuestos!$N$25,0)+IF(19=Supuestos!$M$26,-Supuestos!$N$26,0)+IF(19=Supuestos!$M$27,-Supuestos!$N$27,0)+IF(19=Supuestos!$M$28,-Supuestos!$N$28,0)</f>
        <v>0</v>
      </c>
      <c r="V42" s="33">
        <f>IF(20=Supuestos!$M$25,-Supuestos!$N$25,0)+IF(20=Supuestos!$M$26,-Supuestos!$N$26,0)+IF(20=Supuestos!$M$27,-Supuestos!$N$27,0)+IF(20=Supuestos!$M$28,-Supuestos!$N$28,0)</f>
        <v>0</v>
      </c>
      <c r="W42" s="33">
        <f>IF(21=Supuestos!$M$25,-Supuestos!$N$25,0)+IF(21=Supuestos!$M$26,-Supuestos!$N$26,0)+IF(21=Supuestos!$M$27,-Supuestos!$N$27,0)+IF(21=Supuestos!$M$28,-Supuestos!$N$28,0)</f>
        <v>0</v>
      </c>
      <c r="X42" s="33">
        <f>IF(22=Supuestos!$M$25,-Supuestos!$N$25,0)+IF(22=Supuestos!$M$26,-Supuestos!$N$26,0)+IF(22=Supuestos!$M$27,-Supuestos!$N$27,0)+IF(22=Supuestos!$M$28,-Supuestos!$N$28,0)</f>
        <v>0</v>
      </c>
      <c r="Y42" s="33">
        <f>IF(23=Supuestos!$M$25,-Supuestos!$N$25,0)+IF(23=Supuestos!$M$26,-Supuestos!$N$26,0)+IF(23=Supuestos!$M$27,-Supuestos!$N$27,0)+IF(23=Supuestos!$M$28,-Supuestos!$N$28,0)</f>
        <v>0</v>
      </c>
      <c r="Z42" s="33">
        <f>IF(24=Supuestos!$M$25,-Supuestos!$N$25,0)+IF(24=Supuestos!$M$26,-Supuestos!$N$26,0)+IF(24=Supuestos!$M$27,-Supuestos!$N$27,0)+IF(24=Supuestos!$M$28,-Supuestos!$N$28,0)</f>
        <v>0</v>
      </c>
      <c r="AA42" s="33">
        <f>IF(25=Supuestos!$M$25,-Supuestos!$N$25,0)+IF(25=Supuestos!$M$26,-Supuestos!$N$26,0)+IF(25=Supuestos!$M$27,-Supuestos!$N$27,0)+IF(25=Supuestos!$M$28,-Supuestos!$N$28,0)</f>
        <v>0</v>
      </c>
      <c r="AB42" s="33">
        <f>IF(26=Supuestos!$M$25,-Supuestos!$N$25,0)+IF(26=Supuestos!$M$26,-Supuestos!$N$26,0)+IF(26=Supuestos!$M$27,-Supuestos!$N$27,0)+IF(26=Supuestos!$M$28,-Supuestos!$N$28,0)</f>
        <v>0</v>
      </c>
      <c r="AC42" s="33">
        <f>IF(27=Supuestos!$M$25,-Supuestos!$N$25,0)+IF(27=Supuestos!$M$26,-Supuestos!$N$26,0)+IF(27=Supuestos!$M$27,-Supuestos!$N$27,0)+IF(27=Supuestos!$M$28,-Supuestos!$N$28,0)</f>
        <v>0</v>
      </c>
      <c r="AD42" s="33">
        <f>IF(28=Supuestos!$M$25,-Supuestos!$N$25,0)+IF(28=Supuestos!$M$26,-Supuestos!$N$26,0)+IF(28=Supuestos!$M$27,-Supuestos!$N$27,0)+IF(28=Supuestos!$M$28,-Supuestos!$N$28,0)</f>
        <v>0</v>
      </c>
      <c r="AE42" s="33">
        <f>IF(29=Supuestos!$M$25,-Supuestos!$N$25,0)+IF(29=Supuestos!$M$26,-Supuestos!$N$26,0)+IF(29=Supuestos!$M$27,-Supuestos!$N$27,0)+IF(29=Supuestos!$M$28,-Supuestos!$N$28,0)</f>
        <v>0</v>
      </c>
      <c r="AF42" s="33">
        <f>IF(30=Supuestos!$M$25,-Supuestos!$N$25,0)+IF(30=Supuestos!$M$26,-Supuestos!$N$26,0)+IF(30=Supuestos!$M$27,-Supuestos!$N$27,0)+IF(30=Supuestos!$M$28,-Supuestos!$N$28,0)</f>
        <v>0</v>
      </c>
      <c r="AG42" s="33">
        <f>IF(31=Supuestos!$M$25,-Supuestos!$N$25,0)+IF(31=Supuestos!$M$26,-Supuestos!$N$26,0)+IF(31=Supuestos!$M$27,-Supuestos!$N$27,0)+IF(31=Supuestos!$M$28,-Supuestos!$N$28,0)</f>
        <v>0</v>
      </c>
      <c r="AH42" s="33">
        <f>IF(32=Supuestos!$M$25,-Supuestos!$N$25,0)+IF(32=Supuestos!$M$26,-Supuestos!$N$26,0)+IF(32=Supuestos!$M$27,-Supuestos!$N$27,0)+IF(32=Supuestos!$M$28,-Supuestos!$N$28,0)</f>
        <v>0</v>
      </c>
      <c r="AI42" s="33">
        <f>IF(33=Supuestos!$M$25,-Supuestos!$N$25,0)+IF(33=Supuestos!$M$26,-Supuestos!$N$26,0)+IF(33=Supuestos!$M$27,-Supuestos!$N$27,0)+IF(33=Supuestos!$M$28,-Supuestos!$N$28,0)</f>
        <v>0</v>
      </c>
      <c r="AJ42" s="33">
        <f>IF(34=Supuestos!$M$25,-Supuestos!$N$25,0)+IF(34=Supuestos!$M$26,-Supuestos!$N$26,0)+IF(34=Supuestos!$M$27,-Supuestos!$N$27,0)+IF(34=Supuestos!$M$28,-Supuestos!$N$28,0)</f>
        <v>0</v>
      </c>
      <c r="AK42" s="33">
        <f>IF(35=Supuestos!$M$25,-Supuestos!$N$25,0)+IF(35=Supuestos!$M$26,-Supuestos!$N$26,0)+IF(35=Supuestos!$M$27,-Supuestos!$N$27,0)+IF(35=Supuestos!$M$28,-Supuestos!$N$28,0)</f>
        <v>0</v>
      </c>
      <c r="AL42" s="33">
        <f>IF(36=Supuestos!$M$25,-Supuestos!$N$25,0)+IF(36=Supuestos!$M$26,-Supuestos!$N$26,0)+IF(36=Supuestos!$M$27,-Supuestos!$N$27,0)+IF(36=Supuestos!$M$28,-Supuestos!$N$28,0)</f>
        <v>0</v>
      </c>
      <c r="AM42" s="34">
        <f>SUM(C42:N42)</f>
        <v>-24900</v>
      </c>
      <c r="AN42" s="34">
        <f>SUM(O42:Z42)</f>
        <v>0</v>
      </c>
      <c r="AO42" s="34">
        <f>SUM(AA42:AL42)</f>
        <v>0</v>
      </c>
    </row>
    <row r="43" spans="1:41" x14ac:dyDescent="0.25">
      <c r="A43" s="31" t="s">
        <v>154</v>
      </c>
      <c r="B43" s="32" t="s">
        <v>172</v>
      </c>
      <c r="C43" s="33">
        <f>IF(OR(C72=0,1&lt;Supuestos!$G$36+Supuestos!$G$39),0,MIN(C72,MAX(0,Supuestos!$J$32-C33)))</f>
        <v>0</v>
      </c>
      <c r="D43" s="33">
        <f>IF(OR(D72=0,2&lt;Supuestos!$G$36+Supuestos!$G$39),0,MIN(D72,MAX(0,Supuestos!$J$32-D33)))</f>
        <v>0</v>
      </c>
      <c r="E43" s="33">
        <f>IF(OR(E72=0,3&lt;Supuestos!$G$36+Supuestos!$G$39),0,MIN(E72,MAX(0,Supuestos!$J$32-E33)))</f>
        <v>0</v>
      </c>
      <c r="F43" s="33">
        <f>IF(OR(F72=0,4&lt;Supuestos!$G$36+Supuestos!$G$39),0,MIN(F72,MAX(0,Supuestos!$J$32-F33)))</f>
        <v>486.10669509813852</v>
      </c>
      <c r="G43" s="33">
        <f>IF(OR(G72=0,5&lt;Supuestos!$G$36+Supuestos!$G$39),0,MIN(G72,MAX(0,Supuestos!$J$32-G33)))</f>
        <v>489.54995085508369</v>
      </c>
      <c r="H43" s="33">
        <f>IF(OR(H72=0,6&lt;Supuestos!$G$36+Supuestos!$G$39),0,MIN(H72,MAX(0,Supuestos!$J$32-H33)))</f>
        <v>493.01759634030714</v>
      </c>
      <c r="I43" s="33">
        <f>IF(OR(I72=0,7&lt;Supuestos!$G$36+Supuestos!$G$39),0,MIN(I72,MAX(0,Supuestos!$J$32-I33)))</f>
        <v>496.50980431438433</v>
      </c>
      <c r="J43" s="33">
        <f>IF(OR(J72=0,8&lt;Supuestos!$G$36+Supuestos!$G$39),0,MIN(J72,MAX(0,Supuestos!$J$32-J33)))</f>
        <v>500.0267487616112</v>
      </c>
      <c r="K43" s="33">
        <f>IF(OR(K72=0,9&lt;Supuestos!$G$36+Supuestos!$G$39),0,MIN(K72,MAX(0,Supuestos!$J$32-K33)))</f>
        <v>503.56860489867262</v>
      </c>
      <c r="L43" s="33">
        <f>IF(OR(L72=0,10&lt;Supuestos!$G$36+Supuestos!$G$39),0,MIN(L72,MAX(0,Supuestos!$J$32-L33)))</f>
        <v>507.13554918337155</v>
      </c>
      <c r="M43" s="33">
        <f>IF(OR(M72=0,11&lt;Supuestos!$G$36+Supuestos!$G$39),0,MIN(M72,MAX(0,Supuestos!$J$32-M33)))</f>
        <v>510.7277593234204</v>
      </c>
      <c r="N43" s="33">
        <f>IF(OR(N72=0,12&lt;Supuestos!$G$36+Supuestos!$G$39),0,MIN(N72,MAX(0,Supuestos!$J$32-N33)))</f>
        <v>514.34541428529462</v>
      </c>
      <c r="O43" s="33">
        <f>IF(OR(O72=0,13&lt;Supuestos!$G$36+Supuestos!$G$39),0,MIN(O72,MAX(0,Supuestos!$J$32-O33)))</f>
        <v>517.9886943031488</v>
      </c>
      <c r="P43" s="33">
        <f>IF(OR(P72=0,14&lt;Supuestos!$G$36+Supuestos!$G$39),0,MIN(P72,MAX(0,Supuestos!$J$32-P33)))</f>
        <v>521.65778088779621</v>
      </c>
      <c r="Q43" s="33">
        <f>IF(OR(Q72=0,15&lt;Supuestos!$G$36+Supuestos!$G$39),0,MIN(Q72,MAX(0,Supuestos!$J$32-Q33)))</f>
        <v>525.35285683575137</v>
      </c>
      <c r="R43" s="33">
        <f>IF(OR(R72=0,16&lt;Supuestos!$G$36+Supuestos!$G$39),0,MIN(R72,MAX(0,Supuestos!$J$32-R33)))</f>
        <v>529.07410623833789</v>
      </c>
      <c r="S43" s="33">
        <f>IF(OR(S72=0,17&lt;Supuestos!$G$36+Supuestos!$G$39),0,MIN(S72,MAX(0,Supuestos!$J$32-S33)))</f>
        <v>532.82171449085945</v>
      </c>
      <c r="T43" s="33">
        <f>IF(OR(T72=0,18&lt;Supuestos!$G$36+Supuestos!$G$39),0,MIN(T72,MAX(0,Supuestos!$J$32-T33)))</f>
        <v>536.59586830183639</v>
      </c>
      <c r="U43" s="33">
        <f>IF(OR(U72=0,19&lt;Supuestos!$G$36+Supuestos!$G$39),0,MIN(U72,MAX(0,Supuestos!$J$32-U33)))</f>
        <v>540.3967557023077</v>
      </c>
      <c r="V43" s="33">
        <f>IF(OR(V72=0,20&lt;Supuestos!$G$36+Supuestos!$G$39),0,MIN(V72,MAX(0,Supuestos!$J$32-V33)))</f>
        <v>544.22456605519915</v>
      </c>
      <c r="W43" s="33">
        <f>IF(OR(W72=0,21&lt;Supuestos!$G$36+Supuestos!$G$39),0,MIN(W72,MAX(0,Supuestos!$J$32-W33)))</f>
        <v>548.07949006475678</v>
      </c>
      <c r="X43" s="33">
        <f>IF(OR(X72=0,22&lt;Supuestos!$G$36+Supuestos!$G$39),0,MIN(X72,MAX(0,Supuestos!$J$32-X33)))</f>
        <v>551.96171978604877</v>
      </c>
      <c r="Y43" s="33">
        <f>IF(OR(Y72=0,23&lt;Supuestos!$G$36+Supuestos!$G$39),0,MIN(Y72,MAX(0,Supuestos!$J$32-Y33)))</f>
        <v>555.87144863453329</v>
      </c>
      <c r="Z43" s="33">
        <f>IF(OR(Z72=0,24&lt;Supuestos!$G$36+Supuestos!$G$39),0,MIN(Z72,MAX(0,Supuestos!$J$32-Z33)))</f>
        <v>559.80887139569461</v>
      </c>
      <c r="AA43" s="33">
        <f>IF(OR(AA72=0,25&lt;Supuestos!$G$36+Supuestos!$G$39),0,MIN(AA72,MAX(0,Supuestos!$J$32-AA33)))</f>
        <v>563.77418423474739</v>
      </c>
      <c r="AB43" s="33">
        <f>IF(OR(AB72=0,26&lt;Supuestos!$G$36+Supuestos!$G$39),0,MIN(AB72,MAX(0,Supuestos!$J$32-AB33)))</f>
        <v>567.76758470641028</v>
      </c>
      <c r="AC43" s="33">
        <f>IF(OR(AC72=0,27&lt;Supuestos!$G$36+Supuestos!$G$39),0,MIN(AC72,MAX(0,Supuestos!$J$32-AC33)))</f>
        <v>571.78927176474735</v>
      </c>
      <c r="AD43" s="33">
        <f>IF(OR(AD72=0,28&lt;Supuestos!$G$36+Supuestos!$G$39),0,MIN(AD72,MAX(0,Supuestos!$J$32-AD33)))</f>
        <v>575.83944577308091</v>
      </c>
      <c r="AE43" s="33">
        <f>IF(OR(AE72=0,29&lt;Supuestos!$G$36+Supuestos!$G$39),0,MIN(AE72,MAX(0,Supuestos!$J$32-AE33)))</f>
        <v>579.91830851397356</v>
      </c>
      <c r="AF43" s="33">
        <f>IF(OR(AF72=0,30&lt;Supuestos!$G$36+Supuestos!$G$39),0,MIN(AF72,MAX(0,Supuestos!$J$32-AF33)))</f>
        <v>584.02606319928088</v>
      </c>
      <c r="AG43" s="33">
        <f>IF(OR(AG72=0,31&lt;Supuestos!$G$36+Supuestos!$G$39),0,MIN(AG72,MAX(0,Supuestos!$J$32-AG33)))</f>
        <v>588.16291448027584</v>
      </c>
      <c r="AH43" s="33">
        <f>IF(OR(AH72=0,32&lt;Supuestos!$G$36+Supuestos!$G$39),0,MIN(AH72,MAX(0,Supuestos!$J$32-AH33)))</f>
        <v>592.32906845784441</v>
      </c>
      <c r="AI43" s="33">
        <f>IF(OR(AI72=0,33&lt;Supuestos!$G$36+Supuestos!$G$39),0,MIN(AI72,MAX(0,Supuestos!$J$32-AI33)))</f>
        <v>596.52473269275413</v>
      </c>
      <c r="AJ43" s="33">
        <f>IF(OR(AJ72=0,34&lt;Supuestos!$G$36+Supuestos!$G$39),0,MIN(AJ72,MAX(0,Supuestos!$J$32-AJ33)))</f>
        <v>600.75011621599447</v>
      </c>
      <c r="AK43" s="33">
        <f>IF(OR(AK72=0,35&lt;Supuestos!$G$36+Supuestos!$G$39),0,MIN(AK72,MAX(0,Supuestos!$J$32-AK33)))</f>
        <v>605.00542953919114</v>
      </c>
      <c r="AL43" s="33">
        <f>IF(OR(AL72=0,36&lt;Supuestos!$G$36+Supuestos!$G$39),0,MIN(AL72,MAX(0,Supuestos!$J$32-AL33)))</f>
        <v>609.2908846650937</v>
      </c>
      <c r="AM43" s="34">
        <f>SUM(C43:N43)</f>
        <v>4500.9881230602841</v>
      </c>
      <c r="AN43" s="34">
        <f>SUM(O43:Z43)</f>
        <v>6463.8338726962711</v>
      </c>
      <c r="AO43" s="34">
        <f>SUM(AA43:AL43)</f>
        <v>7035.1780042433929</v>
      </c>
    </row>
    <row r="44" spans="1:41" x14ac:dyDescent="0.25">
      <c r="A44" s="35" t="s">
        <v>154</v>
      </c>
      <c r="B44" s="36" t="s">
        <v>173</v>
      </c>
      <c r="C44" s="37">
        <f t="shared" ref="C44:AL44" si="19">C38+C39+C40+C41+C42-C43</f>
        <v>47372</v>
      </c>
      <c r="D44" s="37">
        <f t="shared" si="19"/>
        <v>32674</v>
      </c>
      <c r="E44" s="37">
        <f t="shared" si="19"/>
        <v>32786</v>
      </c>
      <c r="F44" s="37">
        <f t="shared" si="19"/>
        <v>33016.809971568524</v>
      </c>
      <c r="G44" s="37">
        <f t="shared" si="19"/>
        <v>34019.259129197817</v>
      </c>
      <c r="H44" s="37">
        <f t="shared" si="19"/>
        <v>33808.152434099677</v>
      </c>
      <c r="I44" s="37">
        <f t="shared" si="19"/>
        <v>34421.111628364146</v>
      </c>
      <c r="J44" s="37">
        <f t="shared" si="19"/>
        <v>35543.191586516805</v>
      </c>
      <c r="K44" s="37">
        <f t="shared" si="19"/>
        <v>36749.136080635195</v>
      </c>
      <c r="L44" s="37">
        <f t="shared" si="19"/>
        <v>38644.188838682414</v>
      </c>
      <c r="M44" s="37">
        <f t="shared" si="19"/>
        <v>41670.84354419462</v>
      </c>
      <c r="N44" s="37">
        <f t="shared" si="19"/>
        <v>46466.593835966363</v>
      </c>
      <c r="O44" s="37">
        <f t="shared" si="19"/>
        <v>39882.487140868223</v>
      </c>
      <c r="P44" s="37">
        <f t="shared" si="19"/>
        <v>34615.746445770084</v>
      </c>
      <c r="Q44" s="37">
        <f t="shared" si="19"/>
        <v>30377.603750671948</v>
      </c>
      <c r="R44" s="37">
        <f t="shared" si="19"/>
        <v>27048.692055573811</v>
      </c>
      <c r="S44" s="37">
        <f t="shared" si="19"/>
        <v>25037.146360475675</v>
      </c>
      <c r="T44" s="37">
        <f t="shared" si="19"/>
        <v>23934.831665377536</v>
      </c>
      <c r="U44" s="37">
        <f t="shared" si="19"/>
        <v>24083.937621795023</v>
      </c>
      <c r="V44" s="37">
        <f t="shared" si="19"/>
        <v>24914.009875624288</v>
      </c>
      <c r="W44" s="37">
        <f t="shared" si="19"/>
        <v>26731.142898451162</v>
      </c>
      <c r="X44" s="37">
        <f t="shared" si="19"/>
        <v>29477.999863847712</v>
      </c>
      <c r="Y44" s="37">
        <f t="shared" si="19"/>
        <v>33709.446397032145</v>
      </c>
      <c r="Z44" s="37">
        <f t="shared" si="19"/>
        <v>40363.230574526286</v>
      </c>
      <c r="AA44" s="37">
        <f t="shared" si="19"/>
        <v>34935.179161428154</v>
      </c>
      <c r="AB44" s="37">
        <f t="shared" si="19"/>
        <v>31127.689845930014</v>
      </c>
      <c r="AC44" s="37">
        <f t="shared" si="19"/>
        <v>28579.520823231873</v>
      </c>
      <c r="AD44" s="37">
        <f t="shared" si="19"/>
        <v>27188.446418133735</v>
      </c>
      <c r="AE44" s="37">
        <f t="shared" si="19"/>
        <v>27338.499277048304</v>
      </c>
      <c r="AF44" s="37">
        <f t="shared" si="19"/>
        <v>28355.346160491543</v>
      </c>
      <c r="AG44" s="37">
        <f t="shared" si="19"/>
        <v>30586.580404314536</v>
      </c>
      <c r="AH44" s="37">
        <f t="shared" si="19"/>
        <v>33684.594072843138</v>
      </c>
      <c r="AI44" s="37">
        <f t="shared" si="19"/>
        <v>37996.980398513006</v>
      </c>
      <c r="AJ44" s="37">
        <f t="shared" si="19"/>
        <v>43502.089597502069</v>
      </c>
      <c r="AK44" s="37">
        <f t="shared" si="19"/>
        <v>50873.473053360336</v>
      </c>
      <c r="AL44" s="37">
        <f t="shared" si="19"/>
        <v>61393.31390063712</v>
      </c>
      <c r="AM44" s="38">
        <f>N44</f>
        <v>46466.593835966363</v>
      </c>
      <c r="AN44" s="38">
        <f>Z44</f>
        <v>40363.230574526286</v>
      </c>
      <c r="AO44" s="38">
        <f>AL44</f>
        <v>61393.31390063712</v>
      </c>
    </row>
    <row r="45" spans="1:41" x14ac:dyDescent="0.25">
      <c r="A45" s="35" t="s">
        <v>154</v>
      </c>
      <c r="B45" s="36" t="s">
        <v>174</v>
      </c>
      <c r="C45" s="37">
        <f t="shared" ref="C45:AL45" si="20">MAX(0,C72-C43)</f>
        <v>18000</v>
      </c>
      <c r="D45" s="37">
        <f t="shared" si="20"/>
        <v>18000</v>
      </c>
      <c r="E45" s="37">
        <f t="shared" si="20"/>
        <v>18000</v>
      </c>
      <c r="F45" s="37">
        <f t="shared" si="20"/>
        <v>17513.89330490186</v>
      </c>
      <c r="G45" s="37">
        <f t="shared" si="20"/>
        <v>17024.343354046778</v>
      </c>
      <c r="H45" s="37">
        <f t="shared" si="20"/>
        <v>16531.325757706472</v>
      </c>
      <c r="I45" s="37">
        <f t="shared" si="20"/>
        <v>16034.815953392088</v>
      </c>
      <c r="J45" s="37">
        <f t="shared" si="20"/>
        <v>15534.789204630477</v>
      </c>
      <c r="K45" s="37">
        <f t="shared" si="20"/>
        <v>15031.220599731805</v>
      </c>
      <c r="L45" s="37">
        <f t="shared" si="20"/>
        <v>14524.085050548434</v>
      </c>
      <c r="M45" s="37">
        <f t="shared" si="20"/>
        <v>14013.357291225013</v>
      </c>
      <c r="N45" s="37">
        <f t="shared" si="20"/>
        <v>13499.011876939718</v>
      </c>
      <c r="O45" s="37">
        <f t="shared" si="20"/>
        <v>12981.023182636569</v>
      </c>
      <c r="P45" s="37">
        <f t="shared" si="20"/>
        <v>12459.365401748773</v>
      </c>
      <c r="Q45" s="37">
        <f t="shared" si="20"/>
        <v>11934.012544913023</v>
      </c>
      <c r="R45" s="37">
        <f t="shared" si="20"/>
        <v>11404.938438674684</v>
      </c>
      <c r="S45" s="37">
        <f t="shared" si="20"/>
        <v>10872.116724183825</v>
      </c>
      <c r="T45" s="37">
        <f t="shared" si="20"/>
        <v>10335.520855881989</v>
      </c>
      <c r="U45" s="37">
        <f t="shared" si="20"/>
        <v>9795.1241001796807</v>
      </c>
      <c r="V45" s="37">
        <f t="shared" si="20"/>
        <v>9250.8995341244809</v>
      </c>
      <c r="W45" s="37">
        <f t="shared" si="20"/>
        <v>8702.8200440597248</v>
      </c>
      <c r="X45" s="37">
        <f t="shared" si="20"/>
        <v>8150.8583242736759</v>
      </c>
      <c r="Y45" s="37">
        <f t="shared" si="20"/>
        <v>7594.9868756391425</v>
      </c>
      <c r="Z45" s="37">
        <f t="shared" si="20"/>
        <v>7035.1780042434475</v>
      </c>
      <c r="AA45" s="37">
        <f t="shared" si="20"/>
        <v>6471.4038200086998</v>
      </c>
      <c r="AB45" s="37">
        <f t="shared" si="20"/>
        <v>5903.6362353022896</v>
      </c>
      <c r="AC45" s="37">
        <f t="shared" si="20"/>
        <v>5331.8469635375423</v>
      </c>
      <c r="AD45" s="37">
        <f t="shared" si="20"/>
        <v>4756.0075177644612</v>
      </c>
      <c r="AE45" s="37">
        <f t="shared" si="20"/>
        <v>4176.0892092504873</v>
      </c>
      <c r="AF45" s="37">
        <f t="shared" si="20"/>
        <v>3592.0631460512063</v>
      </c>
      <c r="AG45" s="37">
        <f t="shared" si="20"/>
        <v>3003.9002315709304</v>
      </c>
      <c r="AH45" s="37">
        <f t="shared" si="20"/>
        <v>2411.5711631130862</v>
      </c>
      <c r="AI45" s="37">
        <f t="shared" si="20"/>
        <v>1815.0464304203319</v>
      </c>
      <c r="AJ45" s="37">
        <f t="shared" si="20"/>
        <v>1214.2963142043375</v>
      </c>
      <c r="AK45" s="37">
        <f t="shared" si="20"/>
        <v>609.29088466514634</v>
      </c>
      <c r="AL45" s="37">
        <f t="shared" si="20"/>
        <v>5.2637005865108222E-11</v>
      </c>
      <c r="AM45" s="38">
        <f>N45</f>
        <v>13499.011876939718</v>
      </c>
      <c r="AN45" s="38">
        <f>Z45</f>
        <v>7035.1780042434475</v>
      </c>
      <c r="AO45" s="38">
        <f>AL45</f>
        <v>5.2637005865108222E-11</v>
      </c>
    </row>
    <row r="46" spans="1:41" x14ac:dyDescent="0.25">
      <c r="A46" s="35" t="s">
        <v>154</v>
      </c>
      <c r="B46" s="36" t="s">
        <v>175</v>
      </c>
      <c r="C46" s="37">
        <f>MAX(0,-C42-C31)</f>
        <v>10641.666666666666</v>
      </c>
      <c r="D46" s="37">
        <f t="shared" ref="D46:AL46" si="21">MAX(0,C46-D31-D42)</f>
        <v>24150</v>
      </c>
      <c r="E46" s="37">
        <f t="shared" si="21"/>
        <v>23658.333333333332</v>
      </c>
      <c r="F46" s="37">
        <f t="shared" si="21"/>
        <v>23166.666666666664</v>
      </c>
      <c r="G46" s="37">
        <f t="shared" si="21"/>
        <v>22674.999999999996</v>
      </c>
      <c r="H46" s="37">
        <f t="shared" si="21"/>
        <v>22183.333333333328</v>
      </c>
      <c r="I46" s="37">
        <f t="shared" si="21"/>
        <v>21691.666666666661</v>
      </c>
      <c r="J46" s="37">
        <f t="shared" si="21"/>
        <v>21199.999999999993</v>
      </c>
      <c r="K46" s="37">
        <f t="shared" si="21"/>
        <v>20708.333333333325</v>
      </c>
      <c r="L46" s="37">
        <f t="shared" si="21"/>
        <v>20216.666666666657</v>
      </c>
      <c r="M46" s="37">
        <f t="shared" si="21"/>
        <v>19724.999999999989</v>
      </c>
      <c r="N46" s="37">
        <f t="shared" si="21"/>
        <v>19233.333333333321</v>
      </c>
      <c r="O46" s="37">
        <f t="shared" si="21"/>
        <v>18741.666666666653</v>
      </c>
      <c r="P46" s="37">
        <f t="shared" si="21"/>
        <v>18249.999999999985</v>
      </c>
      <c r="Q46" s="37">
        <f t="shared" si="21"/>
        <v>17758.333333333318</v>
      </c>
      <c r="R46" s="37">
        <f t="shared" si="21"/>
        <v>17266.66666666665</v>
      </c>
      <c r="S46" s="37">
        <f t="shared" si="21"/>
        <v>16774.999999999982</v>
      </c>
      <c r="T46" s="37">
        <f t="shared" si="21"/>
        <v>16283.333333333316</v>
      </c>
      <c r="U46" s="37">
        <f t="shared" si="21"/>
        <v>15791.66666666665</v>
      </c>
      <c r="V46" s="37">
        <f t="shared" si="21"/>
        <v>15299.999999999984</v>
      </c>
      <c r="W46" s="37">
        <f t="shared" si="21"/>
        <v>14808.333333333318</v>
      </c>
      <c r="X46" s="37">
        <f t="shared" si="21"/>
        <v>14316.666666666652</v>
      </c>
      <c r="Y46" s="37">
        <f t="shared" si="21"/>
        <v>13824.999999999985</v>
      </c>
      <c r="Z46" s="37">
        <f t="shared" si="21"/>
        <v>13333.333333333319</v>
      </c>
      <c r="AA46" s="37">
        <f t="shared" si="21"/>
        <v>12841.666666666653</v>
      </c>
      <c r="AB46" s="37">
        <f t="shared" si="21"/>
        <v>12349.999999999987</v>
      </c>
      <c r="AC46" s="37">
        <f t="shared" si="21"/>
        <v>11858.333333333321</v>
      </c>
      <c r="AD46" s="37">
        <f t="shared" si="21"/>
        <v>11366.666666666655</v>
      </c>
      <c r="AE46" s="37">
        <f t="shared" si="21"/>
        <v>10874.999999999989</v>
      </c>
      <c r="AF46" s="37">
        <f t="shared" si="21"/>
        <v>10383.333333333323</v>
      </c>
      <c r="AG46" s="37">
        <f t="shared" si="21"/>
        <v>9891.666666666657</v>
      </c>
      <c r="AH46" s="37">
        <f t="shared" si="21"/>
        <v>9399.9999999999909</v>
      </c>
      <c r="AI46" s="37">
        <f t="shared" si="21"/>
        <v>8908.3333333333248</v>
      </c>
      <c r="AJ46" s="37">
        <f t="shared" si="21"/>
        <v>8416.6666666666588</v>
      </c>
      <c r="AK46" s="37">
        <f t="shared" si="21"/>
        <v>7924.9999999999918</v>
      </c>
      <c r="AL46" s="37">
        <f t="shared" si="21"/>
        <v>7433.3333333333248</v>
      </c>
      <c r="AM46" s="38">
        <f>N46</f>
        <v>19233.333333333321</v>
      </c>
      <c r="AN46" s="38">
        <f>Z46</f>
        <v>13333.333333333319</v>
      </c>
      <c r="AO46" s="38">
        <f>AL46</f>
        <v>7433.3333333333248</v>
      </c>
    </row>
    <row r="47" spans="1:41" x14ac:dyDescent="0.25">
      <c r="A47" s="35" t="s">
        <v>154</v>
      </c>
      <c r="B47" s="36" t="s">
        <v>176</v>
      </c>
      <c r="C47" s="37">
        <f>C40+C35</f>
        <v>28013.666666666668</v>
      </c>
      <c r="D47" s="37">
        <f t="shared" ref="D47:AL47" si="22">C47+D40+D35</f>
        <v>26824</v>
      </c>
      <c r="E47" s="37">
        <f t="shared" si="22"/>
        <v>26444.333333333332</v>
      </c>
      <c r="F47" s="37">
        <f t="shared" si="22"/>
        <v>26669.583333333332</v>
      </c>
      <c r="G47" s="37">
        <f t="shared" si="22"/>
        <v>27669.915775151039</v>
      </c>
      <c r="H47" s="37">
        <f t="shared" si="22"/>
        <v>27460.16000972654</v>
      </c>
      <c r="I47" s="37">
        <f t="shared" si="22"/>
        <v>28077.962341638726</v>
      </c>
      <c r="J47" s="37">
        <f t="shared" si="22"/>
        <v>29208.402381886332</v>
      </c>
      <c r="K47" s="37">
        <f t="shared" si="22"/>
        <v>30426.248814236733</v>
      </c>
      <c r="L47" s="37">
        <f t="shared" si="22"/>
        <v>32336.770454800659</v>
      </c>
      <c r="M47" s="37">
        <f t="shared" si="22"/>
        <v>35382.486252969618</v>
      </c>
      <c r="N47" s="37">
        <f t="shared" si="22"/>
        <v>40200.915292359983</v>
      </c>
      <c r="O47" s="37">
        <f t="shared" si="22"/>
        <v>33643.130624898331</v>
      </c>
      <c r="P47" s="37">
        <f t="shared" si="22"/>
        <v>28406.381044021324</v>
      </c>
      <c r="Q47" s="37">
        <f t="shared" si="22"/>
        <v>24201.924539092273</v>
      </c>
      <c r="R47" s="37">
        <f t="shared" si="22"/>
        <v>20910.420283565807</v>
      </c>
      <c r="S47" s="37">
        <f t="shared" si="22"/>
        <v>18940.029636291863</v>
      </c>
      <c r="T47" s="37">
        <f t="shared" si="22"/>
        <v>17882.644142828893</v>
      </c>
      <c r="U47" s="37">
        <f t="shared" si="22"/>
        <v>18080.480188282017</v>
      </c>
      <c r="V47" s="37">
        <f t="shared" si="22"/>
        <v>18963.110341499814</v>
      </c>
      <c r="W47" s="37">
        <f t="shared" si="22"/>
        <v>20836.65618772478</v>
      </c>
      <c r="X47" s="37">
        <f t="shared" si="22"/>
        <v>23643.808206240712</v>
      </c>
      <c r="Y47" s="37">
        <f t="shared" si="22"/>
        <v>27939.459521393008</v>
      </c>
      <c r="Z47" s="37">
        <f t="shared" si="22"/>
        <v>34661.385903616174</v>
      </c>
      <c r="AA47" s="37">
        <f t="shared" si="22"/>
        <v>29305.442008086116</v>
      </c>
      <c r="AB47" s="37">
        <f t="shared" si="22"/>
        <v>25574.053610627721</v>
      </c>
      <c r="AC47" s="37">
        <f t="shared" si="22"/>
        <v>23106.007193027661</v>
      </c>
      <c r="AD47" s="37">
        <f t="shared" si="22"/>
        <v>21799.105567035935</v>
      </c>
      <c r="AE47" s="37">
        <f t="shared" si="22"/>
        <v>22037.410067797809</v>
      </c>
      <c r="AF47" s="37">
        <f t="shared" si="22"/>
        <v>23146.616347773666</v>
      </c>
      <c r="AG47" s="37">
        <f t="shared" si="22"/>
        <v>25474.346839410271</v>
      </c>
      <c r="AH47" s="37">
        <f t="shared" si="22"/>
        <v>28673.022909730054</v>
      </c>
      <c r="AI47" s="37">
        <f t="shared" si="22"/>
        <v>33090.267301426014</v>
      </c>
      <c r="AJ47" s="37">
        <f t="shared" si="22"/>
        <v>38704.45994996441</v>
      </c>
      <c r="AK47" s="37">
        <f t="shared" si="22"/>
        <v>46189.182168695203</v>
      </c>
      <c r="AL47" s="37">
        <f t="shared" si="22"/>
        <v>56826.64723397042</v>
      </c>
      <c r="AM47" s="38">
        <f>N47</f>
        <v>40200.915292359983</v>
      </c>
      <c r="AN47" s="38">
        <f>Z47</f>
        <v>34661.385903616174</v>
      </c>
      <c r="AO47" s="38">
        <f>AL47</f>
        <v>56826.64723397042</v>
      </c>
    </row>
    <row r="48" spans="1:41" x14ac:dyDescent="0.25"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40"/>
      <c r="AN48" s="40"/>
      <c r="AO48" s="40"/>
    </row>
    <row r="49" spans="1:41" hidden="1" x14ac:dyDescent="0.25">
      <c r="A49" s="31" t="s">
        <v>154</v>
      </c>
      <c r="B49" s="32" t="s">
        <v>177</v>
      </c>
      <c r="C49" t="b">
        <f t="shared" ref="C49:AL49" si="23">C30&gt;0</f>
        <v>0</v>
      </c>
      <c r="D49" t="b">
        <f t="shared" si="23"/>
        <v>0</v>
      </c>
      <c r="E49" t="b">
        <f t="shared" si="23"/>
        <v>1</v>
      </c>
      <c r="F49" t="b">
        <f t="shared" si="23"/>
        <v>1</v>
      </c>
      <c r="G49" t="b">
        <f t="shared" si="23"/>
        <v>1</v>
      </c>
      <c r="H49" t="b">
        <f t="shared" si="23"/>
        <v>1</v>
      </c>
      <c r="I49" t="b">
        <f t="shared" si="23"/>
        <v>1</v>
      </c>
      <c r="J49" t="b">
        <f t="shared" si="23"/>
        <v>1</v>
      </c>
      <c r="K49" t="b">
        <f t="shared" si="23"/>
        <v>1</v>
      </c>
      <c r="L49" t="b">
        <f t="shared" si="23"/>
        <v>1</v>
      </c>
      <c r="M49" t="b">
        <f t="shared" si="23"/>
        <v>1</v>
      </c>
      <c r="N49" t="b">
        <f t="shared" si="23"/>
        <v>1</v>
      </c>
      <c r="O49" t="b">
        <f t="shared" si="23"/>
        <v>0</v>
      </c>
      <c r="P49" t="b">
        <f t="shared" si="23"/>
        <v>0</v>
      </c>
      <c r="Q49" t="b">
        <f t="shared" si="23"/>
        <v>0</v>
      </c>
      <c r="R49" t="b">
        <f t="shared" si="23"/>
        <v>0</v>
      </c>
      <c r="S49" t="b">
        <f t="shared" si="23"/>
        <v>0</v>
      </c>
      <c r="T49" t="b">
        <f t="shared" si="23"/>
        <v>0</v>
      </c>
      <c r="U49" t="b">
        <f t="shared" si="23"/>
        <v>1</v>
      </c>
      <c r="V49" t="b">
        <f t="shared" si="23"/>
        <v>1</v>
      </c>
      <c r="W49" t="b">
        <f t="shared" si="23"/>
        <v>1</v>
      </c>
      <c r="X49" t="b">
        <f t="shared" si="23"/>
        <v>1</v>
      </c>
      <c r="Y49" t="b">
        <f t="shared" si="23"/>
        <v>1</v>
      </c>
      <c r="Z49" t="b">
        <f t="shared" si="23"/>
        <v>1</v>
      </c>
      <c r="AA49" t="b">
        <f t="shared" si="23"/>
        <v>0</v>
      </c>
      <c r="AB49" t="b">
        <f t="shared" si="23"/>
        <v>0</v>
      </c>
      <c r="AC49" t="b">
        <f t="shared" si="23"/>
        <v>0</v>
      </c>
      <c r="AD49" t="b">
        <f t="shared" si="23"/>
        <v>0</v>
      </c>
      <c r="AE49" t="b">
        <f t="shared" si="23"/>
        <v>1</v>
      </c>
      <c r="AF49" t="b">
        <f t="shared" si="23"/>
        <v>1</v>
      </c>
      <c r="AG49" t="b">
        <f t="shared" si="23"/>
        <v>1</v>
      </c>
      <c r="AH49" t="b">
        <f t="shared" si="23"/>
        <v>1</v>
      </c>
      <c r="AI49" t="b">
        <f t="shared" si="23"/>
        <v>1</v>
      </c>
      <c r="AJ49" t="b">
        <f t="shared" si="23"/>
        <v>1</v>
      </c>
      <c r="AK49" t="b">
        <f t="shared" si="23"/>
        <v>1</v>
      </c>
      <c r="AL49" t="b">
        <f t="shared" si="23"/>
        <v>1</v>
      </c>
      <c r="AM49" s="45">
        <f>COUNTIF(C49:N49,TRUE)</f>
        <v>10</v>
      </c>
      <c r="AN49" s="45">
        <f>COUNTIF(O49:Z49,TRUE)</f>
        <v>6</v>
      </c>
      <c r="AO49" s="45">
        <f>COUNTIF(AA49:AL49,TRUE)</f>
        <v>8</v>
      </c>
    </row>
    <row r="50" spans="1:41" ht="18" customHeight="1" x14ac:dyDescent="0.25"/>
    <row r="60" spans="1:41" hidden="1" x14ac:dyDescent="0.25">
      <c r="B60" s="46" t="s">
        <v>178</v>
      </c>
      <c r="C60" s="47">
        <f>INDEX(Supuestos!$B$18:$M$20,1,1)*Supuestos!$H$6</f>
        <v>15</v>
      </c>
      <c r="D60" s="47">
        <f>INDEX(Supuestos!$B$18:$M$20,1,2)*Supuestos!$H$6</f>
        <v>17</v>
      </c>
      <c r="E60" s="47">
        <f>INDEX(Supuestos!$B$18:$M$20,1,3)*Supuestos!$H$6</f>
        <v>18</v>
      </c>
      <c r="F60" s="47">
        <f>INDEX(Supuestos!$B$18:$M$20,1,4)*Supuestos!$H$6</f>
        <v>20</v>
      </c>
      <c r="G60" s="47">
        <f>INDEX(Supuestos!$B$18:$M$20,1,5)*Supuestos!$H$6</f>
        <v>22</v>
      </c>
      <c r="H60" s="47">
        <f>INDEX(Supuestos!$B$18:$M$20,1,6)*Supuestos!$H$6</f>
        <v>24</v>
      </c>
      <c r="I60" s="47">
        <f>INDEX(Supuestos!$B$18:$M$20,1,7)*Supuestos!$H$6</f>
        <v>26</v>
      </c>
      <c r="J60" s="47">
        <f>INDEX(Supuestos!$B$18:$M$20,1,8)*Supuestos!$H$6</f>
        <v>28</v>
      </c>
      <c r="K60" s="47">
        <f>INDEX(Supuestos!$B$18:$M$20,1,9)*Supuestos!$H$6</f>
        <v>30</v>
      </c>
      <c r="L60" s="47">
        <f>INDEX(Supuestos!$B$18:$M$20,1,10)*Supuestos!$H$6</f>
        <v>32</v>
      </c>
      <c r="M60" s="47">
        <f>INDEX(Supuestos!$B$18:$M$20,1,11)*Supuestos!$H$6</f>
        <v>34</v>
      </c>
      <c r="N60" s="47">
        <f>INDEX(Supuestos!$B$18:$M$20,1,12)*Supuestos!$H$6</f>
        <v>36</v>
      </c>
      <c r="O60" s="47">
        <f>C60*(1+Supuestos!$E$13)</f>
        <v>19.2</v>
      </c>
      <c r="P60" s="47">
        <f>D60*(1+Supuestos!$E$13)</f>
        <v>21.76</v>
      </c>
      <c r="Q60" s="47">
        <f>E60*(1+Supuestos!$E$13)</f>
        <v>23.04</v>
      </c>
      <c r="R60" s="47">
        <f>F60*(1+Supuestos!$E$13)</f>
        <v>25.6</v>
      </c>
      <c r="S60" s="47">
        <f>G60*(1+Supuestos!$E$13)</f>
        <v>28.16</v>
      </c>
      <c r="T60" s="47">
        <f>H60*(1+Supuestos!$E$13)</f>
        <v>30.72</v>
      </c>
      <c r="U60" s="47">
        <f>I60*(1+Supuestos!$E$13)</f>
        <v>33.28</v>
      </c>
      <c r="V60" s="47">
        <f>J60*(1+Supuestos!$E$13)</f>
        <v>35.840000000000003</v>
      </c>
      <c r="W60" s="47">
        <f>K60*(1+Supuestos!$E$13)</f>
        <v>38.4</v>
      </c>
      <c r="X60" s="47">
        <f>L60*(1+Supuestos!$E$13)</f>
        <v>40.96</v>
      </c>
      <c r="Y60" s="47">
        <f>M60*(1+Supuestos!$E$13)</f>
        <v>43.52</v>
      </c>
      <c r="Z60" s="47">
        <f>N60*(1+Supuestos!$E$13)</f>
        <v>46.08</v>
      </c>
      <c r="AA60" s="47">
        <f>O60*(1+Supuestos!$F$13)</f>
        <v>23.423999999999999</v>
      </c>
      <c r="AB60" s="47">
        <f>P60*(1+Supuestos!$F$13)</f>
        <v>26.5472</v>
      </c>
      <c r="AC60" s="47">
        <f>Q60*(1+Supuestos!$F$13)</f>
        <v>28.108799999999999</v>
      </c>
      <c r="AD60" s="47">
        <f>R60*(1+Supuestos!$F$13)</f>
        <v>31.231999999999999</v>
      </c>
      <c r="AE60" s="47">
        <f>S60*(1+Supuestos!$F$13)</f>
        <v>34.355199999999996</v>
      </c>
      <c r="AF60" s="47">
        <f>T60*(1+Supuestos!$F$13)</f>
        <v>37.478400000000001</v>
      </c>
      <c r="AG60" s="47">
        <f>U60*(1+Supuestos!$F$13)</f>
        <v>40.601599999999998</v>
      </c>
      <c r="AH60" s="47">
        <f>V60*(1+Supuestos!$F$13)</f>
        <v>43.724800000000002</v>
      </c>
      <c r="AI60" s="47">
        <f>W60*(1+Supuestos!$F$13)</f>
        <v>46.847999999999999</v>
      </c>
      <c r="AJ60" s="47">
        <f>X60*(1+Supuestos!$F$13)</f>
        <v>49.971200000000003</v>
      </c>
      <c r="AK60" s="47">
        <f>Y60*(1+Supuestos!$F$13)</f>
        <v>53.0944</v>
      </c>
      <c r="AL60" s="47">
        <f>Z60*(1+Supuestos!$F$13)</f>
        <v>56.217599999999997</v>
      </c>
    </row>
    <row r="61" spans="1:41" hidden="1" x14ac:dyDescent="0.25">
      <c r="B61" s="46" t="s">
        <v>179</v>
      </c>
      <c r="C61" s="47">
        <f>INDEX(Supuestos!$B$18:$M$20,2,1)*Supuestos!$H$6</f>
        <v>4</v>
      </c>
      <c r="D61" s="47">
        <f>INDEX(Supuestos!$B$18:$M$20,2,2)*Supuestos!$H$6</f>
        <v>5</v>
      </c>
      <c r="E61" s="47">
        <f>INDEX(Supuestos!$B$18:$M$20,2,3)*Supuestos!$H$6</f>
        <v>6</v>
      </c>
      <c r="F61" s="47">
        <f>INDEX(Supuestos!$B$18:$M$20,2,4)*Supuestos!$H$6</f>
        <v>6</v>
      </c>
      <c r="G61" s="47">
        <f>INDEX(Supuestos!$B$18:$M$20,2,5)*Supuestos!$H$6</f>
        <v>7</v>
      </c>
      <c r="H61" s="47">
        <f>INDEX(Supuestos!$B$18:$M$20,2,6)*Supuestos!$H$6</f>
        <v>7</v>
      </c>
      <c r="I61" s="47">
        <f>INDEX(Supuestos!$B$18:$M$20,2,7)*Supuestos!$H$6</f>
        <v>8</v>
      </c>
      <c r="J61" s="47">
        <f>INDEX(Supuestos!$B$18:$M$20,2,8)*Supuestos!$H$6</f>
        <v>8</v>
      </c>
      <c r="K61" s="47">
        <f>INDEX(Supuestos!$B$18:$M$20,2,9)*Supuestos!$H$6</f>
        <v>9</v>
      </c>
      <c r="L61" s="47">
        <f>INDEX(Supuestos!$B$18:$M$20,2,10)*Supuestos!$H$6</f>
        <v>9</v>
      </c>
      <c r="M61" s="47">
        <f>INDEX(Supuestos!$B$18:$M$20,2,11)*Supuestos!$H$6</f>
        <v>10</v>
      </c>
      <c r="N61" s="47">
        <f>INDEX(Supuestos!$B$18:$M$20,2,12)*Supuestos!$H$6</f>
        <v>10</v>
      </c>
      <c r="O61" s="47">
        <f>C61*(1+Supuestos!$E$14)</f>
        <v>4.5999999999999996</v>
      </c>
      <c r="P61" s="47">
        <f>D61*(1+Supuestos!$E$14)</f>
        <v>5.75</v>
      </c>
      <c r="Q61" s="47">
        <f>E61*(1+Supuestos!$E$14)</f>
        <v>6.8999999999999995</v>
      </c>
      <c r="R61" s="47">
        <f>F61*(1+Supuestos!$E$14)</f>
        <v>6.8999999999999995</v>
      </c>
      <c r="S61" s="47">
        <f>G61*(1+Supuestos!$E$14)</f>
        <v>8.0499999999999989</v>
      </c>
      <c r="T61" s="47">
        <f>H61*(1+Supuestos!$E$14)</f>
        <v>8.0499999999999989</v>
      </c>
      <c r="U61" s="47">
        <f>I61*(1+Supuestos!$E$14)</f>
        <v>9.1999999999999993</v>
      </c>
      <c r="V61" s="47">
        <f>J61*(1+Supuestos!$E$14)</f>
        <v>9.1999999999999993</v>
      </c>
      <c r="W61" s="47">
        <f>K61*(1+Supuestos!$E$14)</f>
        <v>10.35</v>
      </c>
      <c r="X61" s="47">
        <f>L61*(1+Supuestos!$E$14)</f>
        <v>10.35</v>
      </c>
      <c r="Y61" s="47">
        <f>M61*(1+Supuestos!$E$14)</f>
        <v>11.5</v>
      </c>
      <c r="Z61" s="47">
        <f>N61*(1+Supuestos!$E$14)</f>
        <v>11.5</v>
      </c>
      <c r="AA61" s="47">
        <f>O61*(1+Supuestos!$F$14)</f>
        <v>5.1520000000000001</v>
      </c>
      <c r="AB61" s="47">
        <f>P61*(1+Supuestos!$F$14)</f>
        <v>6.44</v>
      </c>
      <c r="AC61" s="47">
        <f>Q61*(1+Supuestos!$F$14)</f>
        <v>7.7279999999999998</v>
      </c>
      <c r="AD61" s="47">
        <f>R61*(1+Supuestos!$F$14)</f>
        <v>7.7279999999999998</v>
      </c>
      <c r="AE61" s="47">
        <f>S61*(1+Supuestos!$F$14)</f>
        <v>9.016</v>
      </c>
      <c r="AF61" s="47">
        <f>T61*(1+Supuestos!$F$14)</f>
        <v>9.016</v>
      </c>
      <c r="AG61" s="47">
        <f>U61*(1+Supuestos!$F$14)</f>
        <v>10.304</v>
      </c>
      <c r="AH61" s="47">
        <f>V61*(1+Supuestos!$F$14)</f>
        <v>10.304</v>
      </c>
      <c r="AI61" s="47">
        <f>W61*(1+Supuestos!$F$14)</f>
        <v>11.592000000000001</v>
      </c>
      <c r="AJ61" s="47">
        <f>X61*(1+Supuestos!$F$14)</f>
        <v>11.592000000000001</v>
      </c>
      <c r="AK61" s="47">
        <f>Y61*(1+Supuestos!$F$14)</f>
        <v>12.88</v>
      </c>
      <c r="AL61" s="47">
        <f>Z61*(1+Supuestos!$F$14)</f>
        <v>12.88</v>
      </c>
    </row>
    <row r="62" spans="1:41" hidden="1" x14ac:dyDescent="0.25">
      <c r="B62" s="46" t="s">
        <v>180</v>
      </c>
      <c r="C62" s="47">
        <f>INDEX(Supuestos!$B$18:$M$20,3,1)*Supuestos!$H$6</f>
        <v>50</v>
      </c>
      <c r="D62" s="47">
        <f>INDEX(Supuestos!$B$18:$M$20,3,2)*Supuestos!$H$6</f>
        <v>60</v>
      </c>
      <c r="E62" s="47">
        <f>INDEX(Supuestos!$B$18:$M$20,3,3)*Supuestos!$H$6</f>
        <v>70</v>
      </c>
      <c r="F62" s="47">
        <f>INDEX(Supuestos!$B$18:$M$20,3,4)*Supuestos!$H$6</f>
        <v>80</v>
      </c>
      <c r="G62" s="47">
        <f>INDEX(Supuestos!$B$18:$M$20,3,5)*Supuestos!$H$6</f>
        <v>90</v>
      </c>
      <c r="H62" s="47">
        <f>INDEX(Supuestos!$B$18:$M$20,3,6)*Supuestos!$H$6</f>
        <v>100</v>
      </c>
      <c r="I62" s="47">
        <f>INDEX(Supuestos!$B$18:$M$20,3,7)*Supuestos!$H$6</f>
        <v>110</v>
      </c>
      <c r="J62" s="47">
        <f>INDEX(Supuestos!$B$18:$M$20,3,8)*Supuestos!$H$6</f>
        <v>120</v>
      </c>
      <c r="K62" s="47">
        <f>INDEX(Supuestos!$B$18:$M$20,3,9)*Supuestos!$H$6</f>
        <v>130</v>
      </c>
      <c r="L62" s="47">
        <f>INDEX(Supuestos!$B$18:$M$20,3,10)*Supuestos!$H$6</f>
        <v>150</v>
      </c>
      <c r="M62" s="47">
        <f>INDEX(Supuestos!$B$18:$M$20,3,11)*Supuestos!$H$6</f>
        <v>180</v>
      </c>
      <c r="N62" s="47">
        <f>INDEX(Supuestos!$B$18:$M$20,3,12)*Supuestos!$H$6</f>
        <v>260</v>
      </c>
      <c r="O62" s="47">
        <f>C62*(1+Supuestos!$E$15)</f>
        <v>67.5</v>
      </c>
      <c r="P62" s="47">
        <f>D62*(1+Supuestos!$E$15)</f>
        <v>81</v>
      </c>
      <c r="Q62" s="47">
        <f>E62*(1+Supuestos!$E$15)</f>
        <v>94.5</v>
      </c>
      <c r="R62" s="47">
        <f>F62*(1+Supuestos!$E$15)</f>
        <v>108</v>
      </c>
      <c r="S62" s="47">
        <f>G62*(1+Supuestos!$E$15)</f>
        <v>121.50000000000001</v>
      </c>
      <c r="T62" s="47">
        <f>H62*(1+Supuestos!$E$15)</f>
        <v>135</v>
      </c>
      <c r="U62" s="47">
        <f>I62*(1+Supuestos!$E$15)</f>
        <v>148.5</v>
      </c>
      <c r="V62" s="47">
        <f>J62*(1+Supuestos!$E$15)</f>
        <v>162</v>
      </c>
      <c r="W62" s="47">
        <f>K62*(1+Supuestos!$E$15)</f>
        <v>175.5</v>
      </c>
      <c r="X62" s="47">
        <f>L62*(1+Supuestos!$E$15)</f>
        <v>202.5</v>
      </c>
      <c r="Y62" s="47">
        <f>M62*(1+Supuestos!$E$15)</f>
        <v>243.00000000000003</v>
      </c>
      <c r="Z62" s="47">
        <f>N62*(1+Supuestos!$E$15)</f>
        <v>351</v>
      </c>
      <c r="AA62" s="47">
        <f>O62*(1+Supuestos!$F$15)</f>
        <v>86.4</v>
      </c>
      <c r="AB62" s="47">
        <f>P62*(1+Supuestos!$F$15)</f>
        <v>103.68</v>
      </c>
      <c r="AC62" s="47">
        <f>Q62*(1+Supuestos!$F$15)</f>
        <v>120.96000000000001</v>
      </c>
      <c r="AD62" s="47">
        <f>R62*(1+Supuestos!$F$15)</f>
        <v>138.24</v>
      </c>
      <c r="AE62" s="47">
        <f>S62*(1+Supuestos!$F$15)</f>
        <v>155.52000000000001</v>
      </c>
      <c r="AF62" s="47">
        <f>T62*(1+Supuestos!$F$15)</f>
        <v>172.8</v>
      </c>
      <c r="AG62" s="47">
        <f>U62*(1+Supuestos!$F$15)</f>
        <v>190.08</v>
      </c>
      <c r="AH62" s="47">
        <f>V62*(1+Supuestos!$F$15)</f>
        <v>207.36</v>
      </c>
      <c r="AI62" s="47">
        <f>W62*(1+Supuestos!$F$15)</f>
        <v>224.64000000000001</v>
      </c>
      <c r="AJ62" s="47">
        <f>X62*(1+Supuestos!$F$15)</f>
        <v>259.2</v>
      </c>
      <c r="AK62" s="47">
        <f>Y62*(1+Supuestos!$F$15)</f>
        <v>311.04000000000002</v>
      </c>
      <c r="AL62" s="47">
        <f>Z62*(1+Supuestos!$F$15)</f>
        <v>449.28000000000003</v>
      </c>
    </row>
    <row r="64" spans="1:41" hidden="1" x14ac:dyDescent="0.25">
      <c r="B64" s="46" t="s">
        <v>181</v>
      </c>
      <c r="C64" s="48">
        <f>Supuestos!$C$13*Supuestos!$H$7</f>
        <v>320</v>
      </c>
      <c r="D64" s="48">
        <f>Supuestos!$C$13*Supuestos!$H$7</f>
        <v>320</v>
      </c>
      <c r="E64" s="48">
        <f>Supuestos!$C$13*Supuestos!$H$7</f>
        <v>320</v>
      </c>
      <c r="F64" s="48">
        <f>Supuestos!$C$13*Supuestos!$H$7</f>
        <v>320</v>
      </c>
      <c r="G64" s="48">
        <f>Supuestos!$C$13*Supuestos!$H$7</f>
        <v>320</v>
      </c>
      <c r="H64" s="48">
        <f>Supuestos!$C$13*Supuestos!$H$7</f>
        <v>320</v>
      </c>
      <c r="I64" s="48">
        <f>Supuestos!$C$13*Supuestos!$H$7</f>
        <v>320</v>
      </c>
      <c r="J64" s="48">
        <f>Supuestos!$C$13*Supuestos!$H$7</f>
        <v>320</v>
      </c>
      <c r="K64" s="48">
        <f>Supuestos!$C$13*Supuestos!$H$7</f>
        <v>320</v>
      </c>
      <c r="L64" s="48">
        <f>Supuestos!$C$13*Supuestos!$H$7</f>
        <v>320</v>
      </c>
      <c r="M64" s="48">
        <f>Supuestos!$C$13*Supuestos!$H$7</f>
        <v>320</v>
      </c>
      <c r="N64" s="48">
        <f>Supuestos!$C$13*Supuestos!$H$7</f>
        <v>320</v>
      </c>
      <c r="O64" s="48">
        <f>C64*(1+Supuestos!$G$13)</f>
        <v>329.6</v>
      </c>
      <c r="P64" s="48">
        <f>D64*(1+Supuestos!$G$13)</f>
        <v>329.6</v>
      </c>
      <c r="Q64" s="48">
        <f>E64*(1+Supuestos!$G$13)</f>
        <v>329.6</v>
      </c>
      <c r="R64" s="48">
        <f>F64*(1+Supuestos!$G$13)</f>
        <v>329.6</v>
      </c>
      <c r="S64" s="48">
        <f>G64*(1+Supuestos!$G$13)</f>
        <v>329.6</v>
      </c>
      <c r="T64" s="48">
        <f>H64*(1+Supuestos!$G$13)</f>
        <v>329.6</v>
      </c>
      <c r="U64" s="48">
        <f>I64*(1+Supuestos!$G$13)</f>
        <v>329.6</v>
      </c>
      <c r="V64" s="48">
        <f>J64*(1+Supuestos!$G$13)</f>
        <v>329.6</v>
      </c>
      <c r="W64" s="48">
        <f>K64*(1+Supuestos!$G$13)</f>
        <v>329.6</v>
      </c>
      <c r="X64" s="48">
        <f>L64*(1+Supuestos!$G$13)</f>
        <v>329.6</v>
      </c>
      <c r="Y64" s="48">
        <f>M64*(1+Supuestos!$G$13)</f>
        <v>329.6</v>
      </c>
      <c r="Z64" s="48">
        <f>N64*(1+Supuestos!$G$13)</f>
        <v>329.6</v>
      </c>
      <c r="AA64" s="48">
        <f>O64*(1+Supuestos!$G$13)</f>
        <v>339.48800000000006</v>
      </c>
      <c r="AB64" s="48">
        <f>P64*(1+Supuestos!$G$13)</f>
        <v>339.48800000000006</v>
      </c>
      <c r="AC64" s="48">
        <f>Q64*(1+Supuestos!$G$13)</f>
        <v>339.48800000000006</v>
      </c>
      <c r="AD64" s="48">
        <f>R64*(1+Supuestos!$G$13)</f>
        <v>339.48800000000006</v>
      </c>
      <c r="AE64" s="48">
        <f>S64*(1+Supuestos!$G$13)</f>
        <v>339.48800000000006</v>
      </c>
      <c r="AF64" s="48">
        <f>T64*(1+Supuestos!$G$13)</f>
        <v>339.48800000000006</v>
      </c>
      <c r="AG64" s="48">
        <f>U64*(1+Supuestos!$G$13)</f>
        <v>339.48800000000006</v>
      </c>
      <c r="AH64" s="48">
        <f>V64*(1+Supuestos!$G$13)</f>
        <v>339.48800000000006</v>
      </c>
      <c r="AI64" s="48">
        <f>W64*(1+Supuestos!$G$13)</f>
        <v>339.48800000000006</v>
      </c>
      <c r="AJ64" s="48">
        <f>X64*(1+Supuestos!$G$13)</f>
        <v>339.48800000000006</v>
      </c>
      <c r="AK64" s="48">
        <f>Y64*(1+Supuestos!$G$13)</f>
        <v>339.48800000000006</v>
      </c>
      <c r="AL64" s="48">
        <f>Z64*(1+Supuestos!$G$13)</f>
        <v>339.48800000000006</v>
      </c>
    </row>
    <row r="65" spans="2:38" hidden="1" x14ac:dyDescent="0.25">
      <c r="B65" s="46" t="s">
        <v>182</v>
      </c>
      <c r="C65" s="48">
        <f>Supuestos!$C$14*Supuestos!$H$7</f>
        <v>560</v>
      </c>
      <c r="D65" s="48">
        <f>Supuestos!$C$14*Supuestos!$H$7</f>
        <v>560</v>
      </c>
      <c r="E65" s="48">
        <f>Supuestos!$C$14*Supuestos!$H$7</f>
        <v>560</v>
      </c>
      <c r="F65" s="48">
        <f>Supuestos!$C$14*Supuestos!$H$7</f>
        <v>560</v>
      </c>
      <c r="G65" s="48">
        <f>Supuestos!$C$14*Supuestos!$H$7</f>
        <v>560</v>
      </c>
      <c r="H65" s="48">
        <f>Supuestos!$C$14*Supuestos!$H$7</f>
        <v>560</v>
      </c>
      <c r="I65" s="48">
        <f>Supuestos!$C$14*Supuestos!$H$7</f>
        <v>560</v>
      </c>
      <c r="J65" s="48">
        <f>Supuestos!$C$14*Supuestos!$H$7</f>
        <v>560</v>
      </c>
      <c r="K65" s="48">
        <f>Supuestos!$C$14*Supuestos!$H$7</f>
        <v>560</v>
      </c>
      <c r="L65" s="48">
        <f>Supuestos!$C$14*Supuestos!$H$7</f>
        <v>560</v>
      </c>
      <c r="M65" s="48">
        <f>Supuestos!$C$14*Supuestos!$H$7</f>
        <v>560</v>
      </c>
      <c r="N65" s="48">
        <f>Supuestos!$C$14*Supuestos!$H$7</f>
        <v>560</v>
      </c>
      <c r="O65" s="48">
        <f>C65*(1+Supuestos!$G$14)</f>
        <v>571.20000000000005</v>
      </c>
      <c r="P65" s="48">
        <f>D65*(1+Supuestos!$G$14)</f>
        <v>571.20000000000005</v>
      </c>
      <c r="Q65" s="48">
        <f>E65*(1+Supuestos!$G$14)</f>
        <v>571.20000000000005</v>
      </c>
      <c r="R65" s="48">
        <f>F65*(1+Supuestos!$G$14)</f>
        <v>571.20000000000005</v>
      </c>
      <c r="S65" s="48">
        <f>G65*(1+Supuestos!$G$14)</f>
        <v>571.20000000000005</v>
      </c>
      <c r="T65" s="48">
        <f>H65*(1+Supuestos!$G$14)</f>
        <v>571.20000000000005</v>
      </c>
      <c r="U65" s="48">
        <f>I65*(1+Supuestos!$G$14)</f>
        <v>571.20000000000005</v>
      </c>
      <c r="V65" s="48">
        <f>J65*(1+Supuestos!$G$14)</f>
        <v>571.20000000000005</v>
      </c>
      <c r="W65" s="48">
        <f>K65*(1+Supuestos!$G$14)</f>
        <v>571.20000000000005</v>
      </c>
      <c r="X65" s="48">
        <f>L65*(1+Supuestos!$G$14)</f>
        <v>571.20000000000005</v>
      </c>
      <c r="Y65" s="48">
        <f>M65*(1+Supuestos!$G$14)</f>
        <v>571.20000000000005</v>
      </c>
      <c r="Z65" s="48">
        <f>N65*(1+Supuestos!$G$14)</f>
        <v>571.20000000000005</v>
      </c>
      <c r="AA65" s="48">
        <f>O65*(1+Supuestos!$G$14)</f>
        <v>582.62400000000002</v>
      </c>
      <c r="AB65" s="48">
        <f>P65*(1+Supuestos!$G$14)</f>
        <v>582.62400000000002</v>
      </c>
      <c r="AC65" s="48">
        <f>Q65*(1+Supuestos!$G$14)</f>
        <v>582.62400000000002</v>
      </c>
      <c r="AD65" s="48">
        <f>R65*(1+Supuestos!$G$14)</f>
        <v>582.62400000000002</v>
      </c>
      <c r="AE65" s="48">
        <f>S65*(1+Supuestos!$G$14)</f>
        <v>582.62400000000002</v>
      </c>
      <c r="AF65" s="48">
        <f>T65*(1+Supuestos!$G$14)</f>
        <v>582.62400000000002</v>
      </c>
      <c r="AG65" s="48">
        <f>U65*(1+Supuestos!$G$14)</f>
        <v>582.62400000000002</v>
      </c>
      <c r="AH65" s="48">
        <f>V65*(1+Supuestos!$G$14)</f>
        <v>582.62400000000002</v>
      </c>
      <c r="AI65" s="48">
        <f>W65*(1+Supuestos!$G$14)</f>
        <v>582.62400000000002</v>
      </c>
      <c r="AJ65" s="48">
        <f>X65*(1+Supuestos!$G$14)</f>
        <v>582.62400000000002</v>
      </c>
      <c r="AK65" s="48">
        <f>Y65*(1+Supuestos!$G$14)</f>
        <v>582.62400000000002</v>
      </c>
      <c r="AL65" s="48">
        <f>Z65*(1+Supuestos!$G$14)</f>
        <v>582.62400000000002</v>
      </c>
    </row>
    <row r="66" spans="2:38" hidden="1" x14ac:dyDescent="0.25">
      <c r="B66" s="46" t="s">
        <v>183</v>
      </c>
      <c r="C66" s="48">
        <f>Supuestos!$C$15*Supuestos!$H$7</f>
        <v>39</v>
      </c>
      <c r="D66" s="48">
        <f>Supuestos!$C$15*Supuestos!$H$7</f>
        <v>39</v>
      </c>
      <c r="E66" s="48">
        <f>Supuestos!$C$15*Supuestos!$H$7</f>
        <v>39</v>
      </c>
      <c r="F66" s="48">
        <f>Supuestos!$C$15*Supuestos!$H$7</f>
        <v>39</v>
      </c>
      <c r="G66" s="48">
        <f>Supuestos!$C$15*Supuestos!$H$7</f>
        <v>39</v>
      </c>
      <c r="H66" s="48">
        <f>Supuestos!$C$15*Supuestos!$H$7</f>
        <v>39</v>
      </c>
      <c r="I66" s="48">
        <f>Supuestos!$C$15*Supuestos!$H$7</f>
        <v>39</v>
      </c>
      <c r="J66" s="48">
        <f>Supuestos!$C$15*Supuestos!$H$7</f>
        <v>39</v>
      </c>
      <c r="K66" s="48">
        <f>Supuestos!$C$15*Supuestos!$H$7</f>
        <v>39</v>
      </c>
      <c r="L66" s="48">
        <f>Supuestos!$C$15*Supuestos!$H$7</f>
        <v>39</v>
      </c>
      <c r="M66" s="48">
        <f>Supuestos!$C$15*Supuestos!$H$7</f>
        <v>39</v>
      </c>
      <c r="N66" s="48">
        <f>Supuestos!$C$15*Supuestos!$H$7</f>
        <v>39</v>
      </c>
      <c r="O66" s="48">
        <f>C66*(1+Supuestos!$G$15)</f>
        <v>40.17</v>
      </c>
      <c r="P66" s="48">
        <f>D66*(1+Supuestos!$G$15)</f>
        <v>40.17</v>
      </c>
      <c r="Q66" s="48">
        <f>E66*(1+Supuestos!$G$15)</f>
        <v>40.17</v>
      </c>
      <c r="R66" s="48">
        <f>F66*(1+Supuestos!$G$15)</f>
        <v>40.17</v>
      </c>
      <c r="S66" s="48">
        <f>G66*(1+Supuestos!$G$15)</f>
        <v>40.17</v>
      </c>
      <c r="T66" s="48">
        <f>H66*(1+Supuestos!$G$15)</f>
        <v>40.17</v>
      </c>
      <c r="U66" s="48">
        <f>I66*(1+Supuestos!$G$15)</f>
        <v>40.17</v>
      </c>
      <c r="V66" s="48">
        <f>J66*(1+Supuestos!$G$15)</f>
        <v>40.17</v>
      </c>
      <c r="W66" s="48">
        <f>K66*(1+Supuestos!$G$15)</f>
        <v>40.17</v>
      </c>
      <c r="X66" s="48">
        <f>L66*(1+Supuestos!$G$15)</f>
        <v>40.17</v>
      </c>
      <c r="Y66" s="48">
        <f>M66*(1+Supuestos!$G$15)</f>
        <v>40.17</v>
      </c>
      <c r="Z66" s="48">
        <f>N66*(1+Supuestos!$G$15)</f>
        <v>40.17</v>
      </c>
      <c r="AA66" s="48">
        <f>O66*(1+Supuestos!$G$15)</f>
        <v>41.375100000000003</v>
      </c>
      <c r="AB66" s="48">
        <f>P66*(1+Supuestos!$G$15)</f>
        <v>41.375100000000003</v>
      </c>
      <c r="AC66" s="48">
        <f>Q66*(1+Supuestos!$G$15)</f>
        <v>41.375100000000003</v>
      </c>
      <c r="AD66" s="48">
        <f>R66*(1+Supuestos!$G$15)</f>
        <v>41.375100000000003</v>
      </c>
      <c r="AE66" s="48">
        <f>S66*(1+Supuestos!$G$15)</f>
        <v>41.375100000000003</v>
      </c>
      <c r="AF66" s="48">
        <f>T66*(1+Supuestos!$G$15)</f>
        <v>41.375100000000003</v>
      </c>
      <c r="AG66" s="48">
        <f>U66*(1+Supuestos!$G$15)</f>
        <v>41.375100000000003</v>
      </c>
      <c r="AH66" s="48">
        <f>V66*(1+Supuestos!$G$15)</f>
        <v>41.375100000000003</v>
      </c>
      <c r="AI66" s="48">
        <f>W66*(1+Supuestos!$G$15)</f>
        <v>41.375100000000003</v>
      </c>
      <c r="AJ66" s="48">
        <f>X66*(1+Supuestos!$G$15)</f>
        <v>41.375100000000003</v>
      </c>
      <c r="AK66" s="48">
        <f>Y66*(1+Supuestos!$G$15)</f>
        <v>41.375100000000003</v>
      </c>
      <c r="AL66" s="48">
        <f>Z66*(1+Supuestos!$G$15)</f>
        <v>41.375100000000003</v>
      </c>
    </row>
    <row r="68" spans="2:38" hidden="1" x14ac:dyDescent="0.25">
      <c r="B68" s="46" t="s">
        <v>184</v>
      </c>
      <c r="C68" s="48">
        <f>Supuestos!$D$13</f>
        <v>100</v>
      </c>
      <c r="D68" s="48">
        <f>Supuestos!$D$13</f>
        <v>100</v>
      </c>
      <c r="E68" s="48">
        <f>Supuestos!$D$13</f>
        <v>100</v>
      </c>
      <c r="F68" s="48">
        <f>Supuestos!$D$13</f>
        <v>100</v>
      </c>
      <c r="G68" s="48">
        <f>Supuestos!$D$13</f>
        <v>100</v>
      </c>
      <c r="H68" s="48">
        <f>Supuestos!$D$13</f>
        <v>100</v>
      </c>
      <c r="I68" s="48">
        <f>Supuestos!$D$13</f>
        <v>100</v>
      </c>
      <c r="J68" s="48">
        <f>Supuestos!$D$13</f>
        <v>100</v>
      </c>
      <c r="K68" s="48">
        <f>Supuestos!$D$13</f>
        <v>100</v>
      </c>
      <c r="L68" s="48">
        <f>Supuestos!$D$13</f>
        <v>100</v>
      </c>
      <c r="M68" s="48">
        <f>Supuestos!$D$13</f>
        <v>100</v>
      </c>
      <c r="N68" s="48">
        <f>Supuestos!$D$13</f>
        <v>100</v>
      </c>
      <c r="O68" s="48">
        <f>C68*(1+Supuestos!$H$13)</f>
        <v>104</v>
      </c>
      <c r="P68" s="48">
        <f>D68*(1+Supuestos!$H$13)</f>
        <v>104</v>
      </c>
      <c r="Q68" s="48">
        <f>E68*(1+Supuestos!$H$13)</f>
        <v>104</v>
      </c>
      <c r="R68" s="48">
        <f>F68*(1+Supuestos!$H$13)</f>
        <v>104</v>
      </c>
      <c r="S68" s="48">
        <f>G68*(1+Supuestos!$H$13)</f>
        <v>104</v>
      </c>
      <c r="T68" s="48">
        <f>H68*(1+Supuestos!$H$13)</f>
        <v>104</v>
      </c>
      <c r="U68" s="48">
        <f>I68*(1+Supuestos!$H$13)</f>
        <v>104</v>
      </c>
      <c r="V68" s="48">
        <f>J68*(1+Supuestos!$H$13)</f>
        <v>104</v>
      </c>
      <c r="W68" s="48">
        <f>K68*(1+Supuestos!$H$13)</f>
        <v>104</v>
      </c>
      <c r="X68" s="48">
        <f>L68*(1+Supuestos!$H$13)</f>
        <v>104</v>
      </c>
      <c r="Y68" s="48">
        <f>M68*(1+Supuestos!$H$13)</f>
        <v>104</v>
      </c>
      <c r="Z68" s="48">
        <f>N68*(1+Supuestos!$H$13)</f>
        <v>104</v>
      </c>
      <c r="AA68" s="48">
        <f>O68*(1+Supuestos!$H$13)</f>
        <v>108.16</v>
      </c>
      <c r="AB68" s="48">
        <f>P68*(1+Supuestos!$H$13)</f>
        <v>108.16</v>
      </c>
      <c r="AC68" s="48">
        <f>Q68*(1+Supuestos!$H$13)</f>
        <v>108.16</v>
      </c>
      <c r="AD68" s="48">
        <f>R68*(1+Supuestos!$H$13)</f>
        <v>108.16</v>
      </c>
      <c r="AE68" s="48">
        <f>S68*(1+Supuestos!$H$13)</f>
        <v>108.16</v>
      </c>
      <c r="AF68" s="48">
        <f>T68*(1+Supuestos!$H$13)</f>
        <v>108.16</v>
      </c>
      <c r="AG68" s="48">
        <f>U68*(1+Supuestos!$H$13)</f>
        <v>108.16</v>
      </c>
      <c r="AH68" s="48">
        <f>V68*(1+Supuestos!$H$13)</f>
        <v>108.16</v>
      </c>
      <c r="AI68" s="48">
        <f>W68*(1+Supuestos!$H$13)</f>
        <v>108.16</v>
      </c>
      <c r="AJ68" s="48">
        <f>X68*(1+Supuestos!$H$13)</f>
        <v>108.16</v>
      </c>
      <c r="AK68" s="48">
        <f>Y68*(1+Supuestos!$H$13)</f>
        <v>108.16</v>
      </c>
      <c r="AL68" s="48">
        <f>Z68*(1+Supuestos!$H$13)</f>
        <v>108.16</v>
      </c>
    </row>
    <row r="69" spans="2:38" hidden="1" x14ac:dyDescent="0.25">
      <c r="B69" s="46" t="s">
        <v>185</v>
      </c>
      <c r="C69" s="48">
        <f>Supuestos!$D$14</f>
        <v>210</v>
      </c>
      <c r="D69" s="48">
        <f>Supuestos!$D$14</f>
        <v>210</v>
      </c>
      <c r="E69" s="48">
        <f>Supuestos!$D$14</f>
        <v>210</v>
      </c>
      <c r="F69" s="48">
        <f>Supuestos!$D$14</f>
        <v>210</v>
      </c>
      <c r="G69" s="48">
        <f>Supuestos!$D$14</f>
        <v>210</v>
      </c>
      <c r="H69" s="48">
        <f>Supuestos!$D$14</f>
        <v>210</v>
      </c>
      <c r="I69" s="48">
        <f>Supuestos!$D$14</f>
        <v>210</v>
      </c>
      <c r="J69" s="48">
        <f>Supuestos!$D$14</f>
        <v>210</v>
      </c>
      <c r="K69" s="48">
        <f>Supuestos!$D$14</f>
        <v>210</v>
      </c>
      <c r="L69" s="48">
        <f>Supuestos!$D$14</f>
        <v>210</v>
      </c>
      <c r="M69" s="48">
        <f>Supuestos!$D$14</f>
        <v>210</v>
      </c>
      <c r="N69" s="48">
        <f>Supuestos!$D$14</f>
        <v>210</v>
      </c>
      <c r="O69" s="48">
        <f>C69*(1+Supuestos!$H$14)</f>
        <v>216.3</v>
      </c>
      <c r="P69" s="48">
        <f>D69*(1+Supuestos!$H$14)</f>
        <v>216.3</v>
      </c>
      <c r="Q69" s="48">
        <f>E69*(1+Supuestos!$H$14)</f>
        <v>216.3</v>
      </c>
      <c r="R69" s="48">
        <f>F69*(1+Supuestos!$H$14)</f>
        <v>216.3</v>
      </c>
      <c r="S69" s="48">
        <f>G69*(1+Supuestos!$H$14)</f>
        <v>216.3</v>
      </c>
      <c r="T69" s="48">
        <f>H69*(1+Supuestos!$H$14)</f>
        <v>216.3</v>
      </c>
      <c r="U69" s="48">
        <f>I69*(1+Supuestos!$H$14)</f>
        <v>216.3</v>
      </c>
      <c r="V69" s="48">
        <f>J69*(1+Supuestos!$H$14)</f>
        <v>216.3</v>
      </c>
      <c r="W69" s="48">
        <f>K69*(1+Supuestos!$H$14)</f>
        <v>216.3</v>
      </c>
      <c r="X69" s="48">
        <f>L69*(1+Supuestos!$H$14)</f>
        <v>216.3</v>
      </c>
      <c r="Y69" s="48">
        <f>M69*(1+Supuestos!$H$14)</f>
        <v>216.3</v>
      </c>
      <c r="Z69" s="48">
        <f>N69*(1+Supuestos!$H$14)</f>
        <v>216.3</v>
      </c>
      <c r="AA69" s="48">
        <f>O69*(1+Supuestos!$H$14)</f>
        <v>222.78900000000002</v>
      </c>
      <c r="AB69" s="48">
        <f>P69*(1+Supuestos!$H$14)</f>
        <v>222.78900000000002</v>
      </c>
      <c r="AC69" s="48">
        <f>Q69*(1+Supuestos!$H$14)</f>
        <v>222.78900000000002</v>
      </c>
      <c r="AD69" s="48">
        <f>R69*(1+Supuestos!$H$14)</f>
        <v>222.78900000000002</v>
      </c>
      <c r="AE69" s="48">
        <f>S69*(1+Supuestos!$H$14)</f>
        <v>222.78900000000002</v>
      </c>
      <c r="AF69" s="48">
        <f>T69*(1+Supuestos!$H$14)</f>
        <v>222.78900000000002</v>
      </c>
      <c r="AG69" s="48">
        <f>U69*(1+Supuestos!$H$14)</f>
        <v>222.78900000000002</v>
      </c>
      <c r="AH69" s="48">
        <f>V69*(1+Supuestos!$H$14)</f>
        <v>222.78900000000002</v>
      </c>
      <c r="AI69" s="48">
        <f>W69*(1+Supuestos!$H$14)</f>
        <v>222.78900000000002</v>
      </c>
      <c r="AJ69" s="48">
        <f>X69*(1+Supuestos!$H$14)</f>
        <v>222.78900000000002</v>
      </c>
      <c r="AK69" s="48">
        <f>Y69*(1+Supuestos!$H$14)</f>
        <v>222.78900000000002</v>
      </c>
      <c r="AL69" s="48">
        <f>Z69*(1+Supuestos!$H$14)</f>
        <v>222.78900000000002</v>
      </c>
    </row>
    <row r="70" spans="2:38" hidden="1" x14ac:dyDescent="0.25">
      <c r="B70" s="46" t="s">
        <v>186</v>
      </c>
      <c r="C70" s="48">
        <f>Supuestos!$D$15</f>
        <v>15</v>
      </c>
      <c r="D70" s="48">
        <f>Supuestos!$D$15</f>
        <v>15</v>
      </c>
      <c r="E70" s="48">
        <f>Supuestos!$D$15</f>
        <v>15</v>
      </c>
      <c r="F70" s="48">
        <f>Supuestos!$D$15</f>
        <v>15</v>
      </c>
      <c r="G70" s="48">
        <f>Supuestos!$D$15</f>
        <v>15</v>
      </c>
      <c r="H70" s="48">
        <f>Supuestos!$D$15</f>
        <v>15</v>
      </c>
      <c r="I70" s="48">
        <f>Supuestos!$D$15</f>
        <v>15</v>
      </c>
      <c r="J70" s="48">
        <f>Supuestos!$D$15</f>
        <v>15</v>
      </c>
      <c r="K70" s="48">
        <f>Supuestos!$D$15</f>
        <v>15</v>
      </c>
      <c r="L70" s="48">
        <f>Supuestos!$D$15</f>
        <v>15</v>
      </c>
      <c r="M70" s="48">
        <f>Supuestos!$D$15</f>
        <v>15</v>
      </c>
      <c r="N70" s="48">
        <f>Supuestos!$D$15</f>
        <v>15</v>
      </c>
      <c r="O70" s="48">
        <f>C70*(1+Supuestos!$H$15)</f>
        <v>15.600000000000001</v>
      </c>
      <c r="P70" s="48">
        <f>D70*(1+Supuestos!$H$15)</f>
        <v>15.600000000000001</v>
      </c>
      <c r="Q70" s="48">
        <f>E70*(1+Supuestos!$H$15)</f>
        <v>15.600000000000001</v>
      </c>
      <c r="R70" s="48">
        <f>F70*(1+Supuestos!$H$15)</f>
        <v>15.600000000000001</v>
      </c>
      <c r="S70" s="48">
        <f>G70*(1+Supuestos!$H$15)</f>
        <v>15.600000000000001</v>
      </c>
      <c r="T70" s="48">
        <f>H70*(1+Supuestos!$H$15)</f>
        <v>15.600000000000001</v>
      </c>
      <c r="U70" s="48">
        <f>I70*(1+Supuestos!$H$15)</f>
        <v>15.600000000000001</v>
      </c>
      <c r="V70" s="48">
        <f>J70*(1+Supuestos!$H$15)</f>
        <v>15.600000000000001</v>
      </c>
      <c r="W70" s="48">
        <f>K70*(1+Supuestos!$H$15)</f>
        <v>15.600000000000001</v>
      </c>
      <c r="X70" s="48">
        <f>L70*(1+Supuestos!$H$15)</f>
        <v>15.600000000000001</v>
      </c>
      <c r="Y70" s="48">
        <f>M70*(1+Supuestos!$H$15)</f>
        <v>15.600000000000001</v>
      </c>
      <c r="Z70" s="48">
        <f>N70*(1+Supuestos!$H$15)</f>
        <v>15.600000000000001</v>
      </c>
      <c r="AA70" s="48">
        <f>O70*(1+Supuestos!$H$15)</f>
        <v>16.224000000000004</v>
      </c>
      <c r="AB70" s="48">
        <f>P70*(1+Supuestos!$H$15)</f>
        <v>16.224000000000004</v>
      </c>
      <c r="AC70" s="48">
        <f>Q70*(1+Supuestos!$H$15)</f>
        <v>16.224000000000004</v>
      </c>
      <c r="AD70" s="48">
        <f>R70*(1+Supuestos!$H$15)</f>
        <v>16.224000000000004</v>
      </c>
      <c r="AE70" s="48">
        <f>S70*(1+Supuestos!$H$15)</f>
        <v>16.224000000000004</v>
      </c>
      <c r="AF70" s="48">
        <f>T70*(1+Supuestos!$H$15)</f>
        <v>16.224000000000004</v>
      </c>
      <c r="AG70" s="48">
        <f>U70*(1+Supuestos!$H$15)</f>
        <v>16.224000000000004</v>
      </c>
      <c r="AH70" s="48">
        <f>V70*(1+Supuestos!$H$15)</f>
        <v>16.224000000000004</v>
      </c>
      <c r="AI70" s="48">
        <f>W70*(1+Supuestos!$H$15)</f>
        <v>16.224000000000004</v>
      </c>
      <c r="AJ70" s="48">
        <f>X70*(1+Supuestos!$H$15)</f>
        <v>16.224000000000004</v>
      </c>
      <c r="AK70" s="48">
        <f>Y70*(1+Supuestos!$H$15)</f>
        <v>16.224000000000004</v>
      </c>
      <c r="AL70" s="48">
        <f>Z70*(1+Supuestos!$H$15)</f>
        <v>16.224000000000004</v>
      </c>
    </row>
    <row r="72" spans="2:38" hidden="1" x14ac:dyDescent="0.25">
      <c r="B72" s="46" t="s">
        <v>187</v>
      </c>
      <c r="C72" s="48">
        <f>C41</f>
        <v>18000</v>
      </c>
      <c r="D72" s="48">
        <f t="shared" ref="D72:AL72" si="24">C45+D41</f>
        <v>18000</v>
      </c>
      <c r="E72" s="48">
        <f t="shared" si="24"/>
        <v>18000</v>
      </c>
      <c r="F72" s="48">
        <f t="shared" si="24"/>
        <v>18000</v>
      </c>
      <c r="G72" s="48">
        <f t="shared" si="24"/>
        <v>17513.89330490186</v>
      </c>
      <c r="H72" s="48">
        <f t="shared" si="24"/>
        <v>17024.343354046778</v>
      </c>
      <c r="I72" s="48">
        <f t="shared" si="24"/>
        <v>16531.325757706472</v>
      </c>
      <c r="J72" s="48">
        <f t="shared" si="24"/>
        <v>16034.815953392088</v>
      </c>
      <c r="K72" s="48">
        <f t="shared" si="24"/>
        <v>15534.789204630477</v>
      </c>
      <c r="L72" s="48">
        <f t="shared" si="24"/>
        <v>15031.220599731805</v>
      </c>
      <c r="M72" s="48">
        <f t="shared" si="24"/>
        <v>14524.085050548434</v>
      </c>
      <c r="N72" s="48">
        <f t="shared" si="24"/>
        <v>14013.357291225013</v>
      </c>
      <c r="O72" s="48">
        <f t="shared" si="24"/>
        <v>13499.011876939718</v>
      </c>
      <c r="P72" s="48">
        <f t="shared" si="24"/>
        <v>12981.023182636569</v>
      </c>
      <c r="Q72" s="48">
        <f t="shared" si="24"/>
        <v>12459.365401748773</v>
      </c>
      <c r="R72" s="48">
        <f t="shared" si="24"/>
        <v>11934.012544913023</v>
      </c>
      <c r="S72" s="48">
        <f t="shared" si="24"/>
        <v>11404.938438674684</v>
      </c>
      <c r="T72" s="48">
        <f t="shared" si="24"/>
        <v>10872.116724183825</v>
      </c>
      <c r="U72" s="48">
        <f t="shared" si="24"/>
        <v>10335.520855881989</v>
      </c>
      <c r="V72" s="48">
        <f t="shared" si="24"/>
        <v>9795.1241001796807</v>
      </c>
      <c r="W72" s="48">
        <f t="shared" si="24"/>
        <v>9250.8995341244809</v>
      </c>
      <c r="X72" s="48">
        <f t="shared" si="24"/>
        <v>8702.8200440597248</v>
      </c>
      <c r="Y72" s="48">
        <f t="shared" si="24"/>
        <v>8150.8583242736759</v>
      </c>
      <c r="Z72" s="48">
        <f t="shared" si="24"/>
        <v>7594.9868756391425</v>
      </c>
      <c r="AA72" s="48">
        <f t="shared" si="24"/>
        <v>7035.1780042434475</v>
      </c>
      <c r="AB72" s="48">
        <f t="shared" si="24"/>
        <v>6471.4038200086998</v>
      </c>
      <c r="AC72" s="48">
        <f t="shared" si="24"/>
        <v>5903.6362353022896</v>
      </c>
      <c r="AD72" s="48">
        <f t="shared" si="24"/>
        <v>5331.8469635375423</v>
      </c>
      <c r="AE72" s="48">
        <f t="shared" si="24"/>
        <v>4756.0075177644612</v>
      </c>
      <c r="AF72" s="48">
        <f t="shared" si="24"/>
        <v>4176.0892092504873</v>
      </c>
      <c r="AG72" s="48">
        <f t="shared" si="24"/>
        <v>3592.0631460512063</v>
      </c>
      <c r="AH72" s="48">
        <f t="shared" si="24"/>
        <v>3003.9002315709304</v>
      </c>
      <c r="AI72" s="48">
        <f t="shared" si="24"/>
        <v>2411.5711631130862</v>
      </c>
      <c r="AJ72" s="48">
        <f t="shared" si="24"/>
        <v>1815.0464304203319</v>
      </c>
      <c r="AK72" s="48">
        <f t="shared" si="24"/>
        <v>1214.2963142043375</v>
      </c>
      <c r="AL72" s="48">
        <f t="shared" si="24"/>
        <v>609.29088466514634</v>
      </c>
    </row>
  </sheetData>
  <mergeCells count="9">
    <mergeCell ref="A13:AO13"/>
    <mergeCell ref="A37:AO37"/>
    <mergeCell ref="A1:AO2"/>
    <mergeCell ref="AM4:AO4"/>
    <mergeCell ref="O4:Z4"/>
    <mergeCell ref="AA4:AL4"/>
    <mergeCell ref="A21:AO21"/>
    <mergeCell ref="C4:N4"/>
    <mergeCell ref="A7:AO7"/>
  </mergeCells>
  <conditionalFormatting sqref="C30:AL30">
    <cfRule type="cellIs" dxfId="1" priority="2" operator="greaterThan">
      <formula>0</formula>
    </cfRule>
  </conditionalFormatting>
  <conditionalFormatting sqref="C44:AL44">
    <cfRule type="cellIs" dxfId="0" priority="1" operator="lessThan">
      <formula>0</formula>
    </cfRule>
  </conditionalFormatting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Inicio</vt:lpstr>
      <vt:lpstr>Supuestos</vt:lpstr>
      <vt:lpstr>Proyeccion</vt:lpstr>
      <vt:lpstr>Dashboard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2026-03-16T08:07:56Z</dcterms:modified>
</cp:coreProperties>
</file>