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 de negocio plantilla\"/>
    </mc:Choice>
  </mc:AlternateContent>
  <xr:revisionPtr revIDLastSave="0" documentId="8_{EF1AE6B3-7CB7-4883-9B69-6BF58B24D8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icio" sheetId="1" r:id="rId1"/>
    <sheet name="Estrategia" sheetId="2" r:id="rId2"/>
    <sheet name="Supuestos" sheetId="3" r:id="rId3"/>
    <sheet name="Proyecciones" sheetId="4" r:id="rId4"/>
    <sheet name="Dashboard" sheetId="5" r:id="rId5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1" i="4" l="1"/>
  <c r="I81" i="4" s="1"/>
  <c r="J81" i="4" s="1"/>
  <c r="K81" i="4" s="1"/>
  <c r="L81" i="4" s="1"/>
  <c r="M81" i="4" s="1"/>
  <c r="N81" i="4" s="1"/>
  <c r="O81" i="4" s="1"/>
  <c r="P81" i="4" s="1"/>
  <c r="Q81" i="4" s="1"/>
  <c r="R81" i="4" s="1"/>
  <c r="S81" i="4" s="1"/>
  <c r="T81" i="4" s="1"/>
  <c r="U81" i="4" s="1"/>
  <c r="V81" i="4" s="1"/>
  <c r="W81" i="4" s="1"/>
  <c r="X81" i="4" s="1"/>
  <c r="Y81" i="4" s="1"/>
  <c r="Z81" i="4" s="1"/>
  <c r="AA81" i="4" s="1"/>
  <c r="D77" i="4"/>
  <c r="AA72" i="4"/>
  <c r="Z72" i="4"/>
  <c r="Y72" i="4"/>
  <c r="X72" i="4"/>
  <c r="W72" i="4"/>
  <c r="V72" i="4"/>
  <c r="U72" i="4"/>
  <c r="T72" i="4"/>
  <c r="S72" i="4"/>
  <c r="R72" i="4"/>
  <c r="Q72" i="4"/>
  <c r="P72" i="4"/>
  <c r="O72" i="4"/>
  <c r="N72" i="4"/>
  <c r="M72" i="4"/>
  <c r="L72" i="4"/>
  <c r="K72" i="4"/>
  <c r="J72" i="4"/>
  <c r="I72" i="4"/>
  <c r="H72" i="4"/>
  <c r="G72" i="4"/>
  <c r="F72" i="4"/>
  <c r="E72" i="4"/>
  <c r="D72" i="4"/>
  <c r="D73" i="4" s="1"/>
  <c r="D71" i="4"/>
  <c r="D57" i="4" s="1"/>
  <c r="D70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9" i="4"/>
  <c r="F69" i="4"/>
  <c r="E69" i="4"/>
  <c r="D69" i="4"/>
  <c r="AA68" i="4"/>
  <c r="Z68" i="4"/>
  <c r="Y68" i="4"/>
  <c r="X68" i="4"/>
  <c r="W68" i="4"/>
  <c r="V68" i="4"/>
  <c r="U68" i="4"/>
  <c r="T68" i="4"/>
  <c r="S68" i="4"/>
  <c r="R68" i="4"/>
  <c r="Q68" i="4"/>
  <c r="P68" i="4"/>
  <c r="O68" i="4"/>
  <c r="N68" i="4"/>
  <c r="M68" i="4"/>
  <c r="L68" i="4"/>
  <c r="K68" i="4"/>
  <c r="J68" i="4"/>
  <c r="I68" i="4"/>
  <c r="H68" i="4"/>
  <c r="G68" i="4"/>
  <c r="F68" i="4"/>
  <c r="E68" i="4"/>
  <c r="D68" i="4"/>
  <c r="AA67" i="4"/>
  <c r="Z67" i="4"/>
  <c r="Y67" i="4"/>
  <c r="X67" i="4"/>
  <c r="W67" i="4"/>
  <c r="V67" i="4"/>
  <c r="U67" i="4"/>
  <c r="T67" i="4"/>
  <c r="S67" i="4"/>
  <c r="R67" i="4"/>
  <c r="Q67" i="4"/>
  <c r="P67" i="4"/>
  <c r="O67" i="4"/>
  <c r="N67" i="4"/>
  <c r="M67" i="4"/>
  <c r="L67" i="4"/>
  <c r="K67" i="4"/>
  <c r="J67" i="4"/>
  <c r="I67" i="4"/>
  <c r="H67" i="4"/>
  <c r="G67" i="4"/>
  <c r="F67" i="4"/>
  <c r="E67" i="4"/>
  <c r="D67" i="4"/>
  <c r="D81" i="4" s="1"/>
  <c r="E81" i="4" s="1"/>
  <c r="F81" i="4" s="1"/>
  <c r="G81" i="4" s="1"/>
  <c r="D64" i="4"/>
  <c r="D63" i="4"/>
  <c r="AA55" i="4"/>
  <c r="Z55" i="4"/>
  <c r="Y55" i="4"/>
  <c r="X55" i="4"/>
  <c r="W55" i="4"/>
  <c r="V55" i="4"/>
  <c r="U55" i="4"/>
  <c r="T55" i="4"/>
  <c r="S55" i="4"/>
  <c r="R55" i="4"/>
  <c r="Q55" i="4"/>
  <c r="P55" i="4"/>
  <c r="O55" i="4"/>
  <c r="N55" i="4"/>
  <c r="M55" i="4"/>
  <c r="L55" i="4"/>
  <c r="K55" i="4"/>
  <c r="J55" i="4"/>
  <c r="I55" i="4"/>
  <c r="H55" i="4"/>
  <c r="G55" i="4"/>
  <c r="F55" i="4"/>
  <c r="E55" i="4"/>
  <c r="D55" i="4"/>
  <c r="C50" i="4"/>
  <c r="C49" i="4"/>
  <c r="C48" i="4"/>
  <c r="C47" i="4"/>
  <c r="C46" i="4"/>
  <c r="C45" i="4"/>
  <c r="C44" i="4"/>
  <c r="I40" i="4"/>
  <c r="H40" i="4"/>
  <c r="G40" i="4"/>
  <c r="F40" i="4"/>
  <c r="E40" i="4"/>
  <c r="D40" i="4"/>
  <c r="C40" i="4"/>
  <c r="H39" i="4"/>
  <c r="G39" i="4"/>
  <c r="F39" i="4"/>
  <c r="E39" i="4"/>
  <c r="D39" i="4"/>
  <c r="C39" i="4"/>
  <c r="F38" i="4"/>
  <c r="E38" i="4"/>
  <c r="D38" i="4"/>
  <c r="C38" i="4"/>
  <c r="C37" i="4"/>
  <c r="C36" i="4"/>
  <c r="C35" i="4"/>
  <c r="C28" i="4"/>
  <c r="C27" i="4"/>
  <c r="C26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H25" i="4"/>
  <c r="G25" i="4"/>
  <c r="F25" i="4"/>
  <c r="E25" i="4"/>
  <c r="D25" i="4"/>
  <c r="C25" i="4"/>
  <c r="E24" i="4"/>
  <c r="D24" i="4"/>
  <c r="C24" i="4"/>
  <c r="C23" i="4"/>
  <c r="C22" i="4"/>
  <c r="C21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D20" i="4"/>
  <c r="C20" i="4"/>
  <c r="D19" i="4"/>
  <c r="C19" i="4"/>
  <c r="C18" i="4"/>
  <c r="C17" i="4"/>
  <c r="C16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C14" i="4"/>
  <c r="C13" i="4"/>
  <c r="C12" i="4"/>
  <c r="C11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D10" i="4"/>
  <c r="C10" i="4"/>
  <c r="C9" i="4"/>
  <c r="D5" i="4"/>
  <c r="D6" i="4" s="1"/>
  <c r="C6" i="3"/>
  <c r="C9" i="3" s="1"/>
  <c r="M22" i="2"/>
  <c r="M21" i="2"/>
  <c r="G21" i="2"/>
  <c r="F21" i="2"/>
  <c r="E21" i="2"/>
  <c r="D21" i="2"/>
  <c r="M20" i="2"/>
  <c r="M19" i="2"/>
  <c r="M18" i="2"/>
  <c r="M17" i="2"/>
  <c r="M16" i="2"/>
  <c r="M15" i="2"/>
  <c r="J8" i="2"/>
  <c r="J7" i="2"/>
  <c r="J6" i="2"/>
  <c r="D9" i="4" l="1"/>
  <c r="D14" i="4"/>
  <c r="C8" i="3"/>
  <c r="E5" i="4"/>
  <c r="C7" i="3"/>
  <c r="D21" i="4" s="1"/>
  <c r="D74" i="4"/>
  <c r="E70" i="4" s="1"/>
  <c r="D22" i="4" l="1"/>
  <c r="D23" i="4" s="1"/>
  <c r="D26" i="4"/>
  <c r="D11" i="4"/>
  <c r="E71" i="4"/>
  <c r="E57" i="4" s="1"/>
  <c r="E6" i="4"/>
  <c r="F5" i="4"/>
  <c r="E26" i="4"/>
  <c r="D16" i="4"/>
  <c r="I50" i="4"/>
  <c r="N49" i="4"/>
  <c r="S48" i="4"/>
  <c r="X47" i="4"/>
  <c r="D47" i="4"/>
  <c r="I46" i="4"/>
  <c r="N45" i="4"/>
  <c r="S44" i="4"/>
  <c r="M39" i="4"/>
  <c r="R38" i="4"/>
  <c r="W37" i="4"/>
  <c r="H36" i="4"/>
  <c r="M35" i="4"/>
  <c r="H50" i="4"/>
  <c r="M49" i="4"/>
  <c r="R48" i="4"/>
  <c r="W47" i="4"/>
  <c r="H46" i="4"/>
  <c r="M45" i="4"/>
  <c r="R44" i="4"/>
  <c r="AA40" i="4"/>
  <c r="L39" i="4"/>
  <c r="Q38" i="4"/>
  <c r="V37" i="4"/>
  <c r="AA36" i="4"/>
  <c r="G36" i="4"/>
  <c r="L35" i="4"/>
  <c r="AA50" i="4"/>
  <c r="G50" i="4"/>
  <c r="L49" i="4"/>
  <c r="Q48" i="4"/>
  <c r="V47" i="4"/>
  <c r="AA46" i="4"/>
  <c r="G46" i="4"/>
  <c r="L45" i="4"/>
  <c r="Q44" i="4"/>
  <c r="Z40" i="4"/>
  <c r="K39" i="4"/>
  <c r="P38" i="4"/>
  <c r="U37" i="4"/>
  <c r="Z36" i="4"/>
  <c r="F36" i="4"/>
  <c r="K35" i="4"/>
  <c r="Z50" i="4"/>
  <c r="F50" i="4"/>
  <c r="K49" i="4"/>
  <c r="P48" i="4"/>
  <c r="U47" i="4"/>
  <c r="Z46" i="4"/>
  <c r="F46" i="4"/>
  <c r="K45" i="4"/>
  <c r="P44" i="4"/>
  <c r="Y40" i="4"/>
  <c r="J39" i="4"/>
  <c r="O38" i="4"/>
  <c r="T37" i="4"/>
  <c r="Y36" i="4"/>
  <c r="E36" i="4"/>
  <c r="J35" i="4"/>
  <c r="X50" i="4"/>
  <c r="D50" i="4"/>
  <c r="I49" i="4"/>
  <c r="N48" i="4"/>
  <c r="S47" i="4"/>
  <c r="X46" i="4"/>
  <c r="D46" i="4"/>
  <c r="I45" i="4"/>
  <c r="N44" i="4"/>
  <c r="N51" i="4" s="1"/>
  <c r="N66" i="4" s="1"/>
  <c r="W40" i="4"/>
  <c r="M38" i="4"/>
  <c r="R37" i="4"/>
  <c r="W36" i="4"/>
  <c r="H35" i="4"/>
  <c r="S50" i="4"/>
  <c r="X49" i="4"/>
  <c r="D49" i="4"/>
  <c r="I48" i="4"/>
  <c r="N47" i="4"/>
  <c r="S46" i="4"/>
  <c r="X45" i="4"/>
  <c r="D45" i="4"/>
  <c r="I44" i="4"/>
  <c r="R40" i="4"/>
  <c r="W39" i="4"/>
  <c r="H38" i="4"/>
  <c r="M37" i="4"/>
  <c r="R36" i="4"/>
  <c r="W35" i="4"/>
  <c r="J50" i="4"/>
  <c r="AA47" i="4"/>
  <c r="V46" i="4"/>
  <c r="T45" i="4"/>
  <c r="O44" i="4"/>
  <c r="J40" i="4"/>
  <c r="N39" i="4"/>
  <c r="J38" i="4"/>
  <c r="H37" i="4"/>
  <c r="D36" i="4"/>
  <c r="G37" i="4"/>
  <c r="Z48" i="4"/>
  <c r="R45" i="4"/>
  <c r="L44" i="4"/>
  <c r="G38" i="4"/>
  <c r="F37" i="4"/>
  <c r="Q46" i="4"/>
  <c r="Y35" i="4"/>
  <c r="E50" i="4"/>
  <c r="AA48" i="4"/>
  <c r="Z47" i="4"/>
  <c r="U46" i="4"/>
  <c r="S45" i="4"/>
  <c r="M44" i="4"/>
  <c r="I39" i="4"/>
  <c r="I38" i="4"/>
  <c r="T46" i="4"/>
  <c r="Y47" i="4"/>
  <c r="AA35" i="4"/>
  <c r="AA49" i="4"/>
  <c r="Y48" i="4"/>
  <c r="T47" i="4"/>
  <c r="R46" i="4"/>
  <c r="Q45" i="4"/>
  <c r="K44" i="4"/>
  <c r="E37" i="4"/>
  <c r="Z35" i="4"/>
  <c r="Z49" i="4"/>
  <c r="X48" i="4"/>
  <c r="R47" i="4"/>
  <c r="P45" i="4"/>
  <c r="J44" i="4"/>
  <c r="D37" i="4"/>
  <c r="Y49" i="4"/>
  <c r="W48" i="4"/>
  <c r="Q47" i="4"/>
  <c r="P46" i="4"/>
  <c r="O45" i="4"/>
  <c r="H44" i="4"/>
  <c r="X35" i="4"/>
  <c r="V36" i="4"/>
  <c r="Z38" i="4"/>
  <c r="W49" i="4"/>
  <c r="V48" i="4"/>
  <c r="P47" i="4"/>
  <c r="O46" i="4"/>
  <c r="J45" i="4"/>
  <c r="G44" i="4"/>
  <c r="X36" i="4"/>
  <c r="V35" i="4"/>
  <c r="V41" i="4" s="1"/>
  <c r="Y50" i="4"/>
  <c r="L46" i="4"/>
  <c r="Z39" i="4"/>
  <c r="S35" i="4"/>
  <c r="V49" i="4"/>
  <c r="U48" i="4"/>
  <c r="O47" i="4"/>
  <c r="N46" i="4"/>
  <c r="H45" i="4"/>
  <c r="F44" i="4"/>
  <c r="AA37" i="4"/>
  <c r="U35" i="4"/>
  <c r="O48" i="4"/>
  <c r="D44" i="4"/>
  <c r="Y37" i="4"/>
  <c r="W50" i="4"/>
  <c r="U49" i="4"/>
  <c r="T48" i="4"/>
  <c r="M47" i="4"/>
  <c r="M46" i="4"/>
  <c r="G45" i="4"/>
  <c r="E44" i="4"/>
  <c r="X40" i="4"/>
  <c r="AA39" i="4"/>
  <c r="AA38" i="4"/>
  <c r="Z37" i="4"/>
  <c r="U36" i="4"/>
  <c r="T35" i="4"/>
  <c r="V50" i="4"/>
  <c r="T49" i="4"/>
  <c r="L47" i="4"/>
  <c r="F45" i="4"/>
  <c r="V40" i="4"/>
  <c r="T36" i="4"/>
  <c r="H49" i="4"/>
  <c r="F47" i="4"/>
  <c r="X44" i="4"/>
  <c r="O40" i="4"/>
  <c r="P39" i="4"/>
  <c r="K36" i="4"/>
  <c r="F49" i="4"/>
  <c r="V44" i="4"/>
  <c r="X37" i="4"/>
  <c r="M48" i="4"/>
  <c r="P37" i="4"/>
  <c r="L48" i="4"/>
  <c r="O37" i="4"/>
  <c r="D48" i="4"/>
  <c r="T38" i="4"/>
  <c r="K47" i="4"/>
  <c r="H47" i="4"/>
  <c r="Y44" i="4"/>
  <c r="G49" i="4"/>
  <c r="E47" i="4"/>
  <c r="W44" i="4"/>
  <c r="N40" i="4"/>
  <c r="O39" i="4"/>
  <c r="J36" i="4"/>
  <c r="M40" i="4"/>
  <c r="I36" i="4"/>
  <c r="S37" i="4"/>
  <c r="Q35" i="4"/>
  <c r="D35" i="4"/>
  <c r="T39" i="4"/>
  <c r="O49" i="4"/>
  <c r="J49" i="4"/>
  <c r="X39" i="4"/>
  <c r="U45" i="4"/>
  <c r="N38" i="4"/>
  <c r="Z44" i="4"/>
  <c r="U50" i="4"/>
  <c r="E49" i="4"/>
  <c r="Y46" i="4"/>
  <c r="U44" i="4"/>
  <c r="L40" i="4"/>
  <c r="U40" i="4"/>
  <c r="O36" i="4"/>
  <c r="Q39" i="4"/>
  <c r="T50" i="4"/>
  <c r="W46" i="4"/>
  <c r="T44" i="4"/>
  <c r="K40" i="4"/>
  <c r="Q37" i="4"/>
  <c r="R35" i="4"/>
  <c r="R50" i="4"/>
  <c r="K46" i="4"/>
  <c r="Q50" i="4"/>
  <c r="J46" i="4"/>
  <c r="P35" i="4"/>
  <c r="V45" i="4"/>
  <c r="V39" i="4"/>
  <c r="U39" i="4"/>
  <c r="L38" i="4"/>
  <c r="Q40" i="4"/>
  <c r="P50" i="4"/>
  <c r="K48" i="4"/>
  <c r="E46" i="4"/>
  <c r="N37" i="4"/>
  <c r="O35" i="4"/>
  <c r="O41" i="4" s="1"/>
  <c r="G35" i="4"/>
  <c r="G41" i="4" s="1"/>
  <c r="Y45" i="4"/>
  <c r="F35" i="4"/>
  <c r="K50" i="4"/>
  <c r="U38" i="4"/>
  <c r="S49" i="4"/>
  <c r="R49" i="4"/>
  <c r="Q49" i="4"/>
  <c r="M36" i="4"/>
  <c r="O50" i="4"/>
  <c r="J48" i="4"/>
  <c r="Y38" i="4"/>
  <c r="L37" i="4"/>
  <c r="N35" i="4"/>
  <c r="M50" i="4"/>
  <c r="G48" i="4"/>
  <c r="W38" i="4"/>
  <c r="F48" i="4"/>
  <c r="V38" i="4"/>
  <c r="E48" i="4"/>
  <c r="Y39" i="4"/>
  <c r="Q36" i="4"/>
  <c r="P36" i="4"/>
  <c r="J47" i="4"/>
  <c r="L36" i="4"/>
  <c r="N50" i="4"/>
  <c r="H48" i="4"/>
  <c r="AA45" i="4"/>
  <c r="X38" i="4"/>
  <c r="K37" i="4"/>
  <c r="I35" i="4"/>
  <c r="Z45" i="4"/>
  <c r="J37" i="4"/>
  <c r="L50" i="4"/>
  <c r="I37" i="4"/>
  <c r="W45" i="4"/>
  <c r="E35" i="4"/>
  <c r="E41" i="4" s="1"/>
  <c r="S36" i="4"/>
  <c r="E45" i="4"/>
  <c r="G47" i="4"/>
  <c r="S38" i="4"/>
  <c r="T40" i="4"/>
  <c r="R39" i="4"/>
  <c r="P49" i="4"/>
  <c r="I47" i="4"/>
  <c r="AA44" i="4"/>
  <c r="S40" i="4"/>
  <c r="S39" i="4"/>
  <c r="K38" i="4"/>
  <c r="N36" i="4"/>
  <c r="P40" i="4"/>
  <c r="L41" i="4" l="1"/>
  <c r="T51" i="4"/>
  <c r="T66" i="4" s="1"/>
  <c r="S51" i="4"/>
  <c r="S66" i="4" s="1"/>
  <c r="Z41" i="4"/>
  <c r="L51" i="4"/>
  <c r="L66" i="4" s="1"/>
  <c r="O65" i="4"/>
  <c r="L65" i="4"/>
  <c r="G51" i="4"/>
  <c r="G66" i="4" s="1"/>
  <c r="U41" i="4"/>
  <c r="J41" i="4"/>
  <c r="Z51" i="4"/>
  <c r="Z66" i="4" s="1"/>
  <c r="V65" i="4"/>
  <c r="Y51" i="4"/>
  <c r="Y66" i="4" s="1"/>
  <c r="R51" i="4"/>
  <c r="R66" i="4" s="1"/>
  <c r="I41" i="4"/>
  <c r="F51" i="4"/>
  <c r="F66" i="4" s="1"/>
  <c r="AA41" i="4"/>
  <c r="E9" i="4"/>
  <c r="E11" i="4" s="1"/>
  <c r="E19" i="4"/>
  <c r="E21" i="4" s="1"/>
  <c r="E14" i="4"/>
  <c r="E16" i="4" s="1"/>
  <c r="T41" i="4"/>
  <c r="Q51" i="4"/>
  <c r="Q66" i="4" s="1"/>
  <c r="Y41" i="4"/>
  <c r="X41" i="4"/>
  <c r="G65" i="4"/>
  <c r="X51" i="4"/>
  <c r="X66" i="4" s="1"/>
  <c r="K51" i="4"/>
  <c r="K66" i="4" s="1"/>
  <c r="U51" i="4"/>
  <c r="U66" i="4" s="1"/>
  <c r="E27" i="4"/>
  <c r="E28" i="4" s="1"/>
  <c r="P41" i="4"/>
  <c r="H51" i="4"/>
  <c r="H66" i="4" s="1"/>
  <c r="E73" i="4"/>
  <c r="E74" i="4" s="1"/>
  <c r="F70" i="4" s="1"/>
  <c r="W41" i="4"/>
  <c r="D51" i="4"/>
  <c r="D66" i="4" s="1"/>
  <c r="N41" i="4"/>
  <c r="O51" i="4"/>
  <c r="O66" i="4" s="1"/>
  <c r="H41" i="4"/>
  <c r="M41" i="4"/>
  <c r="D12" i="4"/>
  <c r="D30" i="4" s="1"/>
  <c r="D29" i="4"/>
  <c r="W51" i="4"/>
  <c r="W66" i="4" s="1"/>
  <c r="I51" i="4"/>
  <c r="I66" i="4" s="1"/>
  <c r="D17" i="4"/>
  <c r="D18" i="4" s="1"/>
  <c r="R41" i="4"/>
  <c r="S41" i="4"/>
  <c r="M51" i="4"/>
  <c r="M66" i="4" s="1"/>
  <c r="P51" i="4"/>
  <c r="P66" i="4" s="1"/>
  <c r="D27" i="4"/>
  <c r="D28" i="4" s="1"/>
  <c r="D41" i="4"/>
  <c r="Z65" i="4"/>
  <c r="E65" i="4"/>
  <c r="K41" i="4"/>
  <c r="G5" i="4"/>
  <c r="F6" i="4"/>
  <c r="AA51" i="4"/>
  <c r="AA66" i="4" s="1"/>
  <c r="F41" i="4"/>
  <c r="Q41" i="4"/>
  <c r="V51" i="4"/>
  <c r="V66" i="4" s="1"/>
  <c r="E51" i="4"/>
  <c r="E66" i="4" s="1"/>
  <c r="J51" i="4"/>
  <c r="J66" i="4" s="1"/>
  <c r="M65" i="4" l="1"/>
  <c r="F9" i="4"/>
  <c r="F11" i="4" s="1"/>
  <c r="F14" i="4"/>
  <c r="F16" i="4" s="1"/>
  <c r="F19" i="4"/>
  <c r="F21" i="4" s="1"/>
  <c r="F24" i="4"/>
  <c r="F26" i="4" s="1"/>
  <c r="T65" i="4"/>
  <c r="E29" i="4"/>
  <c r="E12" i="4"/>
  <c r="I65" i="4"/>
  <c r="R65" i="4"/>
  <c r="U65" i="4"/>
  <c r="D79" i="4"/>
  <c r="E63" i="4"/>
  <c r="D31" i="4"/>
  <c r="G6" i="4"/>
  <c r="H5" i="4"/>
  <c r="K65" i="4"/>
  <c r="F71" i="4"/>
  <c r="F57" i="4" s="1"/>
  <c r="E17" i="4"/>
  <c r="E18" i="4" s="1"/>
  <c r="H65" i="4"/>
  <c r="AA65" i="4"/>
  <c r="W65" i="4"/>
  <c r="D65" i="4"/>
  <c r="D84" i="4"/>
  <c r="S65" i="4"/>
  <c r="Q65" i="4"/>
  <c r="X65" i="4"/>
  <c r="D80" i="4"/>
  <c r="E64" i="4"/>
  <c r="E22" i="4"/>
  <c r="E23" i="4"/>
  <c r="N65" i="4"/>
  <c r="P65" i="4"/>
  <c r="J65" i="4"/>
  <c r="F65" i="4"/>
  <c r="D13" i="4"/>
  <c r="Y65" i="4"/>
  <c r="E30" i="4" l="1"/>
  <c r="F64" i="4"/>
  <c r="E84" i="4"/>
  <c r="F27" i="4"/>
  <c r="F28" i="4"/>
  <c r="E79" i="4"/>
  <c r="F17" i="4"/>
  <c r="F18" i="4"/>
  <c r="H6" i="4"/>
  <c r="I5" i="4"/>
  <c r="E13" i="4"/>
  <c r="F73" i="4"/>
  <c r="F74" i="4" s="1"/>
  <c r="G70" i="4" s="1"/>
  <c r="G24" i="4"/>
  <c r="G26" i="4" s="1"/>
  <c r="G19" i="4"/>
  <c r="G21" i="4" s="1"/>
  <c r="G9" i="4"/>
  <c r="G11" i="4" s="1"/>
  <c r="G14" i="4"/>
  <c r="G16" i="4" s="1"/>
  <c r="F63" i="4"/>
  <c r="E31" i="4"/>
  <c r="E80" i="4"/>
  <c r="F22" i="4"/>
  <c r="F23" i="4" s="1"/>
  <c r="F29" i="4"/>
  <c r="F12" i="4"/>
  <c r="F13" i="4" s="1"/>
  <c r="D32" i="4"/>
  <c r="D54" i="4"/>
  <c r="E54" i="4" l="1"/>
  <c r="E56" i="4" s="1"/>
  <c r="E58" i="4" s="1"/>
  <c r="E32" i="4"/>
  <c r="G27" i="4"/>
  <c r="G28" i="4"/>
  <c r="G29" i="4"/>
  <c r="G12" i="4"/>
  <c r="H14" i="4"/>
  <c r="H16" i="4" s="1"/>
  <c r="H9" i="4"/>
  <c r="H11" i="4" s="1"/>
  <c r="H19" i="4"/>
  <c r="H21" i="4" s="1"/>
  <c r="H24" i="4"/>
  <c r="H26" i="4" s="1"/>
  <c r="D56" i="4"/>
  <c r="D58" i="4" s="1"/>
  <c r="G63" i="4"/>
  <c r="F31" i="4"/>
  <c r="G17" i="4"/>
  <c r="G18" i="4" s="1"/>
  <c r="I6" i="4"/>
  <c r="J5" i="4"/>
  <c r="F79" i="4"/>
  <c r="G22" i="4"/>
  <c r="G23" i="4"/>
  <c r="G71" i="4"/>
  <c r="G73" i="4" s="1"/>
  <c r="G74" i="4" s="1"/>
  <c r="H70" i="4" s="1"/>
  <c r="F30" i="4"/>
  <c r="F80" i="4" s="1"/>
  <c r="H71" i="4" l="1"/>
  <c r="H73" i="4" s="1"/>
  <c r="H74" i="4" s="1"/>
  <c r="I70" i="4" s="1"/>
  <c r="D59" i="4"/>
  <c r="D75" i="4" s="1"/>
  <c r="D76" i="4" s="1"/>
  <c r="H27" i="4"/>
  <c r="H28" i="4" s="1"/>
  <c r="H63" i="4"/>
  <c r="F54" i="4"/>
  <c r="F32" i="4"/>
  <c r="H29" i="4"/>
  <c r="H12" i="4"/>
  <c r="H13" i="4" s="1"/>
  <c r="G30" i="4"/>
  <c r="H64" i="4" s="1"/>
  <c r="G79" i="4"/>
  <c r="H17" i="4"/>
  <c r="H18" i="4"/>
  <c r="G57" i="4"/>
  <c r="G13" i="4"/>
  <c r="J6" i="4"/>
  <c r="K5" i="4"/>
  <c r="H22" i="4"/>
  <c r="H23" i="4" s="1"/>
  <c r="G64" i="4"/>
  <c r="F84" i="4"/>
  <c r="I9" i="4"/>
  <c r="I11" i="4" s="1"/>
  <c r="I14" i="4"/>
  <c r="I16" i="4" s="1"/>
  <c r="I19" i="4"/>
  <c r="I21" i="4" s="1"/>
  <c r="I24" i="4"/>
  <c r="I26" i="4" s="1"/>
  <c r="E59" i="4"/>
  <c r="E75" i="4" s="1"/>
  <c r="E76" i="4" s="1"/>
  <c r="I71" i="4" l="1"/>
  <c r="E60" i="4"/>
  <c r="I63" i="4"/>
  <c r="H30" i="4"/>
  <c r="I64" i="4" s="1"/>
  <c r="H79" i="4"/>
  <c r="I27" i="4"/>
  <c r="I28" i="4" s="1"/>
  <c r="I29" i="4"/>
  <c r="I12" i="4"/>
  <c r="I13" i="4" s="1"/>
  <c r="L5" i="4"/>
  <c r="K6" i="4"/>
  <c r="I22" i="4"/>
  <c r="I23" i="4" s="1"/>
  <c r="G31" i="4"/>
  <c r="D85" i="4"/>
  <c r="D78" i="4"/>
  <c r="D60" i="4"/>
  <c r="H57" i="4"/>
  <c r="G84" i="4"/>
  <c r="I17" i="4"/>
  <c r="I18" i="4" s="1"/>
  <c r="F56" i="4"/>
  <c r="F58" i="4" s="1"/>
  <c r="J24" i="4"/>
  <c r="J26" i="4" s="1"/>
  <c r="J9" i="4"/>
  <c r="J11" i="4" s="1"/>
  <c r="J14" i="4"/>
  <c r="J16" i="4" s="1"/>
  <c r="J19" i="4"/>
  <c r="J21" i="4" s="1"/>
  <c r="G80" i="4"/>
  <c r="H80" i="4" s="1"/>
  <c r="K14" i="4" l="1"/>
  <c r="K16" i="4" s="1"/>
  <c r="K24" i="4"/>
  <c r="K26" i="4" s="1"/>
  <c r="K9" i="4"/>
  <c r="K11" i="4" s="1"/>
  <c r="K19" i="4"/>
  <c r="K21" i="4" s="1"/>
  <c r="M5" i="4"/>
  <c r="L6" i="4"/>
  <c r="J27" i="4"/>
  <c r="J28" i="4" s="1"/>
  <c r="J22" i="4"/>
  <c r="J23" i="4" s="1"/>
  <c r="J63" i="4"/>
  <c r="I31" i="4"/>
  <c r="I79" i="4"/>
  <c r="J79" i="4" s="1"/>
  <c r="F59" i="4"/>
  <c r="F75" i="4" s="1"/>
  <c r="F76" i="4" s="1"/>
  <c r="H31" i="4"/>
  <c r="D82" i="4"/>
  <c r="E77" i="4"/>
  <c r="E78" i="4" s="1"/>
  <c r="D83" i="4"/>
  <c r="J17" i="4"/>
  <c r="J18" i="4"/>
  <c r="H84" i="4"/>
  <c r="I57" i="4"/>
  <c r="I73" i="4"/>
  <c r="I74" i="4" s="1"/>
  <c r="J70" i="4" s="1"/>
  <c r="I30" i="4"/>
  <c r="J64" i="4" s="1"/>
  <c r="J29" i="4"/>
  <c r="J12" i="4"/>
  <c r="G54" i="4"/>
  <c r="G32" i="4"/>
  <c r="J30" i="4" l="1"/>
  <c r="K64" i="4" s="1"/>
  <c r="F60" i="4"/>
  <c r="E82" i="4"/>
  <c r="F77" i="4"/>
  <c r="F78" i="4" s="1"/>
  <c r="E83" i="4"/>
  <c r="E85" i="4"/>
  <c r="H32" i="4"/>
  <c r="H54" i="4"/>
  <c r="H56" i="4" s="1"/>
  <c r="H58" i="4" s="1"/>
  <c r="L14" i="4"/>
  <c r="L16" i="4" s="1"/>
  <c r="L19" i="4"/>
  <c r="L21" i="4" s="1"/>
  <c r="L9" i="4"/>
  <c r="L11" i="4" s="1"/>
  <c r="L24" i="4"/>
  <c r="L26" i="4" s="1"/>
  <c r="K12" i="4"/>
  <c r="K29" i="4"/>
  <c r="F85" i="4"/>
  <c r="G56" i="4"/>
  <c r="G58" i="4" s="1"/>
  <c r="I84" i="4"/>
  <c r="K27" i="4"/>
  <c r="K28" i="4" s="1"/>
  <c r="I54" i="4"/>
  <c r="I56" i="4" s="1"/>
  <c r="I58" i="4" s="1"/>
  <c r="I32" i="4"/>
  <c r="K63" i="4"/>
  <c r="J31" i="4"/>
  <c r="N5" i="4"/>
  <c r="M6" i="4"/>
  <c r="K17" i="4"/>
  <c r="K18" i="4" s="1"/>
  <c r="J13" i="4"/>
  <c r="J71" i="4"/>
  <c r="K22" i="4"/>
  <c r="K23" i="4" s="1"/>
  <c r="I80" i="4"/>
  <c r="J80" i="4" s="1"/>
  <c r="K30" i="4" l="1"/>
  <c r="L64" i="4" s="1"/>
  <c r="L17" i="4"/>
  <c r="L18" i="4"/>
  <c r="J57" i="4"/>
  <c r="J84" i="4"/>
  <c r="K13" i="4"/>
  <c r="J73" i="4"/>
  <c r="J74" i="4" s="1"/>
  <c r="K70" i="4" s="1"/>
  <c r="M24" i="4"/>
  <c r="M26" i="4" s="1"/>
  <c r="M19" i="4"/>
  <c r="M21" i="4" s="1"/>
  <c r="M14" i="4"/>
  <c r="M16" i="4" s="1"/>
  <c r="M9" i="4"/>
  <c r="M11" i="4" s="1"/>
  <c r="G77" i="4"/>
  <c r="F82" i="4"/>
  <c r="F83" i="4"/>
  <c r="G59" i="4"/>
  <c r="G75" i="4" s="1"/>
  <c r="G76" i="4" s="1"/>
  <c r="L27" i="4"/>
  <c r="L28" i="4" s="1"/>
  <c r="H59" i="4"/>
  <c r="H75" i="4" s="1"/>
  <c r="H76" i="4" s="1"/>
  <c r="L63" i="4"/>
  <c r="K31" i="4"/>
  <c r="L12" i="4"/>
  <c r="L29" i="4"/>
  <c r="O5" i="4"/>
  <c r="N6" i="4"/>
  <c r="J54" i="4"/>
  <c r="J32" i="4"/>
  <c r="L22" i="4"/>
  <c r="L23" i="4"/>
  <c r="I59" i="4"/>
  <c r="I75" i="4" s="1"/>
  <c r="I76" i="4" s="1"/>
  <c r="K79" i="4"/>
  <c r="I60" i="4" l="1"/>
  <c r="L79" i="4"/>
  <c r="K80" i="4"/>
  <c r="M22" i="4"/>
  <c r="M23" i="4" s="1"/>
  <c r="H60" i="4"/>
  <c r="G60" i="4"/>
  <c r="J56" i="4"/>
  <c r="J58" i="4" s="1"/>
  <c r="N24" i="4"/>
  <c r="N26" i="4" s="1"/>
  <c r="N19" i="4"/>
  <c r="N21" i="4" s="1"/>
  <c r="N9" i="4"/>
  <c r="N11" i="4" s="1"/>
  <c r="N14" i="4"/>
  <c r="N16" i="4" s="1"/>
  <c r="M63" i="4"/>
  <c r="G85" i="4"/>
  <c r="M12" i="4"/>
  <c r="M29" i="4"/>
  <c r="K71" i="4"/>
  <c r="K73" i="4" s="1"/>
  <c r="K74" i="4" s="1"/>
  <c r="L70" i="4" s="1"/>
  <c r="M17" i="4"/>
  <c r="M18" i="4" s="1"/>
  <c r="M27" i="4"/>
  <c r="M28" i="4" s="1"/>
  <c r="L30" i="4"/>
  <c r="L31" i="4" s="1"/>
  <c r="L13" i="4"/>
  <c r="K54" i="4"/>
  <c r="K56" i="4" s="1"/>
  <c r="K32" i="4"/>
  <c r="G78" i="4"/>
  <c r="P5" i="4"/>
  <c r="O6" i="4"/>
  <c r="M30" i="4" l="1"/>
  <c r="N64" i="4" s="1"/>
  <c r="L71" i="4"/>
  <c r="O24" i="4"/>
  <c r="O26" i="4" s="1"/>
  <c r="O14" i="4"/>
  <c r="O16" i="4" s="1"/>
  <c r="O19" i="4"/>
  <c r="O21" i="4" s="1"/>
  <c r="O9" i="4"/>
  <c r="O11" i="4" s="1"/>
  <c r="M13" i="4"/>
  <c r="L54" i="4"/>
  <c r="L56" i="4" s="1"/>
  <c r="L32" i="4"/>
  <c r="N22" i="4"/>
  <c r="N23" i="4" s="1"/>
  <c r="M64" i="4"/>
  <c r="L80" i="4"/>
  <c r="K57" i="4"/>
  <c r="K58" i="4" s="1"/>
  <c r="K84" i="4"/>
  <c r="N12" i="4"/>
  <c r="N30" i="4" s="1"/>
  <c r="O64" i="4" s="1"/>
  <c r="N29" i="4"/>
  <c r="M31" i="4"/>
  <c r="N63" i="4"/>
  <c r="P6" i="4"/>
  <c r="Q5" i="4"/>
  <c r="N27" i="4"/>
  <c r="N28" i="4" s="1"/>
  <c r="N17" i="4"/>
  <c r="N18" i="4"/>
  <c r="G82" i="4"/>
  <c r="G83" i="4" s="1"/>
  <c r="H77" i="4"/>
  <c r="H78" i="4" s="1"/>
  <c r="J59" i="4"/>
  <c r="J75" i="4" s="1"/>
  <c r="J76" i="4" s="1"/>
  <c r="J60" i="4"/>
  <c r="M79" i="4"/>
  <c r="K59" i="4" l="1"/>
  <c r="K75" i="4" s="1"/>
  <c r="K76" i="4" s="1"/>
  <c r="K60" i="4"/>
  <c r="N79" i="4"/>
  <c r="R5" i="4"/>
  <c r="Q6" i="4"/>
  <c r="O17" i="4"/>
  <c r="O18" i="4" s="1"/>
  <c r="M32" i="4"/>
  <c r="M54" i="4"/>
  <c r="M56" i="4" s="1"/>
  <c r="M80" i="4"/>
  <c r="N80" i="4" s="1"/>
  <c r="O29" i="4"/>
  <c r="O12" i="4"/>
  <c r="O22" i="4"/>
  <c r="O23" i="4" s="1"/>
  <c r="O27" i="4"/>
  <c r="O28" i="4" s="1"/>
  <c r="L57" i="4"/>
  <c r="L58" i="4" s="1"/>
  <c r="L84" i="4"/>
  <c r="N31" i="4"/>
  <c r="O63" i="4"/>
  <c r="N13" i="4"/>
  <c r="H82" i="4"/>
  <c r="H83" i="4" s="1"/>
  <c r="I77" i="4"/>
  <c r="I78" i="4" s="1"/>
  <c r="H85" i="4"/>
  <c r="P9" i="4"/>
  <c r="P11" i="4" s="1"/>
  <c r="P14" i="4"/>
  <c r="P16" i="4" s="1"/>
  <c r="P19" i="4"/>
  <c r="P21" i="4" s="1"/>
  <c r="P24" i="4"/>
  <c r="P26" i="4" s="1"/>
  <c r="L73" i="4"/>
  <c r="L74" i="4" s="1"/>
  <c r="M70" i="4" s="1"/>
  <c r="L59" i="4" l="1"/>
  <c r="L75" i="4" s="1"/>
  <c r="L76" i="4" s="1"/>
  <c r="P17" i="4"/>
  <c r="P18" i="4"/>
  <c r="I82" i="4"/>
  <c r="I83" i="4" s="1"/>
  <c r="J77" i="4"/>
  <c r="J78" i="4" s="1"/>
  <c r="I85" i="4"/>
  <c r="O30" i="4"/>
  <c r="P64" i="4" s="1"/>
  <c r="P27" i="4"/>
  <c r="P28" i="4" s="1"/>
  <c r="P29" i="4"/>
  <c r="P12" i="4"/>
  <c r="N54" i="4"/>
  <c r="N56" i="4" s="1"/>
  <c r="N32" i="4"/>
  <c r="O31" i="4"/>
  <c r="P63" i="4"/>
  <c r="AD9" i="4"/>
  <c r="P22" i="4"/>
  <c r="P23" i="4" s="1"/>
  <c r="S5" i="4"/>
  <c r="R6" i="4"/>
  <c r="M71" i="4"/>
  <c r="O13" i="4"/>
  <c r="Q19" i="4"/>
  <c r="Q21" i="4" s="1"/>
  <c r="Q24" i="4"/>
  <c r="Q26" i="4" s="1"/>
  <c r="Q9" i="4"/>
  <c r="Q11" i="4" s="1"/>
  <c r="Q14" i="4"/>
  <c r="Q16" i="4" s="1"/>
  <c r="O79" i="4"/>
  <c r="P30" i="4" l="1"/>
  <c r="Q64" i="4" s="1"/>
  <c r="Q17" i="4"/>
  <c r="Q18" i="4" s="1"/>
  <c r="Q27" i="4"/>
  <c r="Q28" i="4"/>
  <c r="T5" i="4"/>
  <c r="S6" i="4"/>
  <c r="Q12" i="4"/>
  <c r="Q29" i="4"/>
  <c r="P13" i="4"/>
  <c r="M57" i="4"/>
  <c r="M58" i="4" s="1"/>
  <c r="M84" i="4"/>
  <c r="P31" i="4"/>
  <c r="Q63" i="4"/>
  <c r="Q22" i="4"/>
  <c r="Q23" i="4" s="1"/>
  <c r="O80" i="4"/>
  <c r="P80" i="4" s="1"/>
  <c r="R14" i="4"/>
  <c r="R16" i="4" s="1"/>
  <c r="R19" i="4"/>
  <c r="R21" i="4" s="1"/>
  <c r="R24" i="4"/>
  <c r="R26" i="4" s="1"/>
  <c r="R9" i="4"/>
  <c r="R11" i="4" s="1"/>
  <c r="O32" i="4"/>
  <c r="O54" i="4"/>
  <c r="AD10" i="4"/>
  <c r="C18" i="5" s="1"/>
  <c r="AD14" i="4"/>
  <c r="P79" i="4"/>
  <c r="J82" i="4"/>
  <c r="J83" i="4" s="1"/>
  <c r="K77" i="4"/>
  <c r="K78" i="4" s="1"/>
  <c r="J85" i="4"/>
  <c r="M73" i="4"/>
  <c r="M74" i="4" s="1"/>
  <c r="N70" i="4" s="1"/>
  <c r="C17" i="5"/>
  <c r="C6" i="5"/>
  <c r="C15" i="1" s="1"/>
  <c r="L60" i="4"/>
  <c r="N71" i="4" l="1"/>
  <c r="M59" i="4"/>
  <c r="M75" i="4" s="1"/>
  <c r="M76" i="4" s="1"/>
  <c r="Q30" i="4"/>
  <c r="R64" i="4" s="1"/>
  <c r="Q13" i="4"/>
  <c r="O56" i="4"/>
  <c r="AD11" i="4"/>
  <c r="C19" i="5" s="1"/>
  <c r="S19" i="4"/>
  <c r="S21" i="4" s="1"/>
  <c r="S14" i="4"/>
  <c r="S16" i="4" s="1"/>
  <c r="S24" i="4"/>
  <c r="S26" i="4" s="1"/>
  <c r="S9" i="4"/>
  <c r="S11" i="4" s="1"/>
  <c r="R27" i="4"/>
  <c r="R28" i="4" s="1"/>
  <c r="R22" i="4"/>
  <c r="R23" i="4" s="1"/>
  <c r="P32" i="4"/>
  <c r="P54" i="4"/>
  <c r="L77" i="4"/>
  <c r="L78" i="4" s="1"/>
  <c r="K82" i="4"/>
  <c r="K83" i="4" s="1"/>
  <c r="K85" i="4"/>
  <c r="R63" i="4"/>
  <c r="Q79" i="4"/>
  <c r="U5" i="4"/>
  <c r="T6" i="4"/>
  <c r="R29" i="4"/>
  <c r="R12" i="4"/>
  <c r="R13" i="4" s="1"/>
  <c r="R17" i="4"/>
  <c r="R18" i="4" s="1"/>
  <c r="S22" i="4" l="1"/>
  <c r="S23" i="4" s="1"/>
  <c r="T14" i="4"/>
  <c r="T16" i="4" s="1"/>
  <c r="T9" i="4"/>
  <c r="T11" i="4" s="1"/>
  <c r="T19" i="4"/>
  <c r="T21" i="4" s="1"/>
  <c r="T24" i="4"/>
  <c r="T26" i="4" s="1"/>
  <c r="S27" i="4"/>
  <c r="S28" i="4"/>
  <c r="S17" i="4"/>
  <c r="S18" i="4" s="1"/>
  <c r="R30" i="4"/>
  <c r="S64" i="4" s="1"/>
  <c r="S63" i="4"/>
  <c r="R79" i="4"/>
  <c r="Q31" i="4"/>
  <c r="N57" i="4"/>
  <c r="N58" i="4" s="1"/>
  <c r="N84" i="4"/>
  <c r="N73" i="4"/>
  <c r="N74" i="4" s="1"/>
  <c r="O70" i="4" s="1"/>
  <c r="S12" i="4"/>
  <c r="S29" i="4"/>
  <c r="S13" i="4"/>
  <c r="U6" i="4"/>
  <c r="V5" i="4"/>
  <c r="M60" i="4"/>
  <c r="M77" i="4"/>
  <c r="M78" i="4" s="1"/>
  <c r="L82" i="4"/>
  <c r="L83" i="4" s="1"/>
  <c r="L85" i="4"/>
  <c r="P56" i="4"/>
  <c r="Q80" i="4"/>
  <c r="R31" i="4" l="1"/>
  <c r="R80" i="4"/>
  <c r="Q32" i="4"/>
  <c r="Q54" i="4"/>
  <c r="R32" i="4"/>
  <c r="R54" i="4"/>
  <c r="R56" i="4" s="1"/>
  <c r="V6" i="4"/>
  <c r="W5" i="4"/>
  <c r="T29" i="4"/>
  <c r="T12" i="4"/>
  <c r="T13" i="4" s="1"/>
  <c r="M82" i="4"/>
  <c r="M83" i="4" s="1"/>
  <c r="N77" i="4"/>
  <c r="T22" i="4"/>
  <c r="T23" i="4" s="1"/>
  <c r="S30" i="4"/>
  <c r="T64" i="4" s="1"/>
  <c r="T27" i="4"/>
  <c r="T28" i="4" s="1"/>
  <c r="O71" i="4"/>
  <c r="N59" i="4"/>
  <c r="N75" i="4" s="1"/>
  <c r="N76" i="4" s="1"/>
  <c r="S79" i="4"/>
  <c r="M85" i="4"/>
  <c r="U14" i="4"/>
  <c r="U16" i="4" s="1"/>
  <c r="U24" i="4"/>
  <c r="U26" i="4" s="1"/>
  <c r="U9" i="4"/>
  <c r="U11" i="4" s="1"/>
  <c r="U19" i="4"/>
  <c r="U21" i="4" s="1"/>
  <c r="T63" i="4"/>
  <c r="T17" i="4"/>
  <c r="T18" i="4" s="1"/>
  <c r="N78" i="4" l="1"/>
  <c r="U12" i="4"/>
  <c r="U29" i="4"/>
  <c r="U13" i="4"/>
  <c r="V24" i="4"/>
  <c r="V26" i="4" s="1"/>
  <c r="V19" i="4"/>
  <c r="V21" i="4" s="1"/>
  <c r="V14" i="4"/>
  <c r="V16" i="4" s="1"/>
  <c r="V9" i="4"/>
  <c r="V11" i="4" s="1"/>
  <c r="U22" i="4"/>
  <c r="U23" i="4"/>
  <c r="U17" i="4"/>
  <c r="U18" i="4" s="1"/>
  <c r="T79" i="4"/>
  <c r="O57" i="4"/>
  <c r="O58" i="4" s="1"/>
  <c r="O84" i="4"/>
  <c r="AD16" i="4" s="1"/>
  <c r="S31" i="4"/>
  <c r="T30" i="4"/>
  <c r="U64" i="4" s="1"/>
  <c r="U63" i="4"/>
  <c r="N85" i="4"/>
  <c r="N60" i="4"/>
  <c r="O73" i="4"/>
  <c r="O74" i="4" s="1"/>
  <c r="S80" i="4"/>
  <c r="Q56" i="4"/>
  <c r="O77" i="4"/>
  <c r="N82" i="4"/>
  <c r="N83" i="4"/>
  <c r="U27" i="4"/>
  <c r="U28" i="4" s="1"/>
  <c r="X5" i="4"/>
  <c r="W6" i="4"/>
  <c r="W14" i="4" l="1"/>
  <c r="W16" i="4" s="1"/>
  <c r="W19" i="4"/>
  <c r="W21" i="4" s="1"/>
  <c r="W9" i="4"/>
  <c r="W11" i="4" s="1"/>
  <c r="W24" i="4"/>
  <c r="W26" i="4" s="1"/>
  <c r="V17" i="4"/>
  <c r="V18" i="4" s="1"/>
  <c r="T31" i="4"/>
  <c r="V27" i="4"/>
  <c r="V28" i="4"/>
  <c r="Y5" i="4"/>
  <c r="X6" i="4"/>
  <c r="AD15" i="4"/>
  <c r="C22" i="5" s="1"/>
  <c r="P70" i="4"/>
  <c r="O59" i="4"/>
  <c r="O75" i="4" s="1"/>
  <c r="O76" i="4" s="1"/>
  <c r="V22" i="4"/>
  <c r="V23" i="4" s="1"/>
  <c r="U31" i="4"/>
  <c r="V63" i="4"/>
  <c r="S54" i="4"/>
  <c r="S32" i="4"/>
  <c r="U79" i="4"/>
  <c r="V12" i="4"/>
  <c r="V29" i="4"/>
  <c r="V13" i="4"/>
  <c r="T80" i="4"/>
  <c r="U30" i="4"/>
  <c r="V64" i="4" s="1"/>
  <c r="X24" i="4" l="1"/>
  <c r="X26" i="4" s="1"/>
  <c r="X9" i="4"/>
  <c r="X11" i="4" s="1"/>
  <c r="X19" i="4"/>
  <c r="X21" i="4" s="1"/>
  <c r="X14" i="4"/>
  <c r="X16" i="4" s="1"/>
  <c r="U54" i="4"/>
  <c r="U56" i="4" s="1"/>
  <c r="U32" i="4"/>
  <c r="P71" i="4"/>
  <c r="P73" i="4"/>
  <c r="P74" i="4" s="1"/>
  <c r="Q70" i="4" s="1"/>
  <c r="Y6" i="4"/>
  <c r="Z5" i="4"/>
  <c r="W27" i="4"/>
  <c r="W28" i="4" s="1"/>
  <c r="O60" i="4"/>
  <c r="AD12" i="4" s="1"/>
  <c r="C20" i="5" s="1"/>
  <c r="W63" i="4"/>
  <c r="T54" i="4"/>
  <c r="T56" i="4" s="1"/>
  <c r="T32" i="4"/>
  <c r="W12" i="4"/>
  <c r="W13" i="4"/>
  <c r="W29" i="4"/>
  <c r="V30" i="4"/>
  <c r="W64" i="4" s="1"/>
  <c r="W22" i="4"/>
  <c r="W23" i="4" s="1"/>
  <c r="U80" i="4"/>
  <c r="O78" i="4"/>
  <c r="O85" i="4" s="1"/>
  <c r="V79" i="4"/>
  <c r="S56" i="4"/>
  <c r="W17" i="4"/>
  <c r="W18" i="4" s="1"/>
  <c r="V80" i="4" l="1"/>
  <c r="V31" i="4"/>
  <c r="Q71" i="4"/>
  <c r="Q73" i="4" s="1"/>
  <c r="Q74" i="4" s="1"/>
  <c r="R70" i="4" s="1"/>
  <c r="Y9" i="4"/>
  <c r="Y11" i="4" s="1"/>
  <c r="Y24" i="4"/>
  <c r="Y26" i="4" s="1"/>
  <c r="Y14" i="4"/>
  <c r="Y16" i="4" s="1"/>
  <c r="Y19" i="4"/>
  <c r="Y21" i="4" s="1"/>
  <c r="X17" i="4"/>
  <c r="X18" i="4" s="1"/>
  <c r="W79" i="4"/>
  <c r="X22" i="4"/>
  <c r="X23" i="4"/>
  <c r="V32" i="4"/>
  <c r="V54" i="4"/>
  <c r="V56" i="4" s="1"/>
  <c r="W80" i="4"/>
  <c r="X12" i="4"/>
  <c r="X29" i="4"/>
  <c r="X13" i="4"/>
  <c r="Z6" i="4"/>
  <c r="AA5" i="4"/>
  <c r="AA6" i="4" s="1"/>
  <c r="P77" i="4"/>
  <c r="O82" i="4"/>
  <c r="AD13" i="4"/>
  <c r="C21" i="5" s="1"/>
  <c r="O83" i="4"/>
  <c r="P57" i="4"/>
  <c r="P58" i="4" s="1"/>
  <c r="P84" i="4"/>
  <c r="X63" i="4"/>
  <c r="W30" i="4"/>
  <c r="X64" i="4" s="1"/>
  <c r="X27" i="4"/>
  <c r="X28" i="4" s="1"/>
  <c r="W31" i="4" l="1"/>
  <c r="R71" i="4"/>
  <c r="R73" i="4"/>
  <c r="R74" i="4"/>
  <c r="S70" i="4" s="1"/>
  <c r="X79" i="4"/>
  <c r="W32" i="4"/>
  <c r="W54" i="4"/>
  <c r="Y17" i="4"/>
  <c r="Y18" i="4" s="1"/>
  <c r="Z14" i="4"/>
  <c r="Z16" i="4" s="1"/>
  <c r="Z19" i="4"/>
  <c r="Z21" i="4" s="1"/>
  <c r="Z24" i="4"/>
  <c r="Z26" i="4" s="1"/>
  <c r="Z9" i="4"/>
  <c r="Z11" i="4" s="1"/>
  <c r="Y63" i="4"/>
  <c r="Y22" i="4"/>
  <c r="Y23" i="4" s="1"/>
  <c r="Y27" i="4"/>
  <c r="Y28" i="4"/>
  <c r="X30" i="4"/>
  <c r="Y64" i="4" s="1"/>
  <c r="P59" i="4"/>
  <c r="P75" i="4" s="1"/>
  <c r="P76" i="4" s="1"/>
  <c r="P78" i="4" s="1"/>
  <c r="AA19" i="4"/>
  <c r="AA21" i="4" s="1"/>
  <c r="AA9" i="4"/>
  <c r="AA11" i="4" s="1"/>
  <c r="AA14" i="4"/>
  <c r="AA16" i="4" s="1"/>
  <c r="AA24" i="4"/>
  <c r="AA26" i="4" s="1"/>
  <c r="Y29" i="4"/>
  <c r="Y12" i="4"/>
  <c r="Q57" i="4"/>
  <c r="Q58" i="4" s="1"/>
  <c r="Q84" i="4"/>
  <c r="X80" i="4" l="1"/>
  <c r="X31" i="4"/>
  <c r="Q77" i="4"/>
  <c r="P82" i="4"/>
  <c r="P83" i="4" s="1"/>
  <c r="Z12" i="4"/>
  <c r="Z13" i="4" s="1"/>
  <c r="Z29" i="4"/>
  <c r="Z27" i="4"/>
  <c r="Z28" i="4" s="1"/>
  <c r="AA17" i="4"/>
  <c r="AA18" i="4" s="1"/>
  <c r="W56" i="4"/>
  <c r="Y80" i="4"/>
  <c r="Z17" i="4"/>
  <c r="Z18" i="4"/>
  <c r="Y31" i="4"/>
  <c r="Z63" i="4"/>
  <c r="AA22" i="4"/>
  <c r="AA23" i="4" s="1"/>
  <c r="Y79" i="4"/>
  <c r="S71" i="4"/>
  <c r="S73" i="4"/>
  <c r="S74" i="4" s="1"/>
  <c r="T70" i="4" s="1"/>
  <c r="Q59" i="4"/>
  <c r="Q75" i="4" s="1"/>
  <c r="Q76" i="4" s="1"/>
  <c r="Y30" i="4"/>
  <c r="Z64" i="4" s="1"/>
  <c r="Y13" i="4"/>
  <c r="AA29" i="4"/>
  <c r="AA12" i="4"/>
  <c r="X32" i="4"/>
  <c r="X54" i="4"/>
  <c r="X56" i="4" s="1"/>
  <c r="Z22" i="4"/>
  <c r="Z23" i="4"/>
  <c r="AA27" i="4"/>
  <c r="AA28" i="4"/>
  <c r="P85" i="4"/>
  <c r="P60" i="4"/>
  <c r="R57" i="4"/>
  <c r="R58" i="4" s="1"/>
  <c r="R84" i="4"/>
  <c r="T71" i="4" l="1"/>
  <c r="T73" i="4"/>
  <c r="T74" i="4" s="1"/>
  <c r="U70" i="4" s="1"/>
  <c r="AA30" i="4"/>
  <c r="R59" i="4"/>
  <c r="R75" i="4" s="1"/>
  <c r="R76" i="4" s="1"/>
  <c r="Y32" i="4"/>
  <c r="Y54" i="4"/>
  <c r="Y56" i="4" s="1"/>
  <c r="AA31" i="4"/>
  <c r="AE9" i="4"/>
  <c r="Z30" i="4"/>
  <c r="AA64" i="4" s="1"/>
  <c r="AA13" i="4"/>
  <c r="Q60" i="4"/>
  <c r="Z79" i="4"/>
  <c r="AA63" i="4"/>
  <c r="S57" i="4"/>
  <c r="S58" i="4" s="1"/>
  <c r="S84" i="4"/>
  <c r="Q78" i="4"/>
  <c r="Q85" i="4" s="1"/>
  <c r="AA79" i="4" l="1"/>
  <c r="AE14" i="4" s="1"/>
  <c r="U71" i="4"/>
  <c r="U73" i="4"/>
  <c r="U74" i="4" s="1"/>
  <c r="V70" i="4" s="1"/>
  <c r="R60" i="4"/>
  <c r="D17" i="5"/>
  <c r="F6" i="5"/>
  <c r="AA32" i="4"/>
  <c r="AA54" i="4"/>
  <c r="S59" i="4"/>
  <c r="S75" i="4" s="1"/>
  <c r="S76" i="4" s="1"/>
  <c r="Z80" i="4"/>
  <c r="AA80" i="4" s="1"/>
  <c r="Q82" i="4"/>
  <c r="Q83" i="4"/>
  <c r="R77" i="4"/>
  <c r="R78" i="4" s="1"/>
  <c r="Z31" i="4"/>
  <c r="T57" i="4"/>
  <c r="T58" i="4" s="1"/>
  <c r="T84" i="4"/>
  <c r="V71" i="4" l="1"/>
  <c r="V73" i="4" s="1"/>
  <c r="V74" i="4" s="1"/>
  <c r="W70" i="4" s="1"/>
  <c r="Z32" i="4"/>
  <c r="Z54" i="4"/>
  <c r="Z56" i="4" s="1"/>
  <c r="AA56" i="4"/>
  <c r="AE11" i="4"/>
  <c r="R82" i="4"/>
  <c r="R83" i="4" s="1"/>
  <c r="S77" i="4"/>
  <c r="S78" i="4" s="1"/>
  <c r="R85" i="4"/>
  <c r="U57" i="4"/>
  <c r="U58" i="4" s="1"/>
  <c r="U84" i="4"/>
  <c r="S60" i="4"/>
  <c r="AE10" i="4"/>
  <c r="D18" i="5" s="1"/>
  <c r="T59" i="4"/>
  <c r="T75" i="4" s="1"/>
  <c r="T76" i="4" s="1"/>
  <c r="W71" i="4" l="1"/>
  <c r="T60" i="4"/>
  <c r="U59" i="4"/>
  <c r="U75" i="4" s="1"/>
  <c r="U76" i="4" s="1"/>
  <c r="S82" i="4"/>
  <c r="S83" i="4"/>
  <c r="T77" i="4"/>
  <c r="T78" i="4" s="1"/>
  <c r="T85" i="4" s="1"/>
  <c r="D19" i="5"/>
  <c r="I6" i="5"/>
  <c r="C16" i="1" s="1"/>
  <c r="S85" i="4"/>
  <c r="V57" i="4"/>
  <c r="V58" i="4" s="1"/>
  <c r="V84" i="4"/>
  <c r="V59" i="4" l="1"/>
  <c r="V75" i="4" s="1"/>
  <c r="V76" i="4" s="1"/>
  <c r="U77" i="4"/>
  <c r="U78" i="4" s="1"/>
  <c r="T82" i="4"/>
  <c r="T83" i="4" s="1"/>
  <c r="U60" i="4"/>
  <c r="W57" i="4"/>
  <c r="W58" i="4" s="1"/>
  <c r="W84" i="4"/>
  <c r="W73" i="4"/>
  <c r="W74" i="4" s="1"/>
  <c r="X70" i="4" s="1"/>
  <c r="X71" i="4" l="1"/>
  <c r="X73" i="4" s="1"/>
  <c r="X74" i="4" s="1"/>
  <c r="Y70" i="4" s="1"/>
  <c r="W59" i="4"/>
  <c r="W75" i="4" s="1"/>
  <c r="W76" i="4" s="1"/>
  <c r="V77" i="4"/>
  <c r="V78" i="4" s="1"/>
  <c r="U82" i="4"/>
  <c r="U83" i="4" s="1"/>
  <c r="V60" i="4"/>
  <c r="U85" i="4"/>
  <c r="Y71" i="4" l="1"/>
  <c r="W60" i="4"/>
  <c r="W77" i="4"/>
  <c r="W78" i="4" s="1"/>
  <c r="V82" i="4"/>
  <c r="V83" i="4" s="1"/>
  <c r="V85" i="4"/>
  <c r="X57" i="4"/>
  <c r="X58" i="4" s="1"/>
  <c r="X84" i="4"/>
  <c r="X59" i="4" l="1"/>
  <c r="X75" i="4" s="1"/>
  <c r="X76" i="4" s="1"/>
  <c r="X85" i="4" s="1"/>
  <c r="X77" i="4"/>
  <c r="X78" i="4" s="1"/>
  <c r="W82" i="4"/>
  <c r="W83" i="4" s="1"/>
  <c r="W85" i="4"/>
  <c r="Y57" i="4"/>
  <c r="Y58" i="4" s="1"/>
  <c r="Y84" i="4"/>
  <c r="Y73" i="4"/>
  <c r="Y74" i="4" s="1"/>
  <c r="Z70" i="4" s="1"/>
  <c r="Z71" i="4" l="1"/>
  <c r="Y59" i="4"/>
  <c r="Y75" i="4" s="1"/>
  <c r="Y76" i="4" s="1"/>
  <c r="Y85" i="4" s="1"/>
  <c r="Y77" i="4"/>
  <c r="X82" i="4"/>
  <c r="X83" i="4" s="1"/>
  <c r="X60" i="4"/>
  <c r="Y78" i="4" l="1"/>
  <c r="Y60" i="4"/>
  <c r="Z57" i="4"/>
  <c r="Z58" i="4" s="1"/>
  <c r="Z84" i="4"/>
  <c r="Z73" i="4"/>
  <c r="Z74" i="4" s="1"/>
  <c r="AA70" i="4" s="1"/>
  <c r="AA71" i="4" l="1"/>
  <c r="Z59" i="4"/>
  <c r="Z75" i="4" s="1"/>
  <c r="Z76" i="4" s="1"/>
  <c r="Z77" i="4"/>
  <c r="Y82" i="4"/>
  <c r="Y83" i="4"/>
  <c r="Z78" i="4" l="1"/>
  <c r="Z60" i="4"/>
  <c r="AA57" i="4"/>
  <c r="AA58" i="4" s="1"/>
  <c r="AA84" i="4"/>
  <c r="AE16" i="4" s="1"/>
  <c r="I10" i="5" s="1"/>
  <c r="C18" i="1" s="1"/>
  <c r="Z85" i="4"/>
  <c r="AA73" i="4"/>
  <c r="AA74" i="4" s="1"/>
  <c r="AE15" i="4" s="1"/>
  <c r="D22" i="5" l="1"/>
  <c r="F10" i="5"/>
  <c r="AA59" i="4"/>
  <c r="AA75" i="4" s="1"/>
  <c r="AA76" i="4" s="1"/>
  <c r="AA85" i="4" s="1"/>
  <c r="AA77" i="4"/>
  <c r="Z82" i="4"/>
  <c r="Z83" i="4" s="1"/>
  <c r="AA60" i="4" l="1"/>
  <c r="AE12" i="4" s="1"/>
  <c r="D20" i="5" s="1"/>
  <c r="AA78" i="4"/>
  <c r="AA82" i="4" l="1"/>
  <c r="AA83" i="4" s="1"/>
  <c r="AE13" i="4"/>
  <c r="D21" i="5" l="1"/>
  <c r="C10" i="5"/>
  <c r="C1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21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Ejemplo ficticio creado desde cero.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17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Ajusta aquí los flujos de ingresos y el momento de lanzamiento.</t>
        </r>
      </text>
    </comment>
  </commentList>
</comments>
</file>

<file path=xl/sharedStrings.xml><?xml version="1.0" encoding="utf-8"?>
<sst xmlns="http://schemas.openxmlformats.org/spreadsheetml/2006/main" count="342" uniqueCount="233">
  <si>
    <t>Proyecto ejemplo</t>
  </si>
  <si>
    <t>EcoLoop Oficina</t>
  </si>
  <si>
    <t>Cómo usarla</t>
  </si>
  <si>
    <t>Sector</t>
  </si>
  <si>
    <t>Servicios B2B / sostenibilidad</t>
  </si>
  <si>
    <t>1) Cambia las celdas turquesa.</t>
  </si>
  <si>
    <t>Modelo</t>
  </si>
  <si>
    <t>Suscripción + implantación + venta puntual</t>
  </si>
  <si>
    <t>2) Ajusta la lógica estratégica y los supuestos.</t>
  </si>
  <si>
    <t>Escenario</t>
  </si>
  <si>
    <t>Base</t>
  </si>
  <si>
    <t>3) Revisa Proyecciones y Dashboard.</t>
  </si>
  <si>
    <t>Fecha inicio proyección</t>
  </si>
  <si>
    <t>4) El ejemplo es ficticio y se puede sustituir completo.</t>
  </si>
  <si>
    <t>Caja inicial (€)</t>
  </si>
  <si>
    <t>Navegación</t>
  </si>
  <si>
    <t>Moneda</t>
  </si>
  <si>
    <t>EUR</t>
  </si>
  <si>
    <t>→ Estrategia</t>
  </si>
  <si>
    <t>→ Supuestos</t>
  </si>
  <si>
    <t>→ Proyecciones</t>
  </si>
  <si>
    <t>KPIs rápidos</t>
  </si>
  <si>
    <t>→ Dashboard</t>
  </si>
  <si>
    <t>Ingresos año 1</t>
  </si>
  <si>
    <t>EBITDA año 2</t>
  </si>
  <si>
    <t>Caja final</t>
  </si>
  <si>
    <t>Punto equilibrio mes 24</t>
  </si>
  <si>
    <t>Nota</t>
  </si>
  <si>
    <t>El ejemplo se ha creado desde cero; se toma la funcionalidad de referencia, no el contenido.</t>
  </si>
  <si>
    <t>Estrategia y validación</t>
  </si>
  <si>
    <t>Propuesta de valor</t>
  </si>
  <si>
    <t>Tamaño de mercado</t>
  </si>
  <si>
    <t>Problema</t>
  </si>
  <si>
    <t>Las oficinas quieren reducir residuos, pero no gestionan bien la logística del reutilizable.</t>
  </si>
  <si>
    <t>Oficinas objetivo</t>
  </si>
  <si>
    <t>TAM anual</t>
  </si>
  <si>
    <t>Solución</t>
  </si>
  <si>
    <t>Suscripción que instala, recoge, lava y repone vajilla reutilizable con panel de métricas ESG.</t>
  </si>
  <si>
    <t>Oficinas alcanzables (SAM)</t>
  </si>
  <si>
    <t>SAM anual</t>
  </si>
  <si>
    <t>Cliente ideal</t>
  </si>
  <si>
    <t>Oficinas de 80 a 400 empleados, coworkings premium y sedes con objetivos ESG.</t>
  </si>
  <si>
    <t>Clientes objetivo en 24m</t>
  </si>
  <si>
    <t>SOM anual</t>
  </si>
  <si>
    <t>Canal principal</t>
  </si>
  <si>
    <t>Venta directa B2B y alianzas con facility managers.</t>
  </si>
  <si>
    <t>Ingreso medio mensual por cliente (€)</t>
  </si>
  <si>
    <t>Ventaja competitiva</t>
  </si>
  <si>
    <t>Implantación rápida, reporte de impacto y operación llave en mano.</t>
  </si>
  <si>
    <t>Matriz competitiva</t>
  </si>
  <si>
    <t>DAFO priorizado</t>
  </si>
  <si>
    <t>Criterio</t>
  </si>
  <si>
    <t>Peso</t>
  </si>
  <si>
    <t>EcoLoop</t>
  </si>
  <si>
    <t>GreenTray</t>
  </si>
  <si>
    <t>Wash&amp;Go</t>
  </si>
  <si>
    <t>PackZero</t>
  </si>
  <si>
    <t>Tipo</t>
  </si>
  <si>
    <t>Elemento</t>
  </si>
  <si>
    <t>Impacto</t>
  </si>
  <si>
    <t>Urgencia</t>
  </si>
  <si>
    <t>Prioridad</t>
  </si>
  <si>
    <t>Precio total de implantación</t>
  </si>
  <si>
    <t>Fortaleza</t>
  </si>
  <si>
    <t>Panel ESG incluido</t>
  </si>
  <si>
    <t>Facilidad operativa</t>
  </si>
  <si>
    <t>Implantación en 2 semanas</t>
  </si>
  <si>
    <t>Métricas ESG</t>
  </si>
  <si>
    <t>Debilidad</t>
  </si>
  <si>
    <t>Dependencia inicial de 2 proveedores</t>
  </si>
  <si>
    <t>Capacidad logística</t>
  </si>
  <si>
    <t>Marca todavía poco conocida</t>
  </si>
  <si>
    <t>Personalización</t>
  </si>
  <si>
    <t>Oportunidad</t>
  </si>
  <si>
    <t>Presión regulatoria por residuos</t>
  </si>
  <si>
    <t>Soporte comercial</t>
  </si>
  <si>
    <t>Coworkings buscan diferenciarse</t>
  </si>
  <si>
    <t>Score ponderado</t>
  </si>
  <si>
    <t>Amenaza</t>
  </si>
  <si>
    <t>Competidores copian pricing</t>
  </si>
  <si>
    <t>Subida del coste energético</t>
  </si>
  <si>
    <t>Hitos</t>
  </si>
  <si>
    <t>Hito</t>
  </si>
  <si>
    <t>Responsable</t>
  </si>
  <si>
    <t>Fecha</t>
  </si>
  <si>
    <t>Estado</t>
  </si>
  <si>
    <t>Avance %</t>
  </si>
  <si>
    <t>Cerrar 3 sedes piloto</t>
  </si>
  <si>
    <t>Fundadora</t>
  </si>
  <si>
    <t>En curso</t>
  </si>
  <si>
    <t>Automatizar lavado y trazabilidad</t>
  </si>
  <si>
    <t>Operaciones</t>
  </si>
  <si>
    <t>Planificado</t>
  </si>
  <si>
    <t>Llegar a 10 sedes recurrentes</t>
  </si>
  <si>
    <t>Ventas</t>
  </si>
  <si>
    <t>Acuerdo con 2 facility managers</t>
  </si>
  <si>
    <t>Alianzas</t>
  </si>
  <si>
    <t>Idea</t>
  </si>
  <si>
    <t>Certificación de impacto</t>
  </si>
  <si>
    <t>Supuestos del modelo</t>
  </si>
  <si>
    <t>Controles globales</t>
  </si>
  <si>
    <t>Las celdas turquesa son editables.</t>
  </si>
  <si>
    <t>Factor ingresos</t>
  </si>
  <si>
    <t>Factor gastos</t>
  </si>
  <si>
    <t>Factor crecimiento</t>
  </si>
  <si>
    <t>Meses de cobro clientes</t>
  </si>
  <si>
    <t>Meses de pago proveedores</t>
  </si>
  <si>
    <t>Impuesto sobre beneficio</t>
  </si>
  <si>
    <t>Inflación salarios anual</t>
  </si>
  <si>
    <t>Inflación OPEX anual</t>
  </si>
  <si>
    <t>Vida útil CAPEX (meses)</t>
  </si>
  <si>
    <t>Flujos de ingresos</t>
  </si>
  <si>
    <t>Flujo</t>
  </si>
  <si>
    <t>Unidades mes lanzamiento</t>
  </si>
  <si>
    <t>Crec. mensual</t>
  </si>
  <si>
    <t>Precio inicial (€)</t>
  </si>
  <si>
    <t>Subida anual precio</t>
  </si>
  <si>
    <t>Coste variable %</t>
  </si>
  <si>
    <t>Mes lanzamiento</t>
  </si>
  <si>
    <t>Suscripción sedes</t>
  </si>
  <si>
    <t>Implantación inicial</t>
  </si>
  <si>
    <t>Kits extra</t>
  </si>
  <si>
    <t>Talleres ESG</t>
  </si>
  <si>
    <t>Estacionalidad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</si>
  <si>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</si>
  <si>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</si>
  <si>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</si>
  <si>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</si>
  <si>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</si>
  <si>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</si>
  <si>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</si>
  <si>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</si>
  <si>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</si>
  <si>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</si>
  <si>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</si>
  <si>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</si>
  <si>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</si>
  <si>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Factor</t>
  </si>
  <si>
    <t>Equipo</t>
  </si>
  <si>
    <t>Rol</t>
  </si>
  <si>
    <t>FTE</t>
  </si>
  <si>
    <t>Mes alta</t>
  </si>
  <si>
    <t>Salario bruto / mes</t>
  </si>
  <si>
    <t>Cargas sociales %</t>
  </si>
  <si>
    <t>Fundadora / CEO</t>
  </si>
  <si>
    <t>Ventas B2B</t>
  </si>
  <si>
    <t>Atención cliente</t>
  </si>
  <si>
    <t>Técnico lavado</t>
  </si>
  <si>
    <t>Marketing</t>
  </si>
  <si>
    <t>OPEX</t>
  </si>
  <si>
    <t>Categoría</t>
  </si>
  <si>
    <t>Coste / mes</t>
  </si>
  <si>
    <t>Mes inicio</t>
  </si>
  <si>
    <t>Inflación anual</t>
  </si>
  <si>
    <t>Alquiler y suministros</t>
  </si>
  <si>
    <t>Software y licencias</t>
  </si>
  <si>
    <t>Seguro y gestoría</t>
  </si>
  <si>
    <t>Logística fija</t>
  </si>
  <si>
    <t>Marketing fijo</t>
  </si>
  <si>
    <t>I+D de procesos</t>
  </si>
  <si>
    <t>Miscelánea</t>
  </si>
  <si>
    <t>CAPEX</t>
  </si>
  <si>
    <t>Financiación</t>
  </si>
  <si>
    <t>Concepto</t>
  </si>
  <si>
    <t>Importe (€)</t>
  </si>
  <si>
    <t>Fuente</t>
  </si>
  <si>
    <t>Interés anual</t>
  </si>
  <si>
    <t>Plazo (meses)</t>
  </si>
  <si>
    <t>Línea de lavado compacta</t>
  </si>
  <si>
    <t>Aporte socios</t>
  </si>
  <si>
    <t>Equity</t>
  </si>
  <si>
    <t>Mobiliario y acondicionamiento</t>
  </si>
  <si>
    <t>Préstamo crecimiento</t>
  </si>
  <si>
    <t>Deuda</t>
  </si>
  <si>
    <t>App operativa</t>
  </si>
  <si>
    <t>Proyecciones mensuales (24 meses)</t>
  </si>
  <si>
    <t>Periodo</t>
  </si>
  <si>
    <t>Mes #</t>
  </si>
  <si>
    <t>Ingresos</t>
  </si>
  <si>
    <t>Métrica</t>
  </si>
  <si>
    <t>Año 1</t>
  </si>
  <si>
    <t>Año 2</t>
  </si>
  <si>
    <t/>
  </si>
  <si>
    <t>Margen bruto</t>
  </si>
  <si>
    <t>EBITDA</t>
  </si>
  <si>
    <t>Beneficio neto</t>
  </si>
  <si>
    <t>AR final</t>
  </si>
  <si>
    <t>Deuda final</t>
  </si>
  <si>
    <t>Punto equilibrio</t>
  </si>
  <si>
    <t>Total</t>
  </si>
  <si>
    <t>Ingresos totales</t>
  </si>
  <si>
    <t>Coste variable total</t>
  </si>
  <si>
    <t>% margen bruto</t>
  </si>
  <si>
    <t>Coste de equipo</t>
  </si>
  <si>
    <t>Gasto</t>
  </si>
  <si>
    <t>OPEX total</t>
  </si>
  <si>
    <t>Resultado</t>
  </si>
  <si>
    <t>P&amp;L</t>
  </si>
  <si>
    <t>Depreciación</t>
  </si>
  <si>
    <t>EBIT</t>
  </si>
  <si>
    <t>Intereses</t>
  </si>
  <si>
    <t>Beneficio antes impuestos</t>
  </si>
  <si>
    <t>Impuesto</t>
  </si>
  <si>
    <t>Caja y balance</t>
  </si>
  <si>
    <t>Caja</t>
  </si>
  <si>
    <t>Cobros clientes</t>
  </si>
  <si>
    <t>Pagos proveedores</t>
  </si>
  <si>
    <t>Nóminas pagadas</t>
  </si>
  <si>
    <t>OPEX pagado</t>
  </si>
  <si>
    <t>Préstamo recibido</t>
  </si>
  <si>
    <t>Saldo deuda inicial</t>
  </si>
  <si>
    <t>Intereses caja</t>
  </si>
  <si>
    <t>Cuota préstamo</t>
  </si>
  <si>
    <t>Amortización principal</t>
  </si>
  <si>
    <t>Saldo deuda final</t>
  </si>
  <si>
    <t>Impuesto pagado</t>
  </si>
  <si>
    <t>Flujo neto de caja</t>
  </si>
  <si>
    <t>Caja inicial</t>
  </si>
  <si>
    <t>Cuentas a cobrar</t>
  </si>
  <si>
    <t>Cuentas a pagar</t>
  </si>
  <si>
    <t>Activo fijo neto</t>
  </si>
  <si>
    <t>Patrimonio estimado</t>
  </si>
  <si>
    <t>Comprobación balance</t>
  </si>
  <si>
    <t>Punto equilibrio ingresos</t>
  </si>
  <si>
    <t>Runway (meses)</t>
  </si>
  <si>
    <t>Dashboard del plan</t>
  </si>
  <si>
    <t>Ingresos año 2</t>
  </si>
  <si>
    <t>Tabla anual</t>
  </si>
  <si>
    <t>Gráficos</t>
  </si>
  <si>
    <t>Lectura rápida</t>
  </si>
  <si>
    <t>Si la caja cae por debajo de cero, revisa precio, ritmo de contratación, CAPEX o calendario de cobros.</t>
  </si>
  <si>
    <t>La comprobación de balance en Proyecciones debe permanecer en 0 en todos los meses.</t>
  </si>
  <si>
    <t xml:space="preserve">           Plantilla de plan de negocio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</si>
</sst>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€#,##0;[Red]\(\€#,##0\);\-"/>
    <numFmt numFmtId="165" formatCode="#,##0;[Red]\(#,##0\);\-"/>
    <numFmt numFmtId="166" formatCode="0.0%"/>
    <numFmt numFmtId="167" formatCode="0.0"/>
  </numFmts>
  <fonts count="9" x14ac:knownFonts="1">
    <font>
      <sz val="11"/>
      <color theme="1"/>
      <name val="Calibri"/>
      <family val="2"/>
      <scheme val="minor"/>
    </font>
    <font>
      <b/>
      <sz val="20"/>
      <color rgb="FFFFFFFF"/>
      <name val="Calibri"/>
    </font>
    <font>
      <b/>
      <sz val="13"/>
      <color rgb="FFFFFFFF"/>
      <name val="Calibri"/>
    </font>
    <font>
      <b/>
      <sz val="11"/>
      <color rgb="FF121528"/>
      <name val="Calibri"/>
    </font>
    <font>
      <sz val="10"/>
      <color rgb="FF121528"/>
      <name val="Calibri"/>
    </font>
    <font>
      <b/>
      <u/>
      <sz val="10"/>
      <color rgb="FF121528"/>
      <name val="Calibri"/>
    </font>
    <font>
      <i/>
      <sz val="9"/>
      <color rgb="FF121528"/>
      <name val="Calibri"/>
    </font>
    <font>
      <b/>
      <sz val="16"/>
      <color rgb="FF121528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B8F2E3"/>
      </patternFill>
    </fill>
    <fill>
      <patternFill patternType="solid">
        <fgColor rgb="FFEEECE1"/>
      </patternFill>
    </fill>
    <fill>
      <patternFill patternType="solid">
        <fgColor rgb="FFF7F6F2"/>
      </patternFill>
    </fill>
  </fills>
  <borders count="3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2" borderId="0" xfId="0" applyFont="1" applyFill="1"/>
    <xf numFmtId="0" fontId="0" fillId="0" borderId="0" xfId="0" applyAlignment="1">
      <alignment horizontal="left" vertical="center" wrapText="1"/>
    </xf>
    <xf numFmtId="0" fontId="3" fillId="4" borderId="0" xfId="0" applyFont="1" applyFill="1"/>
    <xf numFmtId="0" fontId="0" fillId="3" borderId="1" xfId="0" applyFill="1" applyBorder="1"/>
    <xf numFmtId="0" fontId="4" fillId="0" borderId="0" xfId="0" applyFont="1" applyAlignment="1">
      <alignment horizontal="left" vertical="center" wrapText="1"/>
    </xf>
    <xf numFmtId="14" fontId="0" fillId="3" borderId="1" xfId="0" applyNumberFormat="1" applyFill="1" applyBorder="1"/>
    <xf numFmtId="164" fontId="0" fillId="3" borderId="1" xfId="0" applyNumberFormat="1" applyFill="1" applyBorder="1"/>
    <xf numFmtId="0" fontId="5" fillId="5" borderId="1" xfId="0" applyFont="1" applyFill="1" applyBorder="1"/>
    <xf numFmtId="0" fontId="0" fillId="4" borderId="0" xfId="0" applyFill="1"/>
    <xf numFmtId="164" fontId="3" fillId="5" borderId="1" xfId="0" applyNumberFormat="1" applyFont="1" applyFill="1" applyBorder="1"/>
    <xf numFmtId="0" fontId="0" fillId="3" borderId="2" xfId="0" applyFill="1" applyBorder="1" applyAlignment="1">
      <alignment horizontal="left" vertical="center" wrapText="1"/>
    </xf>
    <xf numFmtId="165" fontId="0" fillId="3" borderId="1" xfId="0" applyNumberFormat="1" applyFill="1" applyBorder="1"/>
    <xf numFmtId="164" fontId="0" fillId="5" borderId="1" xfId="0" applyNumberFormat="1" applyFill="1" applyBorder="1"/>
    <xf numFmtId="0" fontId="3" fillId="4" borderId="0" xfId="0" applyFont="1" applyFill="1" applyAlignment="1">
      <alignment horizontal="center" vertical="center"/>
    </xf>
    <xf numFmtId="0" fontId="0" fillId="5" borderId="2" xfId="0" applyFill="1" applyBorder="1" applyAlignment="1">
      <alignment horizontal="left" vertical="center" wrapText="1"/>
    </xf>
    <xf numFmtId="166" fontId="0" fillId="5" borderId="2" xfId="0" applyNumberFormat="1" applyFill="1" applyBorder="1" applyAlignment="1">
      <alignment horizontal="center" vertical="center"/>
    </xf>
    <xf numFmtId="165" fontId="0" fillId="3" borderId="2" xfId="0" applyNumberForma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165" fontId="0" fillId="5" borderId="2" xfId="0" applyNumberFormat="1" applyFill="1" applyBorder="1" applyAlignment="1">
      <alignment horizontal="center" vertical="center"/>
    </xf>
    <xf numFmtId="2" fontId="3" fillId="3" borderId="1" xfId="0" applyNumberFormat="1" applyFont="1" applyFill="1" applyBorder="1"/>
    <xf numFmtId="2" fontId="3" fillId="5" borderId="1" xfId="0" applyNumberFormat="1" applyFont="1" applyFill="1" applyBorder="1"/>
    <xf numFmtId="14" fontId="0" fillId="5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6" fillId="0" borderId="0" xfId="0" applyFont="1"/>
    <xf numFmtId="2" fontId="0" fillId="5" borderId="1" xfId="0" applyNumberFormat="1" applyFill="1" applyBorder="1"/>
    <xf numFmtId="166" fontId="0" fillId="3" borderId="1" xfId="0" applyNumberFormat="1" applyFill="1" applyBorder="1"/>
    <xf numFmtId="0" fontId="0" fillId="3" borderId="2" xfId="0" applyFill="1" applyBorder="1"/>
    <xf numFmtId="165" fontId="0" fillId="3" borderId="2" xfId="0" applyNumberFormat="1" applyFill="1" applyBorder="1"/>
    <xf numFmtId="166" fontId="0" fillId="3" borderId="2" xfId="0" applyNumberFormat="1" applyFill="1" applyBorder="1"/>
    <xf numFmtId="164" fontId="0" fillId="3" borderId="2" xfId="0" applyNumberFormat="1" applyFill="1" applyBorder="1"/>
    <xf numFmtId="0" fontId="2" fillId="2" borderId="0" xfId="0" applyFont="1" applyFill="1" applyAlignment="1">
      <alignment horizontal="center" vertical="center"/>
    </xf>
    <xf numFmtId="17" fontId="0" fillId="5" borderId="0" xfId="0" applyNumberFormat="1" applyFill="1" applyAlignment="1">
      <alignment horizontal="center" vertical="center"/>
    </xf>
    <xf numFmtId="166" fontId="0" fillId="5" borderId="0" xfId="0" applyNumberFormat="1" applyFill="1" applyAlignment="1">
      <alignment horizontal="center" vertical="center"/>
    </xf>
    <xf numFmtId="0" fontId="0" fillId="2" borderId="0" xfId="0" applyFill="1"/>
    <xf numFmtId="0" fontId="0" fillId="3" borderId="0" xfId="0" applyFill="1" applyAlignment="1">
      <alignment horizontal="left" vertical="center" wrapText="1"/>
    </xf>
    <xf numFmtId="165" fontId="0" fillId="0" borderId="0" xfId="0" applyNumberFormat="1"/>
    <xf numFmtId="0" fontId="0" fillId="5" borderId="0" xfId="0" applyFill="1"/>
    <xf numFmtId="0" fontId="0" fillId="5" borderId="0" xfId="0" applyFill="1" applyAlignment="1">
      <alignment horizontal="left" vertical="center" wrapText="1"/>
    </xf>
    <xf numFmtId="164" fontId="0" fillId="0" borderId="0" xfId="0" applyNumberFormat="1"/>
    <xf numFmtId="0" fontId="3" fillId="4" borderId="0" xfId="0" applyFont="1" applyFill="1" applyAlignment="1">
      <alignment horizontal="left" vertical="center" wrapText="1"/>
    </xf>
    <xf numFmtId="0" fontId="4" fillId="5" borderId="0" xfId="0" applyFont="1" applyFill="1"/>
    <xf numFmtId="166" fontId="0" fillId="0" borderId="0" xfId="0" applyNumberFormat="1"/>
    <xf numFmtId="2" fontId="0" fillId="0" borderId="0" xfId="0" applyNumberFormat="1"/>
    <xf numFmtId="167" fontId="0" fillId="0" borderId="0" xfId="0" applyNumberFormat="1"/>
    <xf numFmtId="0" fontId="3" fillId="4" borderId="1" xfId="0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17" fontId="0" fillId="0" borderId="0" xfId="0" applyNumberFormat="1"/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vertical="top" wrapText="1"/>
    </xf>
    <xf numFmtId="0" fontId="3" fillId="4" borderId="0" xfId="0" applyFont="1" applyFill="1" applyAlignment="1">
      <alignment vertical="top" wrapText="1"/>
    </xf>
    <xf numFmtId="0" fontId="8" fillId="2" borderId="0" xfId="0" applyFont="1" applyFill="1" applyAlignment="1">
      <alignment horizontal="left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2"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t>Ingresos y EBITDA mensuales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cat>
            <c:numRef>
              <c:f>Proyecciones!$D$5:$AA$5</c:f>
              <c:numCache>
                <c:formatCode>mmm\-yy</c:formatCode>
                <c:ptCount val="24"/>
                <c:pt idx="0">
                  <c:v>46113</c:v>
                </c:pt>
                <c:pt idx="1">
                  <c:v>46143</c:v>
                </c:pt>
                <c:pt idx="2">
                  <c:v>46174</c:v>
                </c:pt>
                <c:pt idx="3">
                  <c:v>46204</c:v>
                </c:pt>
                <c:pt idx="4">
                  <c:v>46235</c:v>
                </c:pt>
                <c:pt idx="5">
                  <c:v>46266</c:v>
                </c:pt>
                <c:pt idx="6">
                  <c:v>46296</c:v>
                </c:pt>
                <c:pt idx="7">
                  <c:v>46327</c:v>
                </c:pt>
                <c:pt idx="8">
                  <c:v>46357</c:v>
                </c:pt>
                <c:pt idx="9">
                  <c:v>46388</c:v>
                </c:pt>
                <c:pt idx="10">
                  <c:v>46419</c:v>
                </c:pt>
                <c:pt idx="11">
                  <c:v>46447</c:v>
                </c:pt>
                <c:pt idx="12">
                  <c:v>46478</c:v>
                </c:pt>
                <c:pt idx="13">
                  <c:v>46508</c:v>
                </c:pt>
                <c:pt idx="14">
                  <c:v>46539</c:v>
                </c:pt>
                <c:pt idx="15">
                  <c:v>46569</c:v>
                </c:pt>
                <c:pt idx="16">
                  <c:v>46600</c:v>
                </c:pt>
                <c:pt idx="17">
                  <c:v>46631</c:v>
                </c:pt>
                <c:pt idx="18">
                  <c:v>46661</c:v>
                </c:pt>
                <c:pt idx="19">
                  <c:v>46692</c:v>
                </c:pt>
                <c:pt idx="20">
                  <c:v>46722</c:v>
                </c:pt>
                <c:pt idx="21">
                  <c:v>46753</c:v>
                </c:pt>
                <c:pt idx="22">
                  <c:v>46784</c:v>
                </c:pt>
                <c:pt idx="23">
                  <c:v>46813</c:v>
                </c:pt>
              </c:numCache>
            </c:numRef>
          </c:cat>
          <c:val>
            <c:numRef>
              <c:f>Proyecciones!$D$29:$AA$29</c:f>
              <c:numCache>
                <c:formatCode>\€#,##0;[Red]\(\€#,##0\);\-</c:formatCode>
                <c:ptCount val="24"/>
                <c:pt idx="0">
                  <c:v>6540</c:v>
                </c:pt>
                <c:pt idx="1">
                  <c:v>10758</c:v>
                </c:pt>
                <c:pt idx="2">
                  <c:v>13050</c:v>
                </c:pt>
                <c:pt idx="3">
                  <c:v>12080</c:v>
                </c:pt>
                <c:pt idx="4">
                  <c:v>11912</c:v>
                </c:pt>
                <c:pt idx="5">
                  <c:v>16612</c:v>
                </c:pt>
                <c:pt idx="6">
                  <c:v>17582</c:v>
                </c:pt>
                <c:pt idx="7">
                  <c:v>18580</c:v>
                </c:pt>
                <c:pt idx="8">
                  <c:v>20112</c:v>
                </c:pt>
                <c:pt idx="9">
                  <c:v>15934</c:v>
                </c:pt>
                <c:pt idx="10">
                  <c:v>18216</c:v>
                </c:pt>
                <c:pt idx="11">
                  <c:v>20494</c:v>
                </c:pt>
                <c:pt idx="12">
                  <c:v>22613.200000000001</c:v>
                </c:pt>
                <c:pt idx="13">
                  <c:v>23773.020000000004</c:v>
                </c:pt>
                <c:pt idx="14">
                  <c:v>26098.260000000002</c:v>
                </c:pt>
                <c:pt idx="15">
                  <c:v>24443.040000000001</c:v>
                </c:pt>
                <c:pt idx="16">
                  <c:v>24186</c:v>
                </c:pt>
                <c:pt idx="17">
                  <c:v>32220.120000000003</c:v>
                </c:pt>
                <c:pt idx="18">
                  <c:v>34780.620000000003</c:v>
                </c:pt>
                <c:pt idx="19">
                  <c:v>37885.800000000003</c:v>
                </c:pt>
                <c:pt idx="20">
                  <c:v>41844.480000000003</c:v>
                </c:pt>
                <c:pt idx="21">
                  <c:v>32842.620000000003</c:v>
                </c:pt>
                <c:pt idx="22">
                  <c:v>38025.300000000003</c:v>
                </c:pt>
                <c:pt idx="23">
                  <c:v>41553.54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EE-4CD0-8AAE-0E2D56BC9FA2}"/>
            </c:ext>
          </c:extLst>
        </c:ser>
        <c:ser>
          <c:idx val="1"/>
          <c:order val="1"/>
          <c:spPr>
            <a:ln>
              <a:prstDash val="solid"/>
            </a:ln>
          </c:spPr>
          <c:marker>
            <c:symbol val="none"/>
          </c:marker>
          <c:cat>
            <c:numRef>
              <c:f>Proyecciones!$D$5:$AA$5</c:f>
              <c:numCache>
                <c:formatCode>mmm\-yy</c:formatCode>
                <c:ptCount val="24"/>
                <c:pt idx="0">
                  <c:v>46113</c:v>
                </c:pt>
                <c:pt idx="1">
                  <c:v>46143</c:v>
                </c:pt>
                <c:pt idx="2">
                  <c:v>46174</c:v>
                </c:pt>
                <c:pt idx="3">
                  <c:v>46204</c:v>
                </c:pt>
                <c:pt idx="4">
                  <c:v>46235</c:v>
                </c:pt>
                <c:pt idx="5">
                  <c:v>46266</c:v>
                </c:pt>
                <c:pt idx="6">
                  <c:v>46296</c:v>
                </c:pt>
                <c:pt idx="7">
                  <c:v>46327</c:v>
                </c:pt>
                <c:pt idx="8">
                  <c:v>46357</c:v>
                </c:pt>
                <c:pt idx="9">
                  <c:v>46388</c:v>
                </c:pt>
                <c:pt idx="10">
                  <c:v>46419</c:v>
                </c:pt>
                <c:pt idx="11">
                  <c:v>46447</c:v>
                </c:pt>
                <c:pt idx="12">
                  <c:v>46478</c:v>
                </c:pt>
                <c:pt idx="13">
                  <c:v>46508</c:v>
                </c:pt>
                <c:pt idx="14">
                  <c:v>46539</c:v>
                </c:pt>
                <c:pt idx="15">
                  <c:v>46569</c:v>
                </c:pt>
                <c:pt idx="16">
                  <c:v>46600</c:v>
                </c:pt>
                <c:pt idx="17">
                  <c:v>46631</c:v>
                </c:pt>
                <c:pt idx="18">
                  <c:v>46661</c:v>
                </c:pt>
                <c:pt idx="19">
                  <c:v>46692</c:v>
                </c:pt>
                <c:pt idx="20">
                  <c:v>46722</c:v>
                </c:pt>
                <c:pt idx="21">
                  <c:v>46753</c:v>
                </c:pt>
                <c:pt idx="22">
                  <c:v>46784</c:v>
                </c:pt>
                <c:pt idx="23">
                  <c:v>46813</c:v>
                </c:pt>
              </c:numCache>
            </c:numRef>
          </c:cat>
          <c:val>
            <c:numRef>
              <c:f>Proyecciones!$D$54:$AA$54</c:f>
              <c:numCache>
                <c:formatCode>\€#,##0;[Red]\(\€#,##0\);\-</c:formatCode>
                <c:ptCount val="24"/>
                <c:pt idx="0">
                  <c:v>-8555.7999999999993</c:v>
                </c:pt>
                <c:pt idx="1">
                  <c:v>-6499</c:v>
                </c:pt>
                <c:pt idx="2">
                  <c:v>-4836.3999999999996</c:v>
                </c:pt>
                <c:pt idx="3">
                  <c:v>-7527.6</c:v>
                </c:pt>
                <c:pt idx="4">
                  <c:v>-7603.2000000000007</c:v>
                </c:pt>
                <c:pt idx="5">
                  <c:v>-8471.6</c:v>
                </c:pt>
                <c:pt idx="6">
                  <c:v>-10234.400000000001</c:v>
                </c:pt>
                <c:pt idx="7">
                  <c:v>-9626.6</c:v>
                </c:pt>
                <c:pt idx="8">
                  <c:v>-8621</c:v>
                </c:pt>
                <c:pt idx="9">
                  <c:v>-11420</c:v>
                </c:pt>
                <c:pt idx="10">
                  <c:v>-9790.4</c:v>
                </c:pt>
                <c:pt idx="11">
                  <c:v>-8290.4000000000015</c:v>
                </c:pt>
                <c:pt idx="12">
                  <c:v>-7425.1039999999975</c:v>
                </c:pt>
                <c:pt idx="13">
                  <c:v>-6739.7239999999947</c:v>
                </c:pt>
                <c:pt idx="14">
                  <c:v>-5190.0439999999944</c:v>
                </c:pt>
                <c:pt idx="15">
                  <c:v>-6342.844000000001</c:v>
                </c:pt>
                <c:pt idx="16">
                  <c:v>-6458.5120000000024</c:v>
                </c:pt>
                <c:pt idx="17">
                  <c:v>-1250.6519999999982</c:v>
                </c:pt>
                <c:pt idx="18">
                  <c:v>297.63600000000224</c:v>
                </c:pt>
                <c:pt idx="19">
                  <c:v>2346.0000000000036</c:v>
                </c:pt>
                <c:pt idx="20">
                  <c:v>4941.9000000000015</c:v>
                </c:pt>
                <c:pt idx="21">
                  <c:v>-1027.344000000001</c:v>
                </c:pt>
                <c:pt idx="22">
                  <c:v>2572.2360000000008</c:v>
                </c:pt>
                <c:pt idx="23">
                  <c:v>4813.7879999999968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FEE-4CD0-8AAE-0E2D56BC9F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48672768"/>
        <c:crosses val="autoZero"/>
        <c:auto val="1"/>
        <c:lblOffset val="100"/>
        <c:baseTimeUnit val="months"/>
      </c:date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t>€</a:t>
                </a:r>
              </a:p>
            </c:rich>
          </c:tx>
          <c:overlay val="1"/>
        </c:title>
        <c:numFmt formatCode="\€#,##0;[Red]\(\€#,##0\);\-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t>Caja final vs punto de equilibrio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cat>
            <c:numRef>
              <c:f>Proyecciones!$D$5:$AA$5</c:f>
              <c:numCache>
                <c:formatCode>mmm\-yy</c:formatCode>
                <c:ptCount val="24"/>
                <c:pt idx="0">
                  <c:v>46113</c:v>
                </c:pt>
                <c:pt idx="1">
                  <c:v>46143</c:v>
                </c:pt>
                <c:pt idx="2">
                  <c:v>46174</c:v>
                </c:pt>
                <c:pt idx="3">
                  <c:v>46204</c:v>
                </c:pt>
                <c:pt idx="4">
                  <c:v>46235</c:v>
                </c:pt>
                <c:pt idx="5">
                  <c:v>46266</c:v>
                </c:pt>
                <c:pt idx="6">
                  <c:v>46296</c:v>
                </c:pt>
                <c:pt idx="7">
                  <c:v>46327</c:v>
                </c:pt>
                <c:pt idx="8">
                  <c:v>46357</c:v>
                </c:pt>
                <c:pt idx="9">
                  <c:v>46388</c:v>
                </c:pt>
                <c:pt idx="10">
                  <c:v>46419</c:v>
                </c:pt>
                <c:pt idx="11">
                  <c:v>46447</c:v>
                </c:pt>
                <c:pt idx="12">
                  <c:v>46478</c:v>
                </c:pt>
                <c:pt idx="13">
                  <c:v>46508</c:v>
                </c:pt>
                <c:pt idx="14">
                  <c:v>46539</c:v>
                </c:pt>
                <c:pt idx="15">
                  <c:v>46569</c:v>
                </c:pt>
                <c:pt idx="16">
                  <c:v>46600</c:v>
                </c:pt>
                <c:pt idx="17">
                  <c:v>46631</c:v>
                </c:pt>
                <c:pt idx="18">
                  <c:v>46661</c:v>
                </c:pt>
                <c:pt idx="19">
                  <c:v>46692</c:v>
                </c:pt>
                <c:pt idx="20">
                  <c:v>46722</c:v>
                </c:pt>
                <c:pt idx="21">
                  <c:v>46753</c:v>
                </c:pt>
                <c:pt idx="22">
                  <c:v>46784</c:v>
                </c:pt>
                <c:pt idx="23">
                  <c:v>46813</c:v>
                </c:pt>
              </c:numCache>
            </c:numRef>
          </c:cat>
          <c:val>
            <c:numRef>
              <c:f>Proyecciones!$D$78:$AA$78</c:f>
              <c:numCache>
                <c:formatCode>\€#,##0;[Red]\(\€#,##0\);\-</c:formatCode>
                <c:ptCount val="24"/>
                <c:pt idx="0">
                  <c:v>24661</c:v>
                </c:pt>
                <c:pt idx="1">
                  <c:v>8833.2725783657024</c:v>
                </c:pt>
                <c:pt idx="2">
                  <c:v>1562.3451567314041</c:v>
                </c:pt>
                <c:pt idx="3">
                  <c:v>-6141.9822649028938</c:v>
                </c:pt>
                <c:pt idx="4">
                  <c:v>-14441.509686537192</c:v>
                </c:pt>
                <c:pt idx="5">
                  <c:v>-26877.63710817149</c:v>
                </c:pt>
                <c:pt idx="6">
                  <c:v>-38479.164529805785</c:v>
                </c:pt>
                <c:pt idx="7">
                  <c:v>-49485.491951440083</c:v>
                </c:pt>
                <c:pt idx="8">
                  <c:v>-59884.019373074378</c:v>
                </c:pt>
                <c:pt idx="9">
                  <c:v>-69276.946794708681</c:v>
                </c:pt>
                <c:pt idx="10">
                  <c:v>-81468.874216342985</c:v>
                </c:pt>
                <c:pt idx="11">
                  <c:v>-92031.201637977283</c:v>
                </c:pt>
                <c:pt idx="12">
                  <c:v>-101602.08905961158</c:v>
                </c:pt>
                <c:pt idx="13">
                  <c:v>-109799.12048124587</c:v>
                </c:pt>
                <c:pt idx="14">
                  <c:v>-117310.77190288017</c:v>
                </c:pt>
                <c:pt idx="15">
                  <c:v>-123356.58332451446</c:v>
                </c:pt>
                <c:pt idx="16">
                  <c:v>-130471.35474614876</c:v>
                </c:pt>
                <c:pt idx="17">
                  <c:v>-137864.23416778306</c:v>
                </c:pt>
                <c:pt idx="18">
                  <c:v>-139981.13358941735</c:v>
                </c:pt>
                <c:pt idx="19">
                  <c:v>-140824.82579767803</c:v>
                </c:pt>
                <c:pt idx="20">
                  <c:v>-140270.14283523947</c:v>
                </c:pt>
                <c:pt idx="21">
                  <c:v>-136100.17025687377</c:v>
                </c:pt>
                <c:pt idx="22">
                  <c:v>-138328.46072954786</c:v>
                </c:pt>
                <c:pt idx="23">
                  <c:v>-137518.59087723179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B5-4BF3-A393-7475416D5BE3}"/>
            </c:ext>
          </c:extLst>
        </c:ser>
        <c:ser>
          <c:idx val="1"/>
          <c:order val="1"/>
          <c:spPr>
            <a:ln>
              <a:prstDash val="solid"/>
            </a:ln>
          </c:spPr>
          <c:marker>
            <c:symbol val="none"/>
          </c:marker>
          <c:cat>
            <c:numRef>
              <c:f>Proyecciones!$D$5:$AA$5</c:f>
              <c:numCache>
                <c:formatCode>mmm\-yy</c:formatCode>
                <c:ptCount val="24"/>
                <c:pt idx="0">
                  <c:v>46113</c:v>
                </c:pt>
                <c:pt idx="1">
                  <c:v>46143</c:v>
                </c:pt>
                <c:pt idx="2">
                  <c:v>46174</c:v>
                </c:pt>
                <c:pt idx="3">
                  <c:v>46204</c:v>
                </c:pt>
                <c:pt idx="4">
                  <c:v>46235</c:v>
                </c:pt>
                <c:pt idx="5">
                  <c:v>46266</c:v>
                </c:pt>
                <c:pt idx="6">
                  <c:v>46296</c:v>
                </c:pt>
                <c:pt idx="7">
                  <c:v>46327</c:v>
                </c:pt>
                <c:pt idx="8">
                  <c:v>46357</c:v>
                </c:pt>
                <c:pt idx="9">
                  <c:v>46388</c:v>
                </c:pt>
                <c:pt idx="10">
                  <c:v>46419</c:v>
                </c:pt>
                <c:pt idx="11">
                  <c:v>46447</c:v>
                </c:pt>
                <c:pt idx="12">
                  <c:v>46478</c:v>
                </c:pt>
                <c:pt idx="13">
                  <c:v>46508</c:v>
                </c:pt>
                <c:pt idx="14">
                  <c:v>46539</c:v>
                </c:pt>
                <c:pt idx="15">
                  <c:v>46569</c:v>
                </c:pt>
                <c:pt idx="16">
                  <c:v>46600</c:v>
                </c:pt>
                <c:pt idx="17">
                  <c:v>46631</c:v>
                </c:pt>
                <c:pt idx="18">
                  <c:v>46661</c:v>
                </c:pt>
                <c:pt idx="19">
                  <c:v>46692</c:v>
                </c:pt>
                <c:pt idx="20">
                  <c:v>46722</c:v>
                </c:pt>
                <c:pt idx="21">
                  <c:v>46753</c:v>
                </c:pt>
                <c:pt idx="22">
                  <c:v>46784</c:v>
                </c:pt>
                <c:pt idx="23">
                  <c:v>46813</c:v>
                </c:pt>
              </c:numCache>
            </c:numRef>
          </c:cat>
          <c:val>
            <c:numRef>
              <c:f>Proyecciones!$D$84:$AA$84</c:f>
              <c:numCache>
                <c:formatCode>\€#,##0;[Red]\(\€#,##0\);\-</c:formatCode>
                <c:ptCount val="24"/>
                <c:pt idx="0">
                  <c:v>18437.617076434188</c:v>
                </c:pt>
                <c:pt idx="1">
                  <c:v>21209.040497076025</c:v>
                </c:pt>
                <c:pt idx="2">
                  <c:v>20691.248981197292</c:v>
                </c:pt>
                <c:pt idx="3">
                  <c:v>23791.381715907733</c:v>
                </c:pt>
                <c:pt idx="4">
                  <c:v>23681.351448171325</c:v>
                </c:pt>
                <c:pt idx="5">
                  <c:v>29574.881279312776</c:v>
                </c:pt>
                <c:pt idx="6">
                  <c:v>33260.717728104675</c:v>
                </c:pt>
                <c:pt idx="7">
                  <c:v>33395.79717475277</c:v>
                </c:pt>
                <c:pt idx="8">
                  <c:v>33396.613652347201</c:v>
                </c:pt>
                <c:pt idx="9">
                  <c:v>33550.907832709236</c:v>
                </c:pt>
                <c:pt idx="10">
                  <c:v>33168.875153803958</c:v>
                </c:pt>
                <c:pt idx="11">
                  <c:v>33184.12093985681</c:v>
                </c:pt>
                <c:pt idx="12">
                  <c:v>34011.906901712151</c:v>
                </c:pt>
                <c:pt idx="13">
                  <c:v>34181.790596190818</c:v>
                </c:pt>
                <c:pt idx="14">
                  <c:v>34132.82462541297</c:v>
                </c:pt>
                <c:pt idx="15">
                  <c:v>34211.360132623158</c:v>
                </c:pt>
                <c:pt idx="16">
                  <c:v>34090.511055812698</c:v>
                </c:pt>
                <c:pt idx="17">
                  <c:v>34234.685562212195</c:v>
                </c:pt>
                <c:pt idx="18">
                  <c:v>34452.674276017577</c:v>
                </c:pt>
                <c:pt idx="19">
                  <c:v>34453.624937527631</c:v>
                </c:pt>
                <c:pt idx="20">
                  <c:v>34474.259295704724</c:v>
                </c:pt>
                <c:pt idx="21">
                  <c:v>34503.158987803654</c:v>
                </c:pt>
                <c:pt idx="22">
                  <c:v>34252.552978113046</c:v>
                </c:pt>
                <c:pt idx="23">
                  <c:v>34375.364085221627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B5-4BF3-A393-7475416D5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48672768"/>
        <c:crosses val="autoZero"/>
        <c:auto val="1"/>
        <c:lblOffset val="100"/>
        <c:baseTimeUnit val="months"/>
      </c:date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t>€</a:t>
                </a:r>
              </a:p>
            </c:rich>
          </c:tx>
          <c:overlay val="1"/>
        </c:title>
        <c:numFmt formatCode="\€#,##0;[Red]\(\€#,##0\);\-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r>
              <a:t>Resumen anual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Dashboard!$C$16</c:f>
              <c:strCache>
                <c:ptCount val="1"/>
                <c:pt idx="0">
                  <c:v>Año 1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Dashboard!$B$17:$B$22</c:f>
              <c:strCache>
                <c:ptCount val="6"/>
                <c:pt idx="0">
                  <c:v>Ingresos</c:v>
                </c:pt>
                <c:pt idx="1">
                  <c:v>Margen bruto</c:v>
                </c:pt>
                <c:pt idx="2">
                  <c:v>EBITDA</c:v>
                </c:pt>
                <c:pt idx="3">
                  <c:v>Beneficio neto</c:v>
                </c:pt>
                <c:pt idx="4">
                  <c:v>Caja final</c:v>
                </c:pt>
                <c:pt idx="5">
                  <c:v>Deuda final</c:v>
                </c:pt>
              </c:strCache>
            </c:strRef>
          </c:cat>
          <c:val>
            <c:numRef>
              <c:f>Dashboard!$C$17:$C$22</c:f>
              <c:numCache>
                <c:formatCode>\€#,##0;[Red]\(\€#,##0\);\-</c:formatCode>
                <c:ptCount val="6"/>
                <c:pt idx="0">
                  <c:v>181870</c:v>
                </c:pt>
                <c:pt idx="1">
                  <c:v>120030.6</c:v>
                </c:pt>
                <c:pt idx="2">
                  <c:v>-101476.4</c:v>
                </c:pt>
                <c:pt idx="3">
                  <c:v>-112341.41598545674</c:v>
                </c:pt>
                <c:pt idx="4">
                  <c:v>-92031.201637977283</c:v>
                </c:pt>
                <c:pt idx="5">
                  <c:v>17908.536569701682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0D-4514-824F-CE4C94D0FDE3}"/>
            </c:ext>
          </c:extLst>
        </c:ser>
        <c:ser>
          <c:idx val="1"/>
          <c:order val="1"/>
          <c:tx>
            <c:strRef>
              <c:f>Dashboard!$D$16</c:f>
              <c:strCache>
                <c:ptCount val="1"/>
                <c:pt idx="0">
                  <c:v>Año 2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Dashboard!$B$17:$B$22</c:f>
              <c:strCache>
                <c:ptCount val="6"/>
                <c:pt idx="0">
                  <c:v>Ingresos</c:v>
                </c:pt>
                <c:pt idx="1">
                  <c:v>Margen bruto</c:v>
                </c:pt>
                <c:pt idx="2">
                  <c:v>EBITDA</c:v>
                </c:pt>
                <c:pt idx="3">
                  <c:v>Beneficio neto</c:v>
                </c:pt>
                <c:pt idx="4">
                  <c:v>Caja final</c:v>
                </c:pt>
                <c:pt idx="5">
                  <c:v>Deuda final</c:v>
                </c:pt>
              </c:strCache>
            </c:strRef>
          </c:cat>
          <c:val>
            <c:numRef>
              <c:f>Dashboard!$D$17:$D$22</c:f>
              <c:numCache>
                <c:formatCode>\€#,##0;[Red]\(\€#,##0\);\-</c:formatCode>
                <c:ptCount val="6"/>
                <c:pt idx="0">
                  <c:v>380265.99999999994</c:v>
                </c:pt>
                <c:pt idx="1">
                  <c:v>251345.61600000001</c:v>
                </c:pt>
                <c:pt idx="2">
                  <c:v>-19462.66399999999</c:v>
                </c:pt>
                <c:pt idx="3">
                  <c:v>-32762.474385879868</c:v>
                </c:pt>
                <c:pt idx="4">
                  <c:v>-137518.59087723179</c:v>
                </c:pt>
                <c:pt idx="5">
                  <c:v>9636.9697163270212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0D-4514-824F-CE4C94D0F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\€#,##0;[Red]\(\€#,##0\);\-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304800</xdr:colOff>
      <xdr:row>31</xdr:row>
      <xdr:rowOff>180975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D45C1F69-21DA-1C9F-1F97-4C700D3B4757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114300</xdr:colOff>
      <xdr:row>49</xdr:row>
      <xdr:rowOff>47625</xdr:rowOff>
    </xdr:to>
    <xdr:sp macro="" textlink="">
      <xdr:nvSpPr>
        <xdr:cNvPr id="2050" name="Text Box 2" hidden="1">
          <a:extLst>
            <a:ext uri="{FF2B5EF4-FFF2-40B4-BE49-F238E27FC236}">
              <a16:creationId xmlns:a16="http://schemas.microsoft.com/office/drawing/2014/main" id="{ADA38FC2-3D8C-498F-1793-EDE9780A0D2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10</xdr:row>
      <xdr:rowOff>0</xdr:rowOff>
    </xdr:from>
    <xdr:to>
      <xdr:col>5</xdr:col>
      <xdr:colOff>0</xdr:colOff>
      <xdr:row>16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11</xdr:col>
      <xdr:colOff>0</xdr:colOff>
      <xdr:row>16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5</xdr:col>
      <xdr:colOff>0</xdr:colOff>
      <xdr:row>32</xdr:row>
      <xdr:rowOff>0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8"/>
  <sheetViews>
    <sheetView showGridLines="0" tabSelected="1" workbookViewId="0">
      <selection activeCell="M26" sqref="M26"/>
    </sheetView>
  </sheetViews>
  <sheetFormatPr baseColWidth="10" defaultColWidth="9.140625" defaultRowHeight="15" x14ac:dyDescent="0.25"/>
  <cols>
    <col min="1" max="1" width="3.140625" customWidth="1"/>
    <col min="2" max="2" width="35.5703125" bestFit="1" customWidth="1"/>
    <col min="3" max="3" width="46" bestFit="1" customWidth="1"/>
    <col min="4" max="4" width="22.5703125" customWidth="1"/>
    <col min="5" max="5" width="54.28515625" customWidth="1"/>
    <col min="6" max="6" width="18" customWidth="1"/>
    <col min="7" max="8" width="10" customWidth="1"/>
  </cols>
  <sheetData>
    <row r="2" spans="2:8" x14ac:dyDescent="0.25">
      <c r="B2" s="55" t="s">
        <v>232</v>
      </c>
      <c r="C2" s="56"/>
      <c r="D2" s="56"/>
      <c r="E2" s="56"/>
      <c r="F2" s="56"/>
      <c r="G2" s="56"/>
      <c r="H2" s="56"/>
    </row>
    <row r="3" spans="2:8" x14ac:dyDescent="0.25">
      <c r="B3" s="56"/>
      <c r="C3" s="56"/>
      <c r="D3" s="56"/>
      <c r="E3" s="56"/>
      <c r="F3" s="56"/>
      <c r="G3" s="56"/>
      <c r="H3" s="56"/>
    </row>
    <row r="5" spans="2:8" ht="26.1" customHeight="1" x14ac:dyDescent="0.3">
      <c r="B5" s="1" t="s">
        <v>0</v>
      </c>
      <c r="C5" s="4" t="s">
        <v>1</v>
      </c>
      <c r="D5" s="2"/>
      <c r="E5" s="1" t="s">
        <v>2</v>
      </c>
    </row>
    <row r="6" spans="2:8" ht="26.1" customHeight="1" x14ac:dyDescent="0.25">
      <c r="B6" s="3" t="s">
        <v>3</v>
      </c>
      <c r="C6" s="4" t="s">
        <v>4</v>
      </c>
      <c r="E6" s="5" t="s">
        <v>5</v>
      </c>
    </row>
    <row r="7" spans="2:8" ht="26.1" customHeight="1" x14ac:dyDescent="0.25">
      <c r="B7" s="3" t="s">
        <v>6</v>
      </c>
      <c r="C7" s="4" t="s">
        <v>7</v>
      </c>
      <c r="E7" s="5" t="s">
        <v>8</v>
      </c>
    </row>
    <row r="8" spans="2:8" ht="26.1" customHeight="1" x14ac:dyDescent="0.25">
      <c r="B8" s="3" t="s">
        <v>9</v>
      </c>
      <c r="C8" s="4" t="s">
        <v>10</v>
      </c>
      <c r="E8" s="5" t="s">
        <v>11</v>
      </c>
    </row>
    <row r="9" spans="2:8" ht="26.1" customHeight="1" x14ac:dyDescent="0.25">
      <c r="B9" s="3" t="s">
        <v>12</v>
      </c>
      <c r="C9" s="6">
        <v>46113</v>
      </c>
      <c r="E9" s="5" t="s">
        <v>13</v>
      </c>
    </row>
    <row r="10" spans="2:8" ht="26.1" customHeight="1" x14ac:dyDescent="0.3">
      <c r="B10" s="3" t="s">
        <v>14</v>
      </c>
      <c r="C10" s="7">
        <v>15000</v>
      </c>
      <c r="E10" s="1" t="s">
        <v>15</v>
      </c>
    </row>
    <row r="11" spans="2:8" ht="26.1" customHeight="1" x14ac:dyDescent="0.25">
      <c r="B11" s="3" t="s">
        <v>16</v>
      </c>
      <c r="C11" s="4" t="s">
        <v>17</v>
      </c>
      <c r="E11" s="8" t="s">
        <v>18</v>
      </c>
    </row>
    <row r="12" spans="2:8" x14ac:dyDescent="0.25">
      <c r="E12" s="8" t="s">
        <v>19</v>
      </c>
    </row>
    <row r="13" spans="2:8" x14ac:dyDescent="0.25">
      <c r="E13" s="8" t="s">
        <v>20</v>
      </c>
    </row>
    <row r="14" spans="2:8" ht="17.25" x14ac:dyDescent="0.3">
      <c r="B14" s="54" t="s">
        <v>21</v>
      </c>
      <c r="C14" s="54"/>
      <c r="E14" s="8" t="s">
        <v>22</v>
      </c>
    </row>
    <row r="15" spans="2:8" x14ac:dyDescent="0.25">
      <c r="B15" s="9" t="s">
        <v>23</v>
      </c>
      <c r="C15" s="10">
        <f>Dashboard!C6</f>
        <v>181870</v>
      </c>
    </row>
    <row r="16" spans="2:8" x14ac:dyDescent="0.25">
      <c r="B16" s="9" t="s">
        <v>24</v>
      </c>
      <c r="C16" s="10">
        <f>Dashboard!I6</f>
        <v>-19462.66399999999</v>
      </c>
    </row>
    <row r="17" spans="2:5" x14ac:dyDescent="0.25">
      <c r="B17" s="9" t="s">
        <v>25</v>
      </c>
      <c r="C17" s="10">
        <f>Dashboard!C10</f>
        <v>-137518.59087723179</v>
      </c>
    </row>
    <row r="18" spans="2:5" x14ac:dyDescent="0.25">
      <c r="B18" s="9" t="s">
        <v>26</v>
      </c>
      <c r="C18" s="10">
        <f>Dashboard!I10</f>
        <v>34375.364085221627</v>
      </c>
    </row>
    <row r="21" spans="2:5" ht="30" x14ac:dyDescent="0.25">
      <c r="B21" s="50" t="s">
        <v>27</v>
      </c>
      <c r="C21" s="49" t="s">
        <v>28</v>
      </c>
      <c r="D21" s="49"/>
      <c r="E21" s="49"/>
    </row>
    <row r="22" spans="2:5" x14ac:dyDescent="0.25">
      <c r="B22" s="49"/>
      <c r="C22" s="49"/>
      <c r="D22" s="49"/>
      <c r="E22" s="49"/>
    </row>
    <row r="23" spans="2:5" x14ac:dyDescent="0.25">
      <c r="B23" s="49"/>
      <c r="C23" s="49"/>
      <c r="D23" s="49"/>
      <c r="E23" s="49"/>
    </row>
    <row r="24" spans="2:5" x14ac:dyDescent="0.25">
      <c r="B24" s="49"/>
      <c r="C24" s="49"/>
      <c r="D24" s="49"/>
      <c r="E24" s="49"/>
    </row>
    <row r="25" spans="2:5" ht="44.1" customHeight="1" x14ac:dyDescent="0.25">
      <c r="B25" s="49"/>
      <c r="C25" s="49"/>
      <c r="D25" s="49"/>
      <c r="E25" s="49"/>
    </row>
    <row r="26" spans="2:5" ht="44.1" customHeight="1" x14ac:dyDescent="0.25">
      <c r="B26" s="49"/>
      <c r="C26" s="49"/>
      <c r="D26" s="49"/>
      <c r="E26" s="49"/>
    </row>
    <row r="27" spans="2:5" ht="24" customHeight="1" x14ac:dyDescent="0.25">
      <c r="B27" s="49"/>
      <c r="C27" s="49"/>
      <c r="D27" s="49"/>
      <c r="E27" s="49"/>
    </row>
    <row r="28" spans="2:5" ht="50.1" customHeight="1" x14ac:dyDescent="0.25">
      <c r="D28" s="49"/>
      <c r="E28" s="49"/>
    </row>
  </sheetData>
  <mergeCells count="2">
    <mergeCell ref="B2:H3"/>
    <mergeCell ref="B14:C14"/>
  </mergeCells>
  <dataValidations count="1">
    <dataValidation type="list" sqref="C8" xr:uid="{00000000-0002-0000-0000-000000000000}">
      <formula1>"Conservador,Base,Ambicioso"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M30"/>
  <sheetViews>
    <sheetView showGridLines="0" workbookViewId="0"/>
  </sheetViews>
  <sheetFormatPr baseColWidth="10" defaultColWidth="9.140625" defaultRowHeight="15" x14ac:dyDescent="0.25"/>
  <cols>
    <col min="2" max="2" width="26" customWidth="1"/>
    <col min="3" max="3" width="44" customWidth="1"/>
    <col min="4" max="5" width="14" customWidth="1"/>
    <col min="6" max="6" width="22" customWidth="1"/>
    <col min="7" max="7" width="14" customWidth="1"/>
    <col min="8" max="8" width="4" customWidth="1"/>
    <col min="9" max="9" width="14" customWidth="1"/>
    <col min="10" max="10" width="30" customWidth="1"/>
    <col min="11" max="12" width="10" customWidth="1"/>
    <col min="13" max="13" width="12" customWidth="1"/>
  </cols>
  <sheetData>
    <row r="2" spans="2:13" x14ac:dyDescent="0.25">
      <c r="B2" s="52" t="s">
        <v>29</v>
      </c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2:13" x14ac:dyDescent="0.25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5" spans="2:13" ht="17.25" x14ac:dyDescent="0.3">
      <c r="B5" s="1" t="s">
        <v>30</v>
      </c>
      <c r="F5" s="1" t="s">
        <v>31</v>
      </c>
    </row>
    <row r="6" spans="2:13" ht="33.950000000000003" customHeight="1" x14ac:dyDescent="0.25">
      <c r="B6" s="3" t="s">
        <v>32</v>
      </c>
      <c r="C6" s="11" t="s">
        <v>33</v>
      </c>
      <c r="F6" s="3" t="s">
        <v>34</v>
      </c>
      <c r="G6" s="12">
        <v>1600</v>
      </c>
      <c r="I6" s="3" t="s">
        <v>35</v>
      </c>
      <c r="J6" s="13">
        <f>G6*G9*12</f>
        <v>18816000</v>
      </c>
    </row>
    <row r="7" spans="2:13" ht="33.950000000000003" customHeight="1" x14ac:dyDescent="0.25">
      <c r="B7" s="3" t="s">
        <v>36</v>
      </c>
      <c r="C7" s="11" t="s">
        <v>37</v>
      </c>
      <c r="F7" s="3" t="s">
        <v>38</v>
      </c>
      <c r="G7" s="12">
        <v>420</v>
      </c>
      <c r="I7" s="3" t="s">
        <v>39</v>
      </c>
      <c r="J7" s="13">
        <f>G7*G9*12</f>
        <v>4939200</v>
      </c>
    </row>
    <row r="8" spans="2:13" ht="33.950000000000003" customHeight="1" x14ac:dyDescent="0.25">
      <c r="B8" s="3" t="s">
        <v>40</v>
      </c>
      <c r="C8" s="11" t="s">
        <v>41</v>
      </c>
      <c r="F8" s="3" t="s">
        <v>42</v>
      </c>
      <c r="G8" s="12">
        <v>48</v>
      </c>
      <c r="I8" s="3" t="s">
        <v>43</v>
      </c>
      <c r="J8" s="13">
        <f>G8*G9*12</f>
        <v>564480</v>
      </c>
    </row>
    <row r="9" spans="2:13" ht="33.950000000000003" customHeight="1" x14ac:dyDescent="0.25">
      <c r="B9" s="3" t="s">
        <v>44</v>
      </c>
      <c r="C9" s="11" t="s">
        <v>45</v>
      </c>
      <c r="F9" s="3" t="s">
        <v>46</v>
      </c>
      <c r="G9" s="7">
        <v>980</v>
      </c>
    </row>
    <row r="10" spans="2:13" ht="33.950000000000003" customHeight="1" x14ac:dyDescent="0.25">
      <c r="B10" s="3" t="s">
        <v>47</v>
      </c>
      <c r="C10" s="11" t="s">
        <v>48</v>
      </c>
    </row>
    <row r="13" spans="2:13" ht="17.25" x14ac:dyDescent="0.3">
      <c r="B13" s="1" t="s">
        <v>49</v>
      </c>
      <c r="I13" s="1" t="s">
        <v>50</v>
      </c>
    </row>
    <row r="14" spans="2:13" x14ac:dyDescent="0.25">
      <c r="B14" s="14" t="s">
        <v>51</v>
      </c>
      <c r="C14" s="14" t="s">
        <v>52</v>
      </c>
      <c r="D14" s="14" t="s">
        <v>53</v>
      </c>
      <c r="E14" s="14" t="s">
        <v>54</v>
      </c>
      <c r="F14" s="14" t="s">
        <v>55</v>
      </c>
      <c r="G14" s="14" t="s">
        <v>56</v>
      </c>
      <c r="I14" s="14" t="s">
        <v>57</v>
      </c>
      <c r="J14" s="14" t="s">
        <v>58</v>
      </c>
      <c r="K14" s="14" t="s">
        <v>59</v>
      </c>
      <c r="L14" s="14" t="s">
        <v>60</v>
      </c>
      <c r="M14" s="14" t="s">
        <v>61</v>
      </c>
    </row>
    <row r="15" spans="2:13" ht="27.95" customHeight="1" x14ac:dyDescent="0.25">
      <c r="B15" s="15" t="s">
        <v>62</v>
      </c>
      <c r="C15" s="16">
        <v>0.15</v>
      </c>
      <c r="D15" s="17">
        <v>5</v>
      </c>
      <c r="E15" s="17">
        <v>3</v>
      </c>
      <c r="F15" s="17">
        <v>4</v>
      </c>
      <c r="G15" s="17">
        <v>4</v>
      </c>
      <c r="I15" s="18" t="s">
        <v>63</v>
      </c>
      <c r="J15" s="11" t="s">
        <v>64</v>
      </c>
      <c r="K15" s="19">
        <v>5</v>
      </c>
      <c r="L15" s="19">
        <v>4</v>
      </c>
      <c r="M15" s="19">
        <f t="shared" ref="M15:M22" si="0">K15*L15</f>
        <v>20</v>
      </c>
    </row>
    <row r="16" spans="2:13" ht="27.95" customHeight="1" x14ac:dyDescent="0.25">
      <c r="B16" s="15" t="s">
        <v>65</v>
      </c>
      <c r="C16" s="16">
        <v>0.2</v>
      </c>
      <c r="D16" s="17">
        <v>4</v>
      </c>
      <c r="E16" s="17">
        <v>3</v>
      </c>
      <c r="F16" s="17">
        <v>5</v>
      </c>
      <c r="G16" s="17">
        <v>3</v>
      </c>
      <c r="I16" s="18" t="s">
        <v>63</v>
      </c>
      <c r="J16" s="11" t="s">
        <v>66</v>
      </c>
      <c r="K16" s="19">
        <v>4</v>
      </c>
      <c r="L16" s="19">
        <v>4</v>
      </c>
      <c r="M16" s="19">
        <f t="shared" si="0"/>
        <v>16</v>
      </c>
    </row>
    <row r="17" spans="2:13" ht="27.95" customHeight="1" x14ac:dyDescent="0.25">
      <c r="B17" s="15" t="s">
        <v>67</v>
      </c>
      <c r="C17" s="16">
        <v>0.15</v>
      </c>
      <c r="D17" s="17">
        <v>5</v>
      </c>
      <c r="E17" s="17">
        <v>2</v>
      </c>
      <c r="F17" s="17">
        <v>3</v>
      </c>
      <c r="G17" s="17">
        <v>4</v>
      </c>
      <c r="I17" s="18" t="s">
        <v>68</v>
      </c>
      <c r="J17" s="11" t="s">
        <v>69</v>
      </c>
      <c r="K17" s="19">
        <v>4</v>
      </c>
      <c r="L17" s="19">
        <v>3</v>
      </c>
      <c r="M17" s="19">
        <f t="shared" si="0"/>
        <v>12</v>
      </c>
    </row>
    <row r="18" spans="2:13" ht="27.95" customHeight="1" x14ac:dyDescent="0.25">
      <c r="B18" s="15" t="s">
        <v>70</v>
      </c>
      <c r="C18" s="16">
        <v>0.25</v>
      </c>
      <c r="D18" s="17">
        <v>4</v>
      </c>
      <c r="E18" s="17">
        <v>4</v>
      </c>
      <c r="F18" s="17">
        <v>5</v>
      </c>
      <c r="G18" s="17">
        <v>3</v>
      </c>
      <c r="I18" s="18" t="s">
        <v>68</v>
      </c>
      <c r="J18" s="11" t="s">
        <v>71</v>
      </c>
      <c r="K18" s="19">
        <v>3</v>
      </c>
      <c r="L18" s="19">
        <v>4</v>
      </c>
      <c r="M18" s="19">
        <f t="shared" si="0"/>
        <v>12</v>
      </c>
    </row>
    <row r="19" spans="2:13" ht="27.95" customHeight="1" x14ac:dyDescent="0.25">
      <c r="B19" s="15" t="s">
        <v>72</v>
      </c>
      <c r="C19" s="16">
        <v>0.1</v>
      </c>
      <c r="D19" s="17">
        <v>4</v>
      </c>
      <c r="E19" s="17">
        <v>3</v>
      </c>
      <c r="F19" s="17">
        <v>2</v>
      </c>
      <c r="G19" s="17">
        <v>5</v>
      </c>
      <c r="I19" s="18" t="s">
        <v>73</v>
      </c>
      <c r="J19" s="11" t="s">
        <v>74</v>
      </c>
      <c r="K19" s="19">
        <v>5</v>
      </c>
      <c r="L19" s="19">
        <v>5</v>
      </c>
      <c r="M19" s="19">
        <f t="shared" si="0"/>
        <v>25</v>
      </c>
    </row>
    <row r="20" spans="2:13" ht="27.95" customHeight="1" x14ac:dyDescent="0.25">
      <c r="B20" s="15" t="s">
        <v>75</v>
      </c>
      <c r="C20" s="16">
        <v>0.15</v>
      </c>
      <c r="D20" s="17">
        <v>5</v>
      </c>
      <c r="E20" s="17">
        <v>3</v>
      </c>
      <c r="F20" s="17">
        <v>3</v>
      </c>
      <c r="G20" s="17">
        <v>4</v>
      </c>
      <c r="I20" s="18" t="s">
        <v>73</v>
      </c>
      <c r="J20" s="11" t="s">
        <v>76</v>
      </c>
      <c r="K20" s="19">
        <v>4</v>
      </c>
      <c r="L20" s="19">
        <v>3</v>
      </c>
      <c r="M20" s="19">
        <f t="shared" si="0"/>
        <v>12</v>
      </c>
    </row>
    <row r="21" spans="2:13" ht="27.95" customHeight="1" x14ac:dyDescent="0.25">
      <c r="B21" s="3" t="s">
        <v>77</v>
      </c>
      <c r="D21" s="20">
        <f>SUMPRODUCT($C$15:$C$20,D$15:D$20)</f>
        <v>4.4499999999999993</v>
      </c>
      <c r="E21" s="21">
        <f>SUMPRODUCT($C$15:$C$20,E$15:E$20)</f>
        <v>3.1000000000000005</v>
      </c>
      <c r="F21" s="21">
        <f>SUMPRODUCT($C$15:$C$20,F$15:F$20)</f>
        <v>3.95</v>
      </c>
      <c r="G21" s="21">
        <f>SUMPRODUCT($C$15:$C$20,G$15:G$20)</f>
        <v>3.6500000000000004</v>
      </c>
      <c r="I21" s="18" t="s">
        <v>78</v>
      </c>
      <c r="J21" s="11" t="s">
        <v>79</v>
      </c>
      <c r="K21" s="19">
        <v>4</v>
      </c>
      <c r="L21" s="19">
        <v>3</v>
      </c>
      <c r="M21" s="19">
        <f t="shared" si="0"/>
        <v>12</v>
      </c>
    </row>
    <row r="22" spans="2:13" ht="27.95" customHeight="1" x14ac:dyDescent="0.25">
      <c r="I22" s="18" t="s">
        <v>78</v>
      </c>
      <c r="J22" s="11" t="s">
        <v>80</v>
      </c>
      <c r="K22" s="19">
        <v>3</v>
      </c>
      <c r="L22" s="19">
        <v>4</v>
      </c>
      <c r="M22" s="19">
        <f t="shared" si="0"/>
        <v>12</v>
      </c>
    </row>
    <row r="24" spans="2:13" ht="17.25" x14ac:dyDescent="0.3">
      <c r="B24" s="1" t="s">
        <v>81</v>
      </c>
    </row>
    <row r="25" spans="2:13" x14ac:dyDescent="0.25">
      <c r="B25" s="14" t="s">
        <v>82</v>
      </c>
      <c r="C25" s="14" t="s">
        <v>83</v>
      </c>
      <c r="D25" s="14" t="s">
        <v>84</v>
      </c>
      <c r="E25" s="14" t="s">
        <v>85</v>
      </c>
      <c r="F25" s="14" t="s">
        <v>86</v>
      </c>
    </row>
    <row r="26" spans="2:13" ht="24" customHeight="1" x14ac:dyDescent="0.25">
      <c r="B26" s="11" t="s">
        <v>87</v>
      </c>
      <c r="C26" s="18" t="s">
        <v>88</v>
      </c>
      <c r="D26" s="22">
        <v>46174</v>
      </c>
      <c r="E26" s="23" t="s">
        <v>89</v>
      </c>
      <c r="F26" s="16">
        <v>0.7</v>
      </c>
    </row>
    <row r="27" spans="2:13" ht="24" customHeight="1" x14ac:dyDescent="0.25">
      <c r="B27" s="11" t="s">
        <v>90</v>
      </c>
      <c r="C27" s="18" t="s">
        <v>91</v>
      </c>
      <c r="D27" s="22">
        <v>46266</v>
      </c>
      <c r="E27" s="23" t="s">
        <v>92</v>
      </c>
      <c r="F27" s="16">
        <v>0.25</v>
      </c>
    </row>
    <row r="28" spans="2:13" ht="24" customHeight="1" x14ac:dyDescent="0.25">
      <c r="B28" s="11" t="s">
        <v>93</v>
      </c>
      <c r="C28" s="18" t="s">
        <v>94</v>
      </c>
      <c r="D28" s="22">
        <v>46388</v>
      </c>
      <c r="E28" s="23" t="s">
        <v>92</v>
      </c>
      <c r="F28" s="16">
        <v>0.1</v>
      </c>
    </row>
    <row r="29" spans="2:13" ht="24" customHeight="1" x14ac:dyDescent="0.25">
      <c r="B29" s="11" t="s">
        <v>95</v>
      </c>
      <c r="C29" s="18" t="s">
        <v>96</v>
      </c>
      <c r="D29" s="22">
        <v>46419</v>
      </c>
      <c r="E29" s="23" t="s">
        <v>97</v>
      </c>
      <c r="F29" s="16">
        <v>0</v>
      </c>
    </row>
    <row r="30" spans="2:13" ht="24" customHeight="1" x14ac:dyDescent="0.25">
      <c r="B30" s="11" t="s">
        <v>98</v>
      </c>
      <c r="C30" s="18" t="s">
        <v>91</v>
      </c>
      <c r="D30" s="22">
        <v>46478</v>
      </c>
      <c r="E30" s="23" t="s">
        <v>97</v>
      </c>
      <c r="F30" s="16">
        <v>0</v>
      </c>
    </row>
  </sheetData>
  <mergeCells count="1">
    <mergeCell ref="B2:L3"/>
  </mergeCells>
  <conditionalFormatting sqref="F26:F30">
    <cfRule type="dataBar" priority="2">
      <dataBar>
        <cfvo type="num" val="0"/>
        <cfvo type="num" val="1"/>
        <color rgb="FFB8F2E3"/>
      </dataBar>
    </cfRule>
  </conditionalFormatting>
  <conditionalFormatting sqref="M15:M22">
    <cfRule type="colorScale" priority="1">
      <colorScale>
        <cfvo type="min"/>
        <cfvo type="percentile" val="50"/>
        <cfvo type="max"/>
        <color rgb="FFFFF2CC"/>
        <color rgb="FFFFE699"/>
        <color rgb="FFC6E0B4"/>
      </colorScale>
    </cfRule>
  </conditionalFormatting>
  <dataValidations count="1">
    <dataValidation type="list" sqref="E26 E27 E28 E29 E30" xr:uid="{00000000-0002-0000-0100-000000000000}">
      <formula1>"Idea,Planificado,En curso,Completado"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N56"/>
  <sheetViews>
    <sheetView showGridLines="0" workbookViewId="0"/>
  </sheetViews>
  <sheetFormatPr baseColWidth="10" defaultColWidth="9.140625" defaultRowHeight="15" x14ac:dyDescent="0.25"/>
  <cols>
    <col min="2" max="2" width="24" customWidth="1"/>
    <col min="3" max="3" width="18" customWidth="1"/>
    <col min="4" max="4" width="14" customWidth="1"/>
    <col min="5" max="5" width="16" customWidth="1"/>
    <col min="6" max="6" width="18" customWidth="1"/>
    <col min="7" max="7" width="16" customWidth="1"/>
    <col min="8" max="8" width="12" customWidth="1"/>
    <col min="9" max="9" width="14" customWidth="1"/>
    <col min="10" max="11" width="12" customWidth="1"/>
  </cols>
  <sheetData>
    <row r="2" spans="2:9" x14ac:dyDescent="0.25">
      <c r="B2" s="52" t="s">
        <v>99</v>
      </c>
      <c r="C2" s="53"/>
      <c r="D2" s="53"/>
      <c r="E2" s="53"/>
      <c r="F2" s="53"/>
      <c r="G2" s="53"/>
      <c r="H2" s="53"/>
      <c r="I2" s="53"/>
    </row>
    <row r="3" spans="2:9" x14ac:dyDescent="0.25">
      <c r="B3" s="53"/>
      <c r="C3" s="53"/>
      <c r="D3" s="53"/>
      <c r="E3" s="53"/>
      <c r="F3" s="53"/>
      <c r="G3" s="53"/>
      <c r="H3" s="53"/>
      <c r="I3" s="53"/>
    </row>
    <row r="5" spans="2:9" ht="17.25" x14ac:dyDescent="0.3">
      <c r="B5" s="1" t="s">
        <v>100</v>
      </c>
    </row>
    <row r="6" spans="2:9" x14ac:dyDescent="0.25">
      <c r="B6" s="3" t="s">
        <v>9</v>
      </c>
      <c r="C6" s="4" t="str">
        <f>Inicio!C8</f>
        <v>Base</v>
      </c>
      <c r="F6" s="24" t="s">
        <v>101</v>
      </c>
    </row>
    <row r="7" spans="2:9" x14ac:dyDescent="0.25">
      <c r="B7" s="3" t="s">
        <v>102</v>
      </c>
      <c r="C7" s="25">
        <f>IF(C6="Conservador",0.85,IF(C6="Base",1,1.2))</f>
        <v>1</v>
      </c>
    </row>
    <row r="8" spans="2:9" x14ac:dyDescent="0.25">
      <c r="B8" s="3" t="s">
        <v>103</v>
      </c>
      <c r="C8" s="25">
        <f>IF(C6="Conservador",0.95,IF(C6="Base",1,1.08))</f>
        <v>1</v>
      </c>
    </row>
    <row r="9" spans="2:9" x14ac:dyDescent="0.25">
      <c r="B9" s="3" t="s">
        <v>104</v>
      </c>
      <c r="C9" s="25">
        <f>IF(C6="Conservador",0.8,IF(C6="Base",1,1.25))</f>
        <v>1</v>
      </c>
    </row>
    <row r="10" spans="2:9" x14ac:dyDescent="0.25">
      <c r="B10" s="3" t="s">
        <v>105</v>
      </c>
      <c r="C10" s="12">
        <v>1</v>
      </c>
    </row>
    <row r="11" spans="2:9" x14ac:dyDescent="0.25">
      <c r="B11" s="3" t="s">
        <v>106</v>
      </c>
      <c r="C11" s="12">
        <v>1</v>
      </c>
    </row>
    <row r="12" spans="2:9" x14ac:dyDescent="0.25">
      <c r="B12" s="3" t="s">
        <v>107</v>
      </c>
      <c r="C12" s="26">
        <v>0.25</v>
      </c>
    </row>
    <row r="13" spans="2:9" x14ac:dyDescent="0.25">
      <c r="B13" s="3" t="s">
        <v>108</v>
      </c>
      <c r="C13" s="26">
        <v>0.04</v>
      </c>
    </row>
    <row r="14" spans="2:9" x14ac:dyDescent="0.25">
      <c r="B14" s="3" t="s">
        <v>109</v>
      </c>
      <c r="C14" s="26">
        <v>0.03</v>
      </c>
    </row>
    <row r="15" spans="2:9" x14ac:dyDescent="0.25">
      <c r="B15" s="3" t="s">
        <v>110</v>
      </c>
      <c r="C15" s="12">
        <v>36</v>
      </c>
    </row>
    <row r="17" spans="2:14" ht="17.25" x14ac:dyDescent="0.3">
      <c r="B17" s="1" t="s">
        <v>111</v>
      </c>
    </row>
    <row r="18" spans="2:14" x14ac:dyDescent="0.25">
      <c r="B18" s="14" t="s">
        <v>112</v>
      </c>
      <c r="C18" s="14" t="s">
        <v>113</v>
      </c>
      <c r="D18" s="14" t="s">
        <v>114</v>
      </c>
      <c r="E18" s="14" t="s">
        <v>115</v>
      </c>
      <c r="F18" s="14" t="s">
        <v>116</v>
      </c>
      <c r="G18" s="14" t="s">
        <v>117</v>
      </c>
      <c r="H18" s="14" t="s">
        <v>118</v>
      </c>
    </row>
    <row r="19" spans="2:14" x14ac:dyDescent="0.25">
      <c r="B19" s="27" t="s">
        <v>119</v>
      </c>
      <c r="C19" s="28">
        <v>6</v>
      </c>
      <c r="D19" s="29">
        <v>0.08</v>
      </c>
      <c r="E19" s="30">
        <v>690</v>
      </c>
      <c r="F19" s="29">
        <v>0.03</v>
      </c>
      <c r="G19" s="29">
        <v>0.32</v>
      </c>
      <c r="H19" s="28">
        <v>1</v>
      </c>
    </row>
    <row r="20" spans="2:14" x14ac:dyDescent="0.25">
      <c r="B20" s="27" t="s">
        <v>120</v>
      </c>
      <c r="C20" s="28">
        <v>2</v>
      </c>
      <c r="D20" s="29">
        <v>0.03</v>
      </c>
      <c r="E20" s="30">
        <v>1200</v>
      </c>
      <c r="F20" s="29">
        <v>0.02</v>
      </c>
      <c r="G20" s="29">
        <v>0.18</v>
      </c>
      <c r="H20" s="28">
        <v>1</v>
      </c>
    </row>
    <row r="21" spans="2:14" x14ac:dyDescent="0.25">
      <c r="B21" s="27" t="s">
        <v>121</v>
      </c>
      <c r="C21" s="28">
        <v>120</v>
      </c>
      <c r="D21" s="29">
        <v>0.04</v>
      </c>
      <c r="E21" s="30">
        <v>28</v>
      </c>
      <c r="F21" s="29">
        <v>0.02</v>
      </c>
      <c r="G21" s="29">
        <v>0.55000000000000004</v>
      </c>
      <c r="H21" s="28">
        <v>2</v>
      </c>
    </row>
    <row r="22" spans="2:14" x14ac:dyDescent="0.25">
      <c r="B22" s="27" t="s">
        <v>122</v>
      </c>
      <c r="C22" s="28">
        <v>3</v>
      </c>
      <c r="D22" s="29">
        <v>0.05</v>
      </c>
      <c r="E22" s="30">
        <v>450</v>
      </c>
      <c r="F22" s="29">
        <v>0.02</v>
      </c>
      <c r="G22" s="29">
        <v>0.2</v>
      </c>
      <c r="H22" s="28">
        <v>3</v>
      </c>
    </row>
    <row r="25" spans="2:14" ht="17.25" x14ac:dyDescent="0.3">
      <c r="B25" s="1" t="s">
        <v>123</v>
      </c>
    </row>
    <row r="26" spans="2:14" x14ac:dyDescent="0.25">
      <c r="B26" s="3" t="s">
        <v>124</v>
      </c>
      <c r="C26" s="14" t="s">
        <v>125</v>
      </c>
      <c r="D26" s="14" t="s">
        <v>126</v>
      </c>
      <c r="E26" s="14" t="s">
        <v>127</v>
      </c>
      <c r="F26" s="14" t="s">
        <v>128</v>
      </c>
      <c r="G26" s="14" t="s">
        <v>129</v>
      </c>
      <c r="H26" s="14" t="s">
        <v>130</v>
      </c>
      <c r="I26" s="14" t="s">
        <v>131</v>
      </c>
      <c r="J26" s="14" t="s">
        <v>132</v>
      </c>
      <c r="K26" s="14" t="s">
        <v>133</v>
      </c>
      <c r="L26" s="14" t="s">
        <v>134</v>
      </c>
      <c r="M26" s="14" t="s">
        <v>135</v>
      </c>
      <c r="N26" s="14" t="s">
        <v>136</v>
      </c>
    </row>
    <row r="27" spans="2:14" x14ac:dyDescent="0.25">
      <c r="B27" s="3" t="s">
        <v>137</v>
      </c>
      <c r="C27" s="29">
        <v>0.9</v>
      </c>
      <c r="D27" s="29">
        <v>0.95</v>
      </c>
      <c r="E27" s="29">
        <v>1</v>
      </c>
      <c r="F27" s="29">
        <v>1.03</v>
      </c>
      <c r="G27" s="29">
        <v>1.05</v>
      </c>
      <c r="H27" s="29">
        <v>1.08</v>
      </c>
      <c r="I27" s="29">
        <v>0.96</v>
      </c>
      <c r="J27" s="29">
        <v>0.88</v>
      </c>
      <c r="K27" s="29">
        <v>1.1000000000000001</v>
      </c>
      <c r="L27" s="29">
        <v>1.1200000000000001</v>
      </c>
      <c r="M27" s="29">
        <v>1.1499999999999999</v>
      </c>
      <c r="N27" s="29">
        <v>1.2</v>
      </c>
    </row>
    <row r="31" spans="2:14" ht="17.25" x14ac:dyDescent="0.3">
      <c r="B31" s="1" t="s">
        <v>138</v>
      </c>
    </row>
    <row r="32" spans="2:14" x14ac:dyDescent="0.25">
      <c r="B32" s="14" t="s">
        <v>139</v>
      </c>
      <c r="C32" s="14" t="s">
        <v>140</v>
      </c>
      <c r="D32" s="14" t="s">
        <v>141</v>
      </c>
      <c r="E32" s="14" t="s">
        <v>142</v>
      </c>
      <c r="F32" s="14" t="s">
        <v>143</v>
      </c>
    </row>
    <row r="33" spans="2:6" x14ac:dyDescent="0.25">
      <c r="B33" s="27" t="s">
        <v>144</v>
      </c>
      <c r="C33" s="28">
        <v>1</v>
      </c>
      <c r="D33" s="28">
        <v>1</v>
      </c>
      <c r="E33" s="30">
        <v>2800</v>
      </c>
      <c r="F33" s="29">
        <v>0.31</v>
      </c>
    </row>
    <row r="34" spans="2:6" x14ac:dyDescent="0.25">
      <c r="B34" s="27" t="s">
        <v>145</v>
      </c>
      <c r="C34" s="28">
        <v>1</v>
      </c>
      <c r="D34" s="28">
        <v>1</v>
      </c>
      <c r="E34" s="30">
        <v>2200</v>
      </c>
      <c r="F34" s="29">
        <v>0.31</v>
      </c>
    </row>
    <row r="35" spans="2:6" x14ac:dyDescent="0.25">
      <c r="B35" s="27" t="s">
        <v>91</v>
      </c>
      <c r="C35" s="28">
        <v>1</v>
      </c>
      <c r="D35" s="28">
        <v>1</v>
      </c>
      <c r="E35" s="30">
        <v>1900</v>
      </c>
      <c r="F35" s="29">
        <v>0.31</v>
      </c>
    </row>
    <row r="36" spans="2:6" x14ac:dyDescent="0.25">
      <c r="B36" s="27" t="s">
        <v>146</v>
      </c>
      <c r="C36" s="28">
        <v>1</v>
      </c>
      <c r="D36" s="28">
        <v>4</v>
      </c>
      <c r="E36" s="30">
        <v>1600</v>
      </c>
      <c r="F36" s="29">
        <v>0.31</v>
      </c>
    </row>
    <row r="37" spans="2:6" x14ac:dyDescent="0.25">
      <c r="B37" s="27" t="s">
        <v>147</v>
      </c>
      <c r="C37" s="28">
        <v>2</v>
      </c>
      <c r="D37" s="28">
        <v>6</v>
      </c>
      <c r="E37" s="30">
        <v>1550</v>
      </c>
      <c r="F37" s="29">
        <v>0.31</v>
      </c>
    </row>
    <row r="38" spans="2:6" x14ac:dyDescent="0.25">
      <c r="B38" s="27" t="s">
        <v>148</v>
      </c>
      <c r="C38" s="28">
        <v>1</v>
      </c>
      <c r="D38" s="28">
        <v>7</v>
      </c>
      <c r="E38" s="30">
        <v>1800</v>
      </c>
      <c r="F38" s="29">
        <v>0.31</v>
      </c>
    </row>
    <row r="41" spans="2:6" ht="17.25" x14ac:dyDescent="0.3">
      <c r="B41" s="1" t="s">
        <v>149</v>
      </c>
    </row>
    <row r="42" spans="2:6" x14ac:dyDescent="0.25">
      <c r="B42" s="14" t="s">
        <v>150</v>
      </c>
      <c r="C42" s="14" t="s">
        <v>151</v>
      </c>
      <c r="D42" s="14" t="s">
        <v>152</v>
      </c>
      <c r="E42" s="14" t="s">
        <v>153</v>
      </c>
    </row>
    <row r="43" spans="2:6" x14ac:dyDescent="0.25">
      <c r="B43" s="27" t="s">
        <v>154</v>
      </c>
      <c r="C43" s="30">
        <v>1400</v>
      </c>
      <c r="D43" s="28">
        <v>1</v>
      </c>
      <c r="E43" s="29">
        <v>0.03</v>
      </c>
    </row>
    <row r="44" spans="2:6" x14ac:dyDescent="0.25">
      <c r="B44" s="27" t="s">
        <v>155</v>
      </c>
      <c r="C44" s="30">
        <v>280</v>
      </c>
      <c r="D44" s="28">
        <v>1</v>
      </c>
      <c r="E44" s="29">
        <v>0.03</v>
      </c>
    </row>
    <row r="45" spans="2:6" x14ac:dyDescent="0.25">
      <c r="B45" s="27" t="s">
        <v>156</v>
      </c>
      <c r="C45" s="30">
        <v>340</v>
      </c>
      <c r="D45" s="28">
        <v>1</v>
      </c>
      <c r="E45" s="29">
        <v>0.03</v>
      </c>
    </row>
    <row r="46" spans="2:6" x14ac:dyDescent="0.25">
      <c r="B46" s="27" t="s">
        <v>157</v>
      </c>
      <c r="C46" s="30">
        <v>850</v>
      </c>
      <c r="D46" s="28">
        <v>1</v>
      </c>
      <c r="E46" s="29">
        <v>0.03</v>
      </c>
    </row>
    <row r="47" spans="2:6" x14ac:dyDescent="0.25">
      <c r="B47" s="27" t="s">
        <v>158</v>
      </c>
      <c r="C47" s="30">
        <v>900</v>
      </c>
      <c r="D47" s="28">
        <v>1</v>
      </c>
      <c r="E47" s="29">
        <v>0.05</v>
      </c>
    </row>
    <row r="48" spans="2:6" x14ac:dyDescent="0.25">
      <c r="B48" s="27" t="s">
        <v>159</v>
      </c>
      <c r="C48" s="30">
        <v>350</v>
      </c>
      <c r="D48" s="28">
        <v>1</v>
      </c>
      <c r="E48" s="29">
        <v>0.03</v>
      </c>
    </row>
    <row r="49" spans="2:11" x14ac:dyDescent="0.25">
      <c r="B49" s="27" t="s">
        <v>160</v>
      </c>
      <c r="C49" s="30">
        <v>180</v>
      </c>
      <c r="D49" s="28">
        <v>1</v>
      </c>
      <c r="E49" s="29">
        <v>0.03</v>
      </c>
    </row>
    <row r="52" spans="2:11" ht="17.25" x14ac:dyDescent="0.3">
      <c r="B52" s="1" t="s">
        <v>161</v>
      </c>
      <c r="F52" s="1" t="s">
        <v>162</v>
      </c>
    </row>
    <row r="53" spans="2:11" x14ac:dyDescent="0.25">
      <c r="B53" s="14" t="s">
        <v>163</v>
      </c>
      <c r="C53" s="14" t="s">
        <v>124</v>
      </c>
      <c r="D53" s="14" t="s">
        <v>164</v>
      </c>
      <c r="F53" s="14" t="s">
        <v>165</v>
      </c>
      <c r="G53" s="14" t="s">
        <v>57</v>
      </c>
      <c r="H53" s="14" t="s">
        <v>124</v>
      </c>
      <c r="I53" s="14" t="s">
        <v>164</v>
      </c>
      <c r="J53" s="14" t="s">
        <v>166</v>
      </c>
      <c r="K53" s="14" t="s">
        <v>167</v>
      </c>
    </row>
    <row r="54" spans="2:11" x14ac:dyDescent="0.25">
      <c r="B54" s="27" t="s">
        <v>168</v>
      </c>
      <c r="C54" s="28">
        <v>1</v>
      </c>
      <c r="D54" s="30">
        <v>18000</v>
      </c>
      <c r="F54" s="27" t="s">
        <v>169</v>
      </c>
      <c r="G54" s="27" t="s">
        <v>170</v>
      </c>
      <c r="H54" s="28">
        <v>1</v>
      </c>
      <c r="I54" s="30">
        <v>20000</v>
      </c>
      <c r="J54" s="29">
        <v>0</v>
      </c>
      <c r="K54" s="28">
        <v>0</v>
      </c>
    </row>
    <row r="55" spans="2:11" x14ac:dyDescent="0.25">
      <c r="B55" s="27" t="s">
        <v>171</v>
      </c>
      <c r="C55" s="28">
        <v>1</v>
      </c>
      <c r="D55" s="30">
        <v>4000</v>
      </c>
      <c r="F55" s="27" t="s">
        <v>172</v>
      </c>
      <c r="G55" s="27" t="s">
        <v>173</v>
      </c>
      <c r="H55" s="28">
        <v>1</v>
      </c>
      <c r="I55" s="30">
        <v>25000</v>
      </c>
      <c r="J55" s="29">
        <v>7.0000000000000007E-2</v>
      </c>
      <c r="K55" s="28">
        <v>36</v>
      </c>
    </row>
    <row r="56" spans="2:11" x14ac:dyDescent="0.25">
      <c r="B56" s="27" t="s">
        <v>174</v>
      </c>
      <c r="C56" s="28">
        <v>2</v>
      </c>
      <c r="D56" s="30">
        <v>6500</v>
      </c>
    </row>
  </sheetData>
  <mergeCells count="1">
    <mergeCell ref="B2:I3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AE85"/>
  <sheetViews>
    <sheetView showGridLines="0" workbookViewId="0"/>
  </sheetViews>
  <sheetFormatPr baseColWidth="10" defaultColWidth="9.140625" defaultRowHeight="15" x14ac:dyDescent="0.25"/>
  <cols>
    <col min="2" max="2" width="16" customWidth="1"/>
    <col min="3" max="3" width="28" customWidth="1"/>
    <col min="4" max="27" width="11" customWidth="1"/>
    <col min="29" max="31" width="16" customWidth="1"/>
  </cols>
  <sheetData>
    <row r="2" spans="2:31" ht="26.25" x14ac:dyDescent="0.25">
      <c r="B2" s="52" t="s">
        <v>175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4" spans="2:31" ht="17.25" x14ac:dyDescent="0.25">
      <c r="B4" s="31" t="s">
        <v>176</v>
      </c>
      <c r="C4" s="3" t="s">
        <v>177</v>
      </c>
      <c r="D4" s="14">
        <v>1</v>
      </c>
      <c r="E4" s="14">
        <v>2</v>
      </c>
      <c r="F4" s="14">
        <v>3</v>
      </c>
      <c r="G4" s="14">
        <v>4</v>
      </c>
      <c r="H4" s="14">
        <v>5</v>
      </c>
      <c r="I4" s="14">
        <v>6</v>
      </c>
      <c r="J4" s="14">
        <v>7</v>
      </c>
      <c r="K4" s="14">
        <v>8</v>
      </c>
      <c r="L4" s="14">
        <v>9</v>
      </c>
      <c r="M4" s="14">
        <v>10</v>
      </c>
      <c r="N4" s="14">
        <v>11</v>
      </c>
      <c r="O4" s="14">
        <v>12</v>
      </c>
      <c r="P4" s="14">
        <v>13</v>
      </c>
      <c r="Q4" s="14">
        <v>14</v>
      </c>
      <c r="R4" s="14">
        <v>15</v>
      </c>
      <c r="S4" s="14">
        <v>16</v>
      </c>
      <c r="T4" s="14">
        <v>17</v>
      </c>
      <c r="U4" s="14">
        <v>18</v>
      </c>
      <c r="V4" s="14">
        <v>19</v>
      </c>
      <c r="W4" s="14">
        <v>20</v>
      </c>
      <c r="X4" s="14">
        <v>21</v>
      </c>
      <c r="Y4" s="14">
        <v>22</v>
      </c>
      <c r="Z4" s="14">
        <v>23</v>
      </c>
      <c r="AA4" s="14">
        <v>24</v>
      </c>
    </row>
    <row r="5" spans="2:31" ht="17.25" x14ac:dyDescent="0.25">
      <c r="B5" s="31" t="s">
        <v>84</v>
      </c>
      <c r="C5" s="3" t="s">
        <v>124</v>
      </c>
      <c r="D5" s="32">
        <f>Inicio!$C$9</f>
        <v>46113</v>
      </c>
      <c r="E5" s="32">
        <f t="shared" ref="E5:AA5" si="0">EDATE(D5,1)</f>
        <v>46143</v>
      </c>
      <c r="F5" s="32">
        <f t="shared" si="0"/>
        <v>46174</v>
      </c>
      <c r="G5" s="32">
        <f t="shared" si="0"/>
        <v>46204</v>
      </c>
      <c r="H5" s="32">
        <f t="shared" si="0"/>
        <v>46235</v>
      </c>
      <c r="I5" s="32">
        <f t="shared" si="0"/>
        <v>46266</v>
      </c>
      <c r="J5" s="32">
        <f t="shared" si="0"/>
        <v>46296</v>
      </c>
      <c r="K5" s="32">
        <f t="shared" si="0"/>
        <v>46327</v>
      </c>
      <c r="L5" s="32">
        <f t="shared" si="0"/>
        <v>46357</v>
      </c>
      <c r="M5" s="32">
        <f t="shared" si="0"/>
        <v>46388</v>
      </c>
      <c r="N5" s="32">
        <f t="shared" si="0"/>
        <v>46419</v>
      </c>
      <c r="O5" s="32">
        <f t="shared" si="0"/>
        <v>46447</v>
      </c>
      <c r="P5" s="32">
        <f t="shared" si="0"/>
        <v>46478</v>
      </c>
      <c r="Q5" s="32">
        <f t="shared" si="0"/>
        <v>46508</v>
      </c>
      <c r="R5" s="32">
        <f t="shared" si="0"/>
        <v>46539</v>
      </c>
      <c r="S5" s="32">
        <f t="shared" si="0"/>
        <v>46569</v>
      </c>
      <c r="T5" s="32">
        <f t="shared" si="0"/>
        <v>46600</v>
      </c>
      <c r="U5" s="32">
        <f t="shared" si="0"/>
        <v>46631</v>
      </c>
      <c r="V5" s="32">
        <f t="shared" si="0"/>
        <v>46661</v>
      </c>
      <c r="W5" s="32">
        <f t="shared" si="0"/>
        <v>46692</v>
      </c>
      <c r="X5" s="32">
        <f t="shared" si="0"/>
        <v>46722</v>
      </c>
      <c r="Y5" s="32">
        <f t="shared" si="0"/>
        <v>46753</v>
      </c>
      <c r="Z5" s="32">
        <f t="shared" si="0"/>
        <v>46784</v>
      </c>
      <c r="AA5" s="32">
        <f t="shared" si="0"/>
        <v>46813</v>
      </c>
    </row>
    <row r="6" spans="2:31" ht="17.25" x14ac:dyDescent="0.25">
      <c r="B6" s="31" t="s">
        <v>123</v>
      </c>
      <c r="C6" s="3" t="s">
        <v>137</v>
      </c>
      <c r="D6" s="33">
        <f>INDEX(Supuestos!$C$27:$N$27,1,MONTH(D$5))</f>
        <v>1.03</v>
      </c>
      <c r="E6" s="33">
        <f>INDEX(Supuestos!$C$27:$N$27,1,MONTH(E$5))</f>
        <v>1.05</v>
      </c>
      <c r="F6" s="33">
        <f>INDEX(Supuestos!$C$27:$N$27,1,MONTH(F$5))</f>
        <v>1.08</v>
      </c>
      <c r="G6" s="33">
        <f>INDEX(Supuestos!$C$27:$N$27,1,MONTH(G$5))</f>
        <v>0.96</v>
      </c>
      <c r="H6" s="33">
        <f>INDEX(Supuestos!$C$27:$N$27,1,MONTH(H$5))</f>
        <v>0.88</v>
      </c>
      <c r="I6" s="33">
        <f>INDEX(Supuestos!$C$27:$N$27,1,MONTH(I$5))</f>
        <v>1.1000000000000001</v>
      </c>
      <c r="J6" s="33">
        <f>INDEX(Supuestos!$C$27:$N$27,1,MONTH(J$5))</f>
        <v>1.1200000000000001</v>
      </c>
      <c r="K6" s="33">
        <f>INDEX(Supuestos!$C$27:$N$27,1,MONTH(K$5))</f>
        <v>1.1499999999999999</v>
      </c>
      <c r="L6" s="33">
        <f>INDEX(Supuestos!$C$27:$N$27,1,MONTH(L$5))</f>
        <v>1.2</v>
      </c>
      <c r="M6" s="33">
        <f>INDEX(Supuestos!$C$27:$N$27,1,MONTH(M$5))</f>
        <v>0.9</v>
      </c>
      <c r="N6" s="33">
        <f>INDEX(Supuestos!$C$27:$N$27,1,MONTH(N$5))</f>
        <v>0.95</v>
      </c>
      <c r="O6" s="33">
        <f>INDEX(Supuestos!$C$27:$N$27,1,MONTH(O$5))</f>
        <v>1</v>
      </c>
      <c r="P6" s="33">
        <f>INDEX(Supuestos!$C$27:$N$27,1,MONTH(P$5))</f>
        <v>1.03</v>
      </c>
      <c r="Q6" s="33">
        <f>INDEX(Supuestos!$C$27:$N$27,1,MONTH(Q$5))</f>
        <v>1.05</v>
      </c>
      <c r="R6" s="33">
        <f>INDEX(Supuestos!$C$27:$N$27,1,MONTH(R$5))</f>
        <v>1.08</v>
      </c>
      <c r="S6" s="33">
        <f>INDEX(Supuestos!$C$27:$N$27,1,MONTH(S$5))</f>
        <v>0.96</v>
      </c>
      <c r="T6" s="33">
        <f>INDEX(Supuestos!$C$27:$N$27,1,MONTH(T$5))</f>
        <v>0.88</v>
      </c>
      <c r="U6" s="33">
        <f>INDEX(Supuestos!$C$27:$N$27,1,MONTH(U$5))</f>
        <v>1.1000000000000001</v>
      </c>
      <c r="V6" s="33">
        <f>INDEX(Supuestos!$C$27:$N$27,1,MONTH(V$5))</f>
        <v>1.1200000000000001</v>
      </c>
      <c r="W6" s="33">
        <f>INDEX(Supuestos!$C$27:$N$27,1,MONTH(W$5))</f>
        <v>1.1499999999999999</v>
      </c>
      <c r="X6" s="33">
        <f>INDEX(Supuestos!$C$27:$N$27,1,MONTH(X$5))</f>
        <v>1.2</v>
      </c>
      <c r="Y6" s="33">
        <f>INDEX(Supuestos!$C$27:$N$27,1,MONTH(Y$5))</f>
        <v>0.9</v>
      </c>
      <c r="Z6" s="33">
        <f>INDEX(Supuestos!$C$27:$N$27,1,MONTH(Z$5))</f>
        <v>0.95</v>
      </c>
      <c r="AA6" s="33">
        <f>INDEX(Supuestos!$C$27:$N$27,1,MONTH(AA$5))</f>
        <v>1</v>
      </c>
    </row>
    <row r="8" spans="2:31" ht="17.25" x14ac:dyDescent="0.3">
      <c r="B8" s="1" t="s">
        <v>178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C8" s="14" t="s">
        <v>179</v>
      </c>
      <c r="AD8" s="31" t="s">
        <v>180</v>
      </c>
      <c r="AE8" s="31" t="s">
        <v>181</v>
      </c>
    </row>
    <row r="9" spans="2:31" x14ac:dyDescent="0.25">
      <c r="B9" s="9" t="s">
        <v>112</v>
      </c>
      <c r="C9" s="35" t="str">
        <f>Supuestos!B19 &amp; " · Unidades"</f>
        <v>Suscripción sedes · Unidades</v>
      </c>
      <c r="D9" s="36">
        <f>IF(D$4&lt;Supuestos!$H19,0,ROUND(Supuestos!$C19*(1+Supuestos!$D19*Supuestos!$C$9)^(D$4-Supuestos!$H19)*D$6,0))</f>
        <v>6</v>
      </c>
      <c r="E9" s="36">
        <f>IF(E$4&lt;Supuestos!$H19,0,ROUND(Supuestos!$C19*(1+Supuestos!$D19*Supuestos!$C$9)^(E$4-Supuestos!$H19)*E$6,0))</f>
        <v>7</v>
      </c>
      <c r="F9" s="36">
        <f>IF(F$4&lt;Supuestos!$H19,0,ROUND(Supuestos!$C19*(1+Supuestos!$D19*Supuestos!$C$9)^(F$4-Supuestos!$H19)*F$6,0))</f>
        <v>8</v>
      </c>
      <c r="G9" s="36">
        <f>IF(G$4&lt;Supuestos!$H19,0,ROUND(Supuestos!$C19*(1+Supuestos!$D19*Supuestos!$C$9)^(G$4-Supuestos!$H19)*G$6,0))</f>
        <v>7</v>
      </c>
      <c r="H9" s="36">
        <f>IF(H$4&lt;Supuestos!$H19,0,ROUND(Supuestos!$C19*(1+Supuestos!$D19*Supuestos!$C$9)^(H$4-Supuestos!$H19)*H$6,0))</f>
        <v>7</v>
      </c>
      <c r="I9" s="36">
        <f>IF(I$4&lt;Supuestos!$H19,0,ROUND(Supuestos!$C19*(1+Supuestos!$D19*Supuestos!$C$9)^(I$4-Supuestos!$H19)*I$6,0))</f>
        <v>10</v>
      </c>
      <c r="J9" s="36">
        <f>IF(J$4&lt;Supuestos!$H19,0,ROUND(Supuestos!$C19*(1+Supuestos!$D19*Supuestos!$C$9)^(J$4-Supuestos!$H19)*J$6,0))</f>
        <v>11</v>
      </c>
      <c r="K9" s="36">
        <f>IF(K$4&lt;Supuestos!$H19,0,ROUND(Supuestos!$C19*(1+Supuestos!$D19*Supuestos!$C$9)^(K$4-Supuestos!$H19)*K$6,0))</f>
        <v>12</v>
      </c>
      <c r="L9" s="36">
        <f>IF(L$4&lt;Supuestos!$H19,0,ROUND(Supuestos!$C19*(1+Supuestos!$D19*Supuestos!$C$9)^(L$4-Supuestos!$H19)*L$6,0))</f>
        <v>13</v>
      </c>
      <c r="M9" s="36">
        <f>IF(M$4&lt;Supuestos!$H19,0,ROUND(Supuestos!$C19*(1+Supuestos!$D19*Supuestos!$C$9)^(M$4-Supuestos!$H19)*M$6,0))</f>
        <v>11</v>
      </c>
      <c r="N9" s="36">
        <f>IF(N$4&lt;Supuestos!$H19,0,ROUND(Supuestos!$C19*(1+Supuestos!$D19*Supuestos!$C$9)^(N$4-Supuestos!$H19)*N$6,0))</f>
        <v>12</v>
      </c>
      <c r="O9" s="36">
        <f>IF(O$4&lt;Supuestos!$H19,0,ROUND(Supuestos!$C19*(1+Supuestos!$D19*Supuestos!$C$9)^(O$4-Supuestos!$H19)*O$6,0))</f>
        <v>14</v>
      </c>
      <c r="P9" s="36">
        <f>IF(P$4&lt;Supuestos!$H19,0,ROUND(Supuestos!$C19*(1+Supuestos!$D19*Supuestos!$C$9)^(P$4-Supuestos!$H19)*P$6,0))</f>
        <v>16</v>
      </c>
      <c r="Q9" s="36">
        <f>IF(Q$4&lt;Supuestos!$H19,0,ROUND(Supuestos!$C19*(1+Supuestos!$D19*Supuestos!$C$9)^(Q$4-Supuestos!$H19)*Q$6,0))</f>
        <v>17</v>
      </c>
      <c r="R9" s="36">
        <f>IF(R$4&lt;Supuestos!$H19,0,ROUND(Supuestos!$C19*(1+Supuestos!$D19*Supuestos!$C$9)^(R$4-Supuestos!$H19)*R$6,0))</f>
        <v>19</v>
      </c>
      <c r="S9" s="36">
        <f>IF(S$4&lt;Supuestos!$H19,0,ROUND(Supuestos!$C19*(1+Supuestos!$D19*Supuestos!$C$9)^(S$4-Supuestos!$H19)*S$6,0))</f>
        <v>18</v>
      </c>
      <c r="T9" s="36">
        <f>IF(T$4&lt;Supuestos!$H19,0,ROUND(Supuestos!$C19*(1+Supuestos!$D19*Supuestos!$C$9)^(T$4-Supuestos!$H19)*T$6,0))</f>
        <v>18</v>
      </c>
      <c r="U9" s="36">
        <f>IF(U$4&lt;Supuestos!$H19,0,ROUND(Supuestos!$C19*(1+Supuestos!$D19*Supuestos!$C$9)^(U$4-Supuestos!$H19)*U$6,0))</f>
        <v>24</v>
      </c>
      <c r="V9" s="36">
        <f>IF(V$4&lt;Supuestos!$H19,0,ROUND(Supuestos!$C19*(1+Supuestos!$D19*Supuestos!$C$9)^(V$4-Supuestos!$H19)*V$6,0))</f>
        <v>27</v>
      </c>
      <c r="W9" s="36">
        <f>IF(W$4&lt;Supuestos!$H19,0,ROUND(Supuestos!$C19*(1+Supuestos!$D19*Supuestos!$C$9)^(W$4-Supuestos!$H19)*W$6,0))</f>
        <v>30</v>
      </c>
      <c r="X9" s="36">
        <f>IF(X$4&lt;Supuestos!$H19,0,ROUND(Supuestos!$C19*(1+Supuestos!$D19*Supuestos!$C$9)^(X$4-Supuestos!$H19)*X$6,0))</f>
        <v>34</v>
      </c>
      <c r="Y9" s="36">
        <f>IF(Y$4&lt;Supuestos!$H19,0,ROUND(Supuestos!$C19*(1+Supuestos!$D19*Supuestos!$C$9)^(Y$4-Supuestos!$H19)*Y$6,0))</f>
        <v>27</v>
      </c>
      <c r="Z9" s="36">
        <f>IF(Z$4&lt;Supuestos!$H19,0,ROUND(Supuestos!$C19*(1+Supuestos!$D19*Supuestos!$C$9)^(Z$4-Supuestos!$H19)*Z$6,0))</f>
        <v>31</v>
      </c>
      <c r="AA9" s="36">
        <f>IF(AA$4&lt;Supuestos!$H19,0,ROUND(Supuestos!$C19*(1+Supuestos!$D19*Supuestos!$C$9)^(AA$4-Supuestos!$H19)*AA$6,0))</f>
        <v>35</v>
      </c>
      <c r="AC9" s="3" t="s">
        <v>178</v>
      </c>
      <c r="AD9" s="13">
        <f>SUM(D29:O29)</f>
        <v>181870</v>
      </c>
      <c r="AE9" s="13">
        <f>SUM(P29:AA29)</f>
        <v>380265.99999999994</v>
      </c>
    </row>
    <row r="10" spans="2:31" x14ac:dyDescent="0.25">
      <c r="B10" s="37" t="s">
        <v>182</v>
      </c>
      <c r="C10" s="38" t="str">
        <f>Supuestos!B19 &amp; " · Precio"</f>
        <v>Suscripción sedes · Precio</v>
      </c>
      <c r="D10" s="39">
        <f>IF(D$4&lt;Supuestos!$H19,0,Supuestos!$E19*(1+Supuestos!$F19)^INT((D$4-Supuestos!$H19)/12))</f>
        <v>690</v>
      </c>
      <c r="E10" s="39">
        <f>IF(E$4&lt;Supuestos!$H19,0,Supuestos!$E19*(1+Supuestos!$F19)^INT((E$4-Supuestos!$H19)/12))</f>
        <v>690</v>
      </c>
      <c r="F10" s="39">
        <f>IF(F$4&lt;Supuestos!$H19,0,Supuestos!$E19*(1+Supuestos!$F19)^INT((F$4-Supuestos!$H19)/12))</f>
        <v>690</v>
      </c>
      <c r="G10" s="39">
        <f>IF(G$4&lt;Supuestos!$H19,0,Supuestos!$E19*(1+Supuestos!$F19)^INT((G$4-Supuestos!$H19)/12))</f>
        <v>690</v>
      </c>
      <c r="H10" s="39">
        <f>IF(H$4&lt;Supuestos!$H19,0,Supuestos!$E19*(1+Supuestos!$F19)^INT((H$4-Supuestos!$H19)/12))</f>
        <v>690</v>
      </c>
      <c r="I10" s="39">
        <f>IF(I$4&lt;Supuestos!$H19,0,Supuestos!$E19*(1+Supuestos!$F19)^INT((I$4-Supuestos!$H19)/12))</f>
        <v>690</v>
      </c>
      <c r="J10" s="39">
        <f>IF(J$4&lt;Supuestos!$H19,0,Supuestos!$E19*(1+Supuestos!$F19)^INT((J$4-Supuestos!$H19)/12))</f>
        <v>690</v>
      </c>
      <c r="K10" s="39">
        <f>IF(K$4&lt;Supuestos!$H19,0,Supuestos!$E19*(1+Supuestos!$F19)^INT((K$4-Supuestos!$H19)/12))</f>
        <v>690</v>
      </c>
      <c r="L10" s="39">
        <f>IF(L$4&lt;Supuestos!$H19,0,Supuestos!$E19*(1+Supuestos!$F19)^INT((L$4-Supuestos!$H19)/12))</f>
        <v>690</v>
      </c>
      <c r="M10" s="39">
        <f>IF(M$4&lt;Supuestos!$H19,0,Supuestos!$E19*(1+Supuestos!$F19)^INT((M$4-Supuestos!$H19)/12))</f>
        <v>690</v>
      </c>
      <c r="N10" s="39">
        <f>IF(N$4&lt;Supuestos!$H19,0,Supuestos!$E19*(1+Supuestos!$F19)^INT((N$4-Supuestos!$H19)/12))</f>
        <v>690</v>
      </c>
      <c r="O10" s="39">
        <f>IF(O$4&lt;Supuestos!$H19,0,Supuestos!$E19*(1+Supuestos!$F19)^INT((O$4-Supuestos!$H19)/12))</f>
        <v>690</v>
      </c>
      <c r="P10" s="39">
        <f>IF(P$4&lt;Supuestos!$H19,0,Supuestos!$E19*(1+Supuestos!$F19)^INT((P$4-Supuestos!$H19)/12))</f>
        <v>710.7</v>
      </c>
      <c r="Q10" s="39">
        <f>IF(Q$4&lt;Supuestos!$H19,0,Supuestos!$E19*(1+Supuestos!$F19)^INT((Q$4-Supuestos!$H19)/12))</f>
        <v>710.7</v>
      </c>
      <c r="R10" s="39">
        <f>IF(R$4&lt;Supuestos!$H19,0,Supuestos!$E19*(1+Supuestos!$F19)^INT((R$4-Supuestos!$H19)/12))</f>
        <v>710.7</v>
      </c>
      <c r="S10" s="39">
        <f>IF(S$4&lt;Supuestos!$H19,0,Supuestos!$E19*(1+Supuestos!$F19)^INT((S$4-Supuestos!$H19)/12))</f>
        <v>710.7</v>
      </c>
      <c r="T10" s="39">
        <f>IF(T$4&lt;Supuestos!$H19,0,Supuestos!$E19*(1+Supuestos!$F19)^INT((T$4-Supuestos!$H19)/12))</f>
        <v>710.7</v>
      </c>
      <c r="U10" s="39">
        <f>IF(U$4&lt;Supuestos!$H19,0,Supuestos!$E19*(1+Supuestos!$F19)^INT((U$4-Supuestos!$H19)/12))</f>
        <v>710.7</v>
      </c>
      <c r="V10" s="39">
        <f>IF(V$4&lt;Supuestos!$H19,0,Supuestos!$E19*(1+Supuestos!$F19)^INT((V$4-Supuestos!$H19)/12))</f>
        <v>710.7</v>
      </c>
      <c r="W10" s="39">
        <f>IF(W$4&lt;Supuestos!$H19,0,Supuestos!$E19*(1+Supuestos!$F19)^INT((W$4-Supuestos!$H19)/12))</f>
        <v>710.7</v>
      </c>
      <c r="X10" s="39">
        <f>IF(X$4&lt;Supuestos!$H19,0,Supuestos!$E19*(1+Supuestos!$F19)^INT((X$4-Supuestos!$H19)/12))</f>
        <v>710.7</v>
      </c>
      <c r="Y10" s="39">
        <f>IF(Y$4&lt;Supuestos!$H19,0,Supuestos!$E19*(1+Supuestos!$F19)^INT((Y$4-Supuestos!$H19)/12))</f>
        <v>710.7</v>
      </c>
      <c r="Z10" s="39">
        <f>IF(Z$4&lt;Supuestos!$H19,0,Supuestos!$E19*(1+Supuestos!$F19)^INT((Z$4-Supuestos!$H19)/12))</f>
        <v>710.7</v>
      </c>
      <c r="AA10" s="39">
        <f>IF(AA$4&lt;Supuestos!$H19,0,Supuestos!$E19*(1+Supuestos!$F19)^INT((AA$4-Supuestos!$H19)/12))</f>
        <v>710.7</v>
      </c>
      <c r="AC10" s="3" t="s">
        <v>183</v>
      </c>
      <c r="AD10" s="13">
        <f>SUM(D31:O31)</f>
        <v>120030.6</v>
      </c>
      <c r="AE10" s="13">
        <f>SUM(P31:AA31)</f>
        <v>251345.61600000001</v>
      </c>
    </row>
    <row r="11" spans="2:31" x14ac:dyDescent="0.25">
      <c r="B11" s="37" t="s">
        <v>182</v>
      </c>
      <c r="C11" s="40" t="str">
        <f>Supuestos!B19 &amp; " · Ingresos"</f>
        <v>Suscripción sedes · Ingresos</v>
      </c>
      <c r="D11" s="39">
        <f>D9*D10*Supuestos!$C$7</f>
        <v>4140</v>
      </c>
      <c r="E11" s="39">
        <f>E9*E10*Supuestos!$C$7</f>
        <v>4830</v>
      </c>
      <c r="F11" s="39">
        <f>F9*F10*Supuestos!$C$7</f>
        <v>5520</v>
      </c>
      <c r="G11" s="39">
        <f>G9*G10*Supuestos!$C$7</f>
        <v>4830</v>
      </c>
      <c r="H11" s="39">
        <f>H9*H10*Supuestos!$C$7</f>
        <v>4830</v>
      </c>
      <c r="I11" s="39">
        <f>I9*I10*Supuestos!$C$7</f>
        <v>6900</v>
      </c>
      <c r="J11" s="39">
        <f>J9*J10*Supuestos!$C$7</f>
        <v>7590</v>
      </c>
      <c r="K11" s="39">
        <f>K9*K10*Supuestos!$C$7</f>
        <v>8280</v>
      </c>
      <c r="L11" s="39">
        <f>L9*L10*Supuestos!$C$7</f>
        <v>8970</v>
      </c>
      <c r="M11" s="39">
        <f>M9*M10*Supuestos!$C$7</f>
        <v>7590</v>
      </c>
      <c r="N11" s="39">
        <f>N9*N10*Supuestos!$C$7</f>
        <v>8280</v>
      </c>
      <c r="O11" s="39">
        <f>O9*O10*Supuestos!$C$7</f>
        <v>9660</v>
      </c>
      <c r="P11" s="39">
        <f>P9*P10*Supuestos!$C$7</f>
        <v>11371.2</v>
      </c>
      <c r="Q11" s="39">
        <f>Q9*Q10*Supuestos!$C$7</f>
        <v>12081.900000000001</v>
      </c>
      <c r="R11" s="39">
        <f>R9*R10*Supuestos!$C$7</f>
        <v>13503.300000000001</v>
      </c>
      <c r="S11" s="39">
        <f>S9*S10*Supuestos!$C$7</f>
        <v>12792.6</v>
      </c>
      <c r="T11" s="39">
        <f>T9*T10*Supuestos!$C$7</f>
        <v>12792.6</v>
      </c>
      <c r="U11" s="39">
        <f>U9*U10*Supuestos!$C$7</f>
        <v>17056.800000000003</v>
      </c>
      <c r="V11" s="39">
        <f>V9*V10*Supuestos!$C$7</f>
        <v>19188.900000000001</v>
      </c>
      <c r="W11" s="39">
        <f>W9*W10*Supuestos!$C$7</f>
        <v>21321</v>
      </c>
      <c r="X11" s="39">
        <f>X9*X10*Supuestos!$C$7</f>
        <v>24163.800000000003</v>
      </c>
      <c r="Y11" s="39">
        <f>Y9*Y10*Supuestos!$C$7</f>
        <v>19188.900000000001</v>
      </c>
      <c r="Z11" s="39">
        <f>Z9*Z10*Supuestos!$C$7</f>
        <v>22031.7</v>
      </c>
      <c r="AA11" s="39">
        <f>AA9*AA10*Supuestos!$C$7</f>
        <v>24874.5</v>
      </c>
      <c r="AC11" s="3" t="s">
        <v>184</v>
      </c>
      <c r="AD11" s="13">
        <f>SUM(D54:O54)</f>
        <v>-101476.4</v>
      </c>
      <c r="AE11" s="13">
        <f>SUM(P54:AA54)</f>
        <v>-19462.66399999999</v>
      </c>
    </row>
    <row r="12" spans="2:31" ht="30" x14ac:dyDescent="0.25">
      <c r="B12" s="37" t="s">
        <v>182</v>
      </c>
      <c r="C12" s="38" t="str">
        <f>Supuestos!B19 &amp; " · Coste variable"</f>
        <v>Suscripción sedes · Coste variable</v>
      </c>
      <c r="D12" s="39">
        <f>D11*Supuestos!$G19*Supuestos!$C$8</f>
        <v>1324.8</v>
      </c>
      <c r="E12" s="39">
        <f>E11*Supuestos!$G19*Supuestos!$C$8</f>
        <v>1545.6000000000001</v>
      </c>
      <c r="F12" s="39">
        <f>F11*Supuestos!$G19*Supuestos!$C$8</f>
        <v>1766.4</v>
      </c>
      <c r="G12" s="39">
        <f>G11*Supuestos!$G19*Supuestos!$C$8</f>
        <v>1545.6000000000001</v>
      </c>
      <c r="H12" s="39">
        <f>H11*Supuestos!$G19*Supuestos!$C$8</f>
        <v>1545.6000000000001</v>
      </c>
      <c r="I12" s="39">
        <f>I11*Supuestos!$G19*Supuestos!$C$8</f>
        <v>2208</v>
      </c>
      <c r="J12" s="39">
        <f>J11*Supuestos!$G19*Supuestos!$C$8</f>
        <v>2428.8000000000002</v>
      </c>
      <c r="K12" s="39">
        <f>K11*Supuestos!$G19*Supuestos!$C$8</f>
        <v>2649.6</v>
      </c>
      <c r="L12" s="39">
        <f>L11*Supuestos!$G19*Supuestos!$C$8</f>
        <v>2870.4</v>
      </c>
      <c r="M12" s="39">
        <f>M11*Supuestos!$G19*Supuestos!$C$8</f>
        <v>2428.8000000000002</v>
      </c>
      <c r="N12" s="39">
        <f>N11*Supuestos!$G19*Supuestos!$C$8</f>
        <v>2649.6</v>
      </c>
      <c r="O12" s="39">
        <f>O11*Supuestos!$G19*Supuestos!$C$8</f>
        <v>3091.2000000000003</v>
      </c>
      <c r="P12" s="39">
        <f>P11*Supuestos!$G19*Supuestos!$C$8</f>
        <v>3638.7840000000001</v>
      </c>
      <c r="Q12" s="39">
        <f>Q11*Supuestos!$G19*Supuestos!$C$8</f>
        <v>3866.2080000000005</v>
      </c>
      <c r="R12" s="39">
        <f>R11*Supuestos!$G19*Supuestos!$C$8</f>
        <v>4321.0560000000005</v>
      </c>
      <c r="S12" s="39">
        <f>S11*Supuestos!$G19*Supuestos!$C$8</f>
        <v>4093.6320000000001</v>
      </c>
      <c r="T12" s="39">
        <f>T11*Supuestos!$G19*Supuestos!$C$8</f>
        <v>4093.6320000000001</v>
      </c>
      <c r="U12" s="39">
        <f>U11*Supuestos!$G19*Supuestos!$C$8</f>
        <v>5458.1760000000013</v>
      </c>
      <c r="V12" s="39">
        <f>V11*Supuestos!$G19*Supuestos!$C$8</f>
        <v>6140.4480000000003</v>
      </c>
      <c r="W12" s="39">
        <f>W11*Supuestos!$G19*Supuestos!$C$8</f>
        <v>6822.72</v>
      </c>
      <c r="X12" s="39">
        <f>X11*Supuestos!$G19*Supuestos!$C$8</f>
        <v>7732.4160000000011</v>
      </c>
      <c r="Y12" s="39">
        <f>Y11*Supuestos!$G19*Supuestos!$C$8</f>
        <v>6140.4480000000003</v>
      </c>
      <c r="Z12" s="39">
        <f>Z11*Supuestos!$G19*Supuestos!$C$8</f>
        <v>7050.1440000000002</v>
      </c>
      <c r="AA12" s="39">
        <f>AA11*Supuestos!$G19*Supuestos!$C$8</f>
        <v>7959.84</v>
      </c>
      <c r="AC12" s="3" t="s">
        <v>185</v>
      </c>
      <c r="AD12" s="13">
        <f>SUM(D60:O60)</f>
        <v>-112341.41598545674</v>
      </c>
      <c r="AE12" s="13">
        <f>SUM(P60:AA60)</f>
        <v>-32762.474385879868</v>
      </c>
    </row>
    <row r="13" spans="2:31" ht="30" x14ac:dyDescent="0.25">
      <c r="B13" s="37" t="s">
        <v>182</v>
      </c>
      <c r="C13" s="38" t="str">
        <f>Supuestos!B19 &amp; " · Margen bruto"</f>
        <v>Suscripción sedes · Margen bruto</v>
      </c>
      <c r="D13" s="39">
        <f t="shared" ref="D13:AA13" si="1">D11-D12</f>
        <v>2815.2</v>
      </c>
      <c r="E13" s="39">
        <f t="shared" si="1"/>
        <v>3284.3999999999996</v>
      </c>
      <c r="F13" s="39">
        <f t="shared" si="1"/>
        <v>3753.6</v>
      </c>
      <c r="G13" s="39">
        <f t="shared" si="1"/>
        <v>3284.3999999999996</v>
      </c>
      <c r="H13" s="39">
        <f t="shared" si="1"/>
        <v>3284.3999999999996</v>
      </c>
      <c r="I13" s="39">
        <f t="shared" si="1"/>
        <v>4692</v>
      </c>
      <c r="J13" s="39">
        <f t="shared" si="1"/>
        <v>5161.2</v>
      </c>
      <c r="K13" s="39">
        <f t="shared" si="1"/>
        <v>5630.4</v>
      </c>
      <c r="L13" s="39">
        <f t="shared" si="1"/>
        <v>6099.6</v>
      </c>
      <c r="M13" s="39">
        <f t="shared" si="1"/>
        <v>5161.2</v>
      </c>
      <c r="N13" s="39">
        <f t="shared" si="1"/>
        <v>5630.4</v>
      </c>
      <c r="O13" s="39">
        <f t="shared" si="1"/>
        <v>6568.7999999999993</v>
      </c>
      <c r="P13" s="39">
        <f t="shared" si="1"/>
        <v>7732.4160000000011</v>
      </c>
      <c r="Q13" s="39">
        <f t="shared" si="1"/>
        <v>8215.6920000000009</v>
      </c>
      <c r="R13" s="39">
        <f t="shared" si="1"/>
        <v>9182.2440000000006</v>
      </c>
      <c r="S13" s="39">
        <f t="shared" si="1"/>
        <v>8698.9680000000008</v>
      </c>
      <c r="T13" s="39">
        <f t="shared" si="1"/>
        <v>8698.9680000000008</v>
      </c>
      <c r="U13" s="39">
        <f t="shared" si="1"/>
        <v>11598.624000000002</v>
      </c>
      <c r="V13" s="39">
        <f t="shared" si="1"/>
        <v>13048.452000000001</v>
      </c>
      <c r="W13" s="39">
        <f t="shared" si="1"/>
        <v>14498.279999999999</v>
      </c>
      <c r="X13" s="39">
        <f t="shared" si="1"/>
        <v>16431.384000000002</v>
      </c>
      <c r="Y13" s="39">
        <f t="shared" si="1"/>
        <v>13048.452000000001</v>
      </c>
      <c r="Z13" s="39">
        <f t="shared" si="1"/>
        <v>14981.556</v>
      </c>
      <c r="AA13" s="39">
        <f t="shared" si="1"/>
        <v>16914.66</v>
      </c>
      <c r="AC13" s="3" t="s">
        <v>25</v>
      </c>
      <c r="AD13" s="13">
        <f>O78</f>
        <v>-92031.201637977283</v>
      </c>
      <c r="AE13" s="13">
        <f>AA78</f>
        <v>-137518.59087723179</v>
      </c>
    </row>
    <row r="14" spans="2:31" ht="30" x14ac:dyDescent="0.25">
      <c r="B14" s="9" t="s">
        <v>112</v>
      </c>
      <c r="C14" s="35" t="str">
        <f>Supuestos!B20 &amp; " · Unidades"</f>
        <v>Implantación inicial · Unidades</v>
      </c>
      <c r="D14" s="36">
        <f>IF(D$4&lt;Supuestos!$H20,0,ROUND(Supuestos!$C20*(1+Supuestos!$D20*Supuestos!$C$9)^(D$4-Supuestos!$H20)*D$6,0))</f>
        <v>2</v>
      </c>
      <c r="E14" s="36">
        <f>IF(E$4&lt;Supuestos!$H20,0,ROUND(Supuestos!$C20*(1+Supuestos!$D20*Supuestos!$C$9)^(E$4-Supuestos!$H20)*E$6,0))</f>
        <v>2</v>
      </c>
      <c r="F14" s="36">
        <f>IF(F$4&lt;Supuestos!$H20,0,ROUND(Supuestos!$C20*(1+Supuestos!$D20*Supuestos!$C$9)^(F$4-Supuestos!$H20)*F$6,0))</f>
        <v>2</v>
      </c>
      <c r="G14" s="36">
        <f>IF(G$4&lt;Supuestos!$H20,0,ROUND(Supuestos!$C20*(1+Supuestos!$D20*Supuestos!$C$9)^(G$4-Supuestos!$H20)*G$6,0))</f>
        <v>2</v>
      </c>
      <c r="H14" s="36">
        <f>IF(H$4&lt;Supuestos!$H20,0,ROUND(Supuestos!$C20*(1+Supuestos!$D20*Supuestos!$C$9)^(H$4-Supuestos!$H20)*H$6,0))</f>
        <v>2</v>
      </c>
      <c r="I14" s="36">
        <f>IF(I$4&lt;Supuestos!$H20,0,ROUND(Supuestos!$C20*(1+Supuestos!$D20*Supuestos!$C$9)^(I$4-Supuestos!$H20)*I$6,0))</f>
        <v>3</v>
      </c>
      <c r="J14" s="36">
        <f>IF(J$4&lt;Supuestos!$H20,0,ROUND(Supuestos!$C20*(1+Supuestos!$D20*Supuestos!$C$9)^(J$4-Supuestos!$H20)*J$6,0))</f>
        <v>3</v>
      </c>
      <c r="K14" s="36">
        <f>IF(K$4&lt;Supuestos!$H20,0,ROUND(Supuestos!$C20*(1+Supuestos!$D20*Supuestos!$C$9)^(K$4-Supuestos!$H20)*K$6,0))</f>
        <v>3</v>
      </c>
      <c r="L14" s="36">
        <f>IF(L$4&lt;Supuestos!$H20,0,ROUND(Supuestos!$C20*(1+Supuestos!$D20*Supuestos!$C$9)^(L$4-Supuestos!$H20)*L$6,0))</f>
        <v>3</v>
      </c>
      <c r="M14" s="36">
        <f>IF(M$4&lt;Supuestos!$H20,0,ROUND(Supuestos!$C20*(1+Supuestos!$D20*Supuestos!$C$9)^(M$4-Supuestos!$H20)*M$6,0))</f>
        <v>2</v>
      </c>
      <c r="N14" s="36">
        <f>IF(N$4&lt;Supuestos!$H20,0,ROUND(Supuestos!$C20*(1+Supuestos!$D20*Supuestos!$C$9)^(N$4-Supuestos!$H20)*N$6,0))</f>
        <v>3</v>
      </c>
      <c r="O14" s="36">
        <f>IF(O$4&lt;Supuestos!$H20,0,ROUND(Supuestos!$C20*(1+Supuestos!$D20*Supuestos!$C$9)^(O$4-Supuestos!$H20)*O$6,0))</f>
        <v>3</v>
      </c>
      <c r="P14" s="36">
        <f>IF(P$4&lt;Supuestos!$H20,0,ROUND(Supuestos!$C20*(1+Supuestos!$D20*Supuestos!$C$9)^(P$4-Supuestos!$H20)*P$6,0))</f>
        <v>3</v>
      </c>
      <c r="Q14" s="36">
        <f>IF(Q$4&lt;Supuestos!$H20,0,ROUND(Supuestos!$C20*(1+Supuestos!$D20*Supuestos!$C$9)^(Q$4-Supuestos!$H20)*Q$6,0))</f>
        <v>3</v>
      </c>
      <c r="R14" s="36">
        <f>IF(R$4&lt;Supuestos!$H20,0,ROUND(Supuestos!$C20*(1+Supuestos!$D20*Supuestos!$C$9)^(R$4-Supuestos!$H20)*R$6,0))</f>
        <v>3</v>
      </c>
      <c r="S14" s="36">
        <f>IF(S$4&lt;Supuestos!$H20,0,ROUND(Supuestos!$C20*(1+Supuestos!$D20*Supuestos!$C$9)^(S$4-Supuestos!$H20)*S$6,0))</f>
        <v>3</v>
      </c>
      <c r="T14" s="36">
        <f>IF(T$4&lt;Supuestos!$H20,0,ROUND(Supuestos!$C20*(1+Supuestos!$D20*Supuestos!$C$9)^(T$4-Supuestos!$H20)*T$6,0))</f>
        <v>3</v>
      </c>
      <c r="U14" s="36">
        <f>IF(U$4&lt;Supuestos!$H20,0,ROUND(Supuestos!$C20*(1+Supuestos!$D20*Supuestos!$C$9)^(U$4-Supuestos!$H20)*U$6,0))</f>
        <v>4</v>
      </c>
      <c r="V14" s="36">
        <f>IF(V$4&lt;Supuestos!$H20,0,ROUND(Supuestos!$C20*(1+Supuestos!$D20*Supuestos!$C$9)^(V$4-Supuestos!$H20)*V$6,0))</f>
        <v>4</v>
      </c>
      <c r="W14" s="36">
        <f>IF(W$4&lt;Supuestos!$H20,0,ROUND(Supuestos!$C20*(1+Supuestos!$D20*Supuestos!$C$9)^(W$4-Supuestos!$H20)*W$6,0))</f>
        <v>4</v>
      </c>
      <c r="X14" s="36">
        <f>IF(X$4&lt;Supuestos!$H20,0,ROUND(Supuestos!$C20*(1+Supuestos!$D20*Supuestos!$C$9)^(X$4-Supuestos!$H20)*X$6,0))</f>
        <v>4</v>
      </c>
      <c r="Y14" s="36">
        <f>IF(Y$4&lt;Supuestos!$H20,0,ROUND(Supuestos!$C20*(1+Supuestos!$D20*Supuestos!$C$9)^(Y$4-Supuestos!$H20)*Y$6,0))</f>
        <v>3</v>
      </c>
      <c r="Z14" s="36">
        <f>IF(Z$4&lt;Supuestos!$H20,0,ROUND(Supuestos!$C20*(1+Supuestos!$D20*Supuestos!$C$9)^(Z$4-Supuestos!$H20)*Z$6,0))</f>
        <v>4</v>
      </c>
      <c r="AA14" s="36">
        <f>IF(AA$4&lt;Supuestos!$H20,0,ROUND(Supuestos!$C20*(1+Supuestos!$D20*Supuestos!$C$9)^(AA$4-Supuestos!$H20)*AA$6,0))</f>
        <v>4</v>
      </c>
      <c r="AC14" s="3" t="s">
        <v>186</v>
      </c>
      <c r="AD14" s="13">
        <f>O79</f>
        <v>20494</v>
      </c>
      <c r="AE14" s="13">
        <f>AA79</f>
        <v>41553.539999999979</v>
      </c>
    </row>
    <row r="15" spans="2:31" x14ac:dyDescent="0.25">
      <c r="B15" s="37" t="s">
        <v>182</v>
      </c>
      <c r="C15" s="38" t="str">
        <f>Supuestos!B20 &amp; " · Precio"</f>
        <v>Implantación inicial · Precio</v>
      </c>
      <c r="D15" s="39">
        <f>IF(D$4&lt;Supuestos!$H20,0,Supuestos!$E20*(1+Supuestos!$F20)^INT((D$4-Supuestos!$H20)/12))</f>
        <v>1200</v>
      </c>
      <c r="E15" s="39">
        <f>IF(E$4&lt;Supuestos!$H20,0,Supuestos!$E20*(1+Supuestos!$F20)^INT((E$4-Supuestos!$H20)/12))</f>
        <v>1200</v>
      </c>
      <c r="F15" s="39">
        <f>IF(F$4&lt;Supuestos!$H20,0,Supuestos!$E20*(1+Supuestos!$F20)^INT((F$4-Supuestos!$H20)/12))</f>
        <v>1200</v>
      </c>
      <c r="G15" s="39">
        <f>IF(G$4&lt;Supuestos!$H20,0,Supuestos!$E20*(1+Supuestos!$F20)^INT((G$4-Supuestos!$H20)/12))</f>
        <v>1200</v>
      </c>
      <c r="H15" s="39">
        <f>IF(H$4&lt;Supuestos!$H20,0,Supuestos!$E20*(1+Supuestos!$F20)^INT((H$4-Supuestos!$H20)/12))</f>
        <v>1200</v>
      </c>
      <c r="I15" s="39">
        <f>IF(I$4&lt;Supuestos!$H20,0,Supuestos!$E20*(1+Supuestos!$F20)^INT((I$4-Supuestos!$H20)/12))</f>
        <v>1200</v>
      </c>
      <c r="J15" s="39">
        <f>IF(J$4&lt;Supuestos!$H20,0,Supuestos!$E20*(1+Supuestos!$F20)^INT((J$4-Supuestos!$H20)/12))</f>
        <v>1200</v>
      </c>
      <c r="K15" s="39">
        <f>IF(K$4&lt;Supuestos!$H20,0,Supuestos!$E20*(1+Supuestos!$F20)^INT((K$4-Supuestos!$H20)/12))</f>
        <v>1200</v>
      </c>
      <c r="L15" s="39">
        <f>IF(L$4&lt;Supuestos!$H20,0,Supuestos!$E20*(1+Supuestos!$F20)^INT((L$4-Supuestos!$H20)/12))</f>
        <v>1200</v>
      </c>
      <c r="M15" s="39">
        <f>IF(M$4&lt;Supuestos!$H20,0,Supuestos!$E20*(1+Supuestos!$F20)^INT((M$4-Supuestos!$H20)/12))</f>
        <v>1200</v>
      </c>
      <c r="N15" s="39">
        <f>IF(N$4&lt;Supuestos!$H20,0,Supuestos!$E20*(1+Supuestos!$F20)^INT((N$4-Supuestos!$H20)/12))</f>
        <v>1200</v>
      </c>
      <c r="O15" s="39">
        <f>IF(O$4&lt;Supuestos!$H20,0,Supuestos!$E20*(1+Supuestos!$F20)^INT((O$4-Supuestos!$H20)/12))</f>
        <v>1200</v>
      </c>
      <c r="P15" s="39">
        <f>IF(P$4&lt;Supuestos!$H20,0,Supuestos!$E20*(1+Supuestos!$F20)^INT((P$4-Supuestos!$H20)/12))</f>
        <v>1224</v>
      </c>
      <c r="Q15" s="39">
        <f>IF(Q$4&lt;Supuestos!$H20,0,Supuestos!$E20*(1+Supuestos!$F20)^INT((Q$4-Supuestos!$H20)/12))</f>
        <v>1224</v>
      </c>
      <c r="R15" s="39">
        <f>IF(R$4&lt;Supuestos!$H20,0,Supuestos!$E20*(1+Supuestos!$F20)^INT((R$4-Supuestos!$H20)/12))</f>
        <v>1224</v>
      </c>
      <c r="S15" s="39">
        <f>IF(S$4&lt;Supuestos!$H20,0,Supuestos!$E20*(1+Supuestos!$F20)^INT((S$4-Supuestos!$H20)/12))</f>
        <v>1224</v>
      </c>
      <c r="T15" s="39">
        <f>IF(T$4&lt;Supuestos!$H20,0,Supuestos!$E20*(1+Supuestos!$F20)^INT((T$4-Supuestos!$H20)/12))</f>
        <v>1224</v>
      </c>
      <c r="U15" s="39">
        <f>IF(U$4&lt;Supuestos!$H20,0,Supuestos!$E20*(1+Supuestos!$F20)^INT((U$4-Supuestos!$H20)/12))</f>
        <v>1224</v>
      </c>
      <c r="V15" s="39">
        <f>IF(V$4&lt;Supuestos!$H20,0,Supuestos!$E20*(1+Supuestos!$F20)^INT((V$4-Supuestos!$H20)/12))</f>
        <v>1224</v>
      </c>
      <c r="W15" s="39">
        <f>IF(W$4&lt;Supuestos!$H20,0,Supuestos!$E20*(1+Supuestos!$F20)^INT((W$4-Supuestos!$H20)/12))</f>
        <v>1224</v>
      </c>
      <c r="X15" s="39">
        <f>IF(X$4&lt;Supuestos!$H20,0,Supuestos!$E20*(1+Supuestos!$F20)^INT((X$4-Supuestos!$H20)/12))</f>
        <v>1224</v>
      </c>
      <c r="Y15" s="39">
        <f>IF(Y$4&lt;Supuestos!$H20,0,Supuestos!$E20*(1+Supuestos!$F20)^INT((Y$4-Supuestos!$H20)/12))</f>
        <v>1224</v>
      </c>
      <c r="Z15" s="39">
        <f>IF(Z$4&lt;Supuestos!$H20,0,Supuestos!$E20*(1+Supuestos!$F20)^INT((Z$4-Supuestos!$H20)/12))</f>
        <v>1224</v>
      </c>
      <c r="AA15" s="39">
        <f>IF(AA$4&lt;Supuestos!$H20,0,Supuestos!$E20*(1+Supuestos!$F20)^INT((AA$4-Supuestos!$H20)/12))</f>
        <v>1224</v>
      </c>
      <c r="AC15" s="3" t="s">
        <v>187</v>
      </c>
      <c r="AD15" s="13">
        <f>O74</f>
        <v>17908.536569701682</v>
      </c>
      <c r="AE15" s="13">
        <f>AA74</f>
        <v>9636.9697163270212</v>
      </c>
    </row>
    <row r="16" spans="2:31" x14ac:dyDescent="0.25">
      <c r="B16" s="37" t="s">
        <v>182</v>
      </c>
      <c r="C16" s="40" t="str">
        <f>Supuestos!B20 &amp; " · Ingresos"</f>
        <v>Implantación inicial · Ingresos</v>
      </c>
      <c r="D16" s="39">
        <f>D14*D15*Supuestos!$C$7</f>
        <v>2400</v>
      </c>
      <c r="E16" s="39">
        <f>E14*E15*Supuestos!$C$7</f>
        <v>2400</v>
      </c>
      <c r="F16" s="39">
        <f>F14*F15*Supuestos!$C$7</f>
        <v>2400</v>
      </c>
      <c r="G16" s="39">
        <f>G14*G15*Supuestos!$C$7</f>
        <v>2400</v>
      </c>
      <c r="H16" s="39">
        <f>H14*H15*Supuestos!$C$7</f>
        <v>2400</v>
      </c>
      <c r="I16" s="39">
        <f>I14*I15*Supuestos!$C$7</f>
        <v>3600</v>
      </c>
      <c r="J16" s="39">
        <f>J14*J15*Supuestos!$C$7</f>
        <v>3600</v>
      </c>
      <c r="K16" s="39">
        <f>K14*K15*Supuestos!$C$7</f>
        <v>3600</v>
      </c>
      <c r="L16" s="39">
        <f>L14*L15*Supuestos!$C$7</f>
        <v>3600</v>
      </c>
      <c r="M16" s="39">
        <f>M14*M15*Supuestos!$C$7</f>
        <v>2400</v>
      </c>
      <c r="N16" s="39">
        <f>N14*N15*Supuestos!$C$7</f>
        <v>3600</v>
      </c>
      <c r="O16" s="39">
        <f>O14*O15*Supuestos!$C$7</f>
        <v>3600</v>
      </c>
      <c r="P16" s="39">
        <f>P14*P15*Supuestos!$C$7</f>
        <v>3672</v>
      </c>
      <c r="Q16" s="39">
        <f>Q14*Q15*Supuestos!$C$7</f>
        <v>3672</v>
      </c>
      <c r="R16" s="39">
        <f>R14*R15*Supuestos!$C$7</f>
        <v>3672</v>
      </c>
      <c r="S16" s="39">
        <f>S14*S15*Supuestos!$C$7</f>
        <v>3672</v>
      </c>
      <c r="T16" s="39">
        <f>T14*T15*Supuestos!$C$7</f>
        <v>3672</v>
      </c>
      <c r="U16" s="39">
        <f>U14*U15*Supuestos!$C$7</f>
        <v>4896</v>
      </c>
      <c r="V16" s="39">
        <f>V14*V15*Supuestos!$C$7</f>
        <v>4896</v>
      </c>
      <c r="W16" s="39">
        <f>W14*W15*Supuestos!$C$7</f>
        <v>4896</v>
      </c>
      <c r="X16" s="39">
        <f>X14*X15*Supuestos!$C$7</f>
        <v>4896</v>
      </c>
      <c r="Y16" s="39">
        <f>Y14*Y15*Supuestos!$C$7</f>
        <v>3672</v>
      </c>
      <c r="Z16" s="39">
        <f>Z14*Z15*Supuestos!$C$7</f>
        <v>4896</v>
      </c>
      <c r="AA16" s="39">
        <f>AA14*AA15*Supuestos!$C$7</f>
        <v>4896</v>
      </c>
      <c r="AC16" s="3" t="s">
        <v>188</v>
      </c>
      <c r="AD16" s="13">
        <f>O84</f>
        <v>33184.12093985681</v>
      </c>
      <c r="AE16" s="13">
        <f>AA84</f>
        <v>34375.364085221627</v>
      </c>
    </row>
    <row r="17" spans="2:27" ht="30" x14ac:dyDescent="0.25">
      <c r="B17" s="37" t="s">
        <v>182</v>
      </c>
      <c r="C17" s="38" t="str">
        <f>Supuestos!B20 &amp; " · Coste variable"</f>
        <v>Implantación inicial · Coste variable</v>
      </c>
      <c r="D17" s="39">
        <f>D16*Supuestos!$G20*Supuestos!$C$8</f>
        <v>432</v>
      </c>
      <c r="E17" s="39">
        <f>E16*Supuestos!$G20*Supuestos!$C$8</f>
        <v>432</v>
      </c>
      <c r="F17" s="39">
        <f>F16*Supuestos!$G20*Supuestos!$C$8</f>
        <v>432</v>
      </c>
      <c r="G17" s="39">
        <f>G16*Supuestos!$G20*Supuestos!$C$8</f>
        <v>432</v>
      </c>
      <c r="H17" s="39">
        <f>H16*Supuestos!$G20*Supuestos!$C$8</f>
        <v>432</v>
      </c>
      <c r="I17" s="39">
        <f>I16*Supuestos!$G20*Supuestos!$C$8</f>
        <v>648</v>
      </c>
      <c r="J17" s="39">
        <f>J16*Supuestos!$G20*Supuestos!$C$8</f>
        <v>648</v>
      </c>
      <c r="K17" s="39">
        <f>K16*Supuestos!$G20*Supuestos!$C$8</f>
        <v>648</v>
      </c>
      <c r="L17" s="39">
        <f>L16*Supuestos!$G20*Supuestos!$C$8</f>
        <v>648</v>
      </c>
      <c r="M17" s="39">
        <f>M16*Supuestos!$G20*Supuestos!$C$8</f>
        <v>432</v>
      </c>
      <c r="N17" s="39">
        <f>N16*Supuestos!$G20*Supuestos!$C$8</f>
        <v>648</v>
      </c>
      <c r="O17" s="39">
        <f>O16*Supuestos!$G20*Supuestos!$C$8</f>
        <v>648</v>
      </c>
      <c r="P17" s="39">
        <f>P16*Supuestos!$G20*Supuestos!$C$8</f>
        <v>660.95999999999992</v>
      </c>
      <c r="Q17" s="39">
        <f>Q16*Supuestos!$G20*Supuestos!$C$8</f>
        <v>660.95999999999992</v>
      </c>
      <c r="R17" s="39">
        <f>R16*Supuestos!$G20*Supuestos!$C$8</f>
        <v>660.95999999999992</v>
      </c>
      <c r="S17" s="39">
        <f>S16*Supuestos!$G20*Supuestos!$C$8</f>
        <v>660.95999999999992</v>
      </c>
      <c r="T17" s="39">
        <f>T16*Supuestos!$G20*Supuestos!$C$8</f>
        <v>660.95999999999992</v>
      </c>
      <c r="U17" s="39">
        <f>U16*Supuestos!$G20*Supuestos!$C$8</f>
        <v>881.28</v>
      </c>
      <c r="V17" s="39">
        <f>V16*Supuestos!$G20*Supuestos!$C$8</f>
        <v>881.28</v>
      </c>
      <c r="W17" s="39">
        <f>W16*Supuestos!$G20*Supuestos!$C$8</f>
        <v>881.28</v>
      </c>
      <c r="X17" s="39">
        <f>X16*Supuestos!$G20*Supuestos!$C$8</f>
        <v>881.28</v>
      </c>
      <c r="Y17" s="39">
        <f>Y16*Supuestos!$G20*Supuestos!$C$8</f>
        <v>660.95999999999992</v>
      </c>
      <c r="Z17" s="39">
        <f>Z16*Supuestos!$G20*Supuestos!$C$8</f>
        <v>881.28</v>
      </c>
      <c r="AA17" s="39">
        <f>AA16*Supuestos!$G20*Supuestos!$C$8</f>
        <v>881.28</v>
      </c>
    </row>
    <row r="18" spans="2:27" ht="30" x14ac:dyDescent="0.25">
      <c r="B18" s="37" t="s">
        <v>182</v>
      </c>
      <c r="C18" s="38" t="str">
        <f>Supuestos!B20 &amp; " · Margen bruto"</f>
        <v>Implantación inicial · Margen bruto</v>
      </c>
      <c r="D18" s="39">
        <f t="shared" ref="D18:AA18" si="2">D16-D17</f>
        <v>1968</v>
      </c>
      <c r="E18" s="39">
        <f t="shared" si="2"/>
        <v>1968</v>
      </c>
      <c r="F18" s="39">
        <f t="shared" si="2"/>
        <v>1968</v>
      </c>
      <c r="G18" s="39">
        <f t="shared" si="2"/>
        <v>1968</v>
      </c>
      <c r="H18" s="39">
        <f t="shared" si="2"/>
        <v>1968</v>
      </c>
      <c r="I18" s="39">
        <f t="shared" si="2"/>
        <v>2952</v>
      </c>
      <c r="J18" s="39">
        <f t="shared" si="2"/>
        <v>2952</v>
      </c>
      <c r="K18" s="39">
        <f t="shared" si="2"/>
        <v>2952</v>
      </c>
      <c r="L18" s="39">
        <f t="shared" si="2"/>
        <v>2952</v>
      </c>
      <c r="M18" s="39">
        <f t="shared" si="2"/>
        <v>1968</v>
      </c>
      <c r="N18" s="39">
        <f t="shared" si="2"/>
        <v>2952</v>
      </c>
      <c r="O18" s="39">
        <f t="shared" si="2"/>
        <v>2952</v>
      </c>
      <c r="P18" s="39">
        <f t="shared" si="2"/>
        <v>3011.04</v>
      </c>
      <c r="Q18" s="39">
        <f t="shared" si="2"/>
        <v>3011.04</v>
      </c>
      <c r="R18" s="39">
        <f t="shared" si="2"/>
        <v>3011.04</v>
      </c>
      <c r="S18" s="39">
        <f t="shared" si="2"/>
        <v>3011.04</v>
      </c>
      <c r="T18" s="39">
        <f t="shared" si="2"/>
        <v>3011.04</v>
      </c>
      <c r="U18" s="39">
        <f t="shared" si="2"/>
        <v>4014.7200000000003</v>
      </c>
      <c r="V18" s="39">
        <f t="shared" si="2"/>
        <v>4014.7200000000003</v>
      </c>
      <c r="W18" s="39">
        <f t="shared" si="2"/>
        <v>4014.7200000000003</v>
      </c>
      <c r="X18" s="39">
        <f t="shared" si="2"/>
        <v>4014.7200000000003</v>
      </c>
      <c r="Y18" s="39">
        <f t="shared" si="2"/>
        <v>3011.04</v>
      </c>
      <c r="Z18" s="39">
        <f t="shared" si="2"/>
        <v>4014.7200000000003</v>
      </c>
      <c r="AA18" s="39">
        <f t="shared" si="2"/>
        <v>4014.7200000000003</v>
      </c>
    </row>
    <row r="19" spans="2:27" x14ac:dyDescent="0.25">
      <c r="B19" s="9" t="s">
        <v>112</v>
      </c>
      <c r="C19" s="35" t="str">
        <f>Supuestos!B21 &amp; " · Unidades"</f>
        <v>Kits extra · Unidades</v>
      </c>
      <c r="D19" s="36">
        <f>IF(D$4&lt;Supuestos!$H21,0,ROUND(Supuestos!$C21*(1+Supuestos!$D21*Supuestos!$C$9)^(D$4-Supuestos!$H21)*D$6,0))</f>
        <v>0</v>
      </c>
      <c r="E19" s="36">
        <f>IF(E$4&lt;Supuestos!$H21,0,ROUND(Supuestos!$C21*(1+Supuestos!$D21*Supuestos!$C$9)^(E$4-Supuestos!$H21)*E$6,0))</f>
        <v>126</v>
      </c>
      <c r="F19" s="36">
        <f>IF(F$4&lt;Supuestos!$H21,0,ROUND(Supuestos!$C21*(1+Supuestos!$D21*Supuestos!$C$9)^(F$4-Supuestos!$H21)*F$6,0))</f>
        <v>135</v>
      </c>
      <c r="G19" s="36">
        <f>IF(G$4&lt;Supuestos!$H21,0,ROUND(Supuestos!$C21*(1+Supuestos!$D21*Supuestos!$C$9)^(G$4-Supuestos!$H21)*G$6,0))</f>
        <v>125</v>
      </c>
      <c r="H19" s="36">
        <f>IF(H$4&lt;Supuestos!$H21,0,ROUND(Supuestos!$C21*(1+Supuestos!$D21*Supuestos!$C$9)^(H$4-Supuestos!$H21)*H$6,0))</f>
        <v>119</v>
      </c>
      <c r="I19" s="36">
        <f>IF(I$4&lt;Supuestos!$H21,0,ROUND(Supuestos!$C21*(1+Supuestos!$D21*Supuestos!$C$9)^(I$4-Supuestos!$H21)*I$6,0))</f>
        <v>154</v>
      </c>
      <c r="J19" s="36">
        <f>IF(J$4&lt;Supuestos!$H21,0,ROUND(Supuestos!$C21*(1+Supuestos!$D21*Supuestos!$C$9)^(J$4-Supuestos!$H21)*J$6,0))</f>
        <v>164</v>
      </c>
      <c r="K19" s="36">
        <f>IF(K$4&lt;Supuestos!$H21,0,ROUND(Supuestos!$C21*(1+Supuestos!$D21*Supuestos!$C$9)^(K$4-Supuestos!$H21)*K$6,0))</f>
        <v>175</v>
      </c>
      <c r="L19" s="36">
        <f>IF(L$4&lt;Supuestos!$H21,0,ROUND(Supuestos!$C21*(1+Supuestos!$D21*Supuestos!$C$9)^(L$4-Supuestos!$H21)*L$6,0))</f>
        <v>189</v>
      </c>
      <c r="M19" s="36">
        <f>IF(M$4&lt;Supuestos!$H21,0,ROUND(Supuestos!$C21*(1+Supuestos!$D21*Supuestos!$C$9)^(M$4-Supuestos!$H21)*M$6,0))</f>
        <v>148</v>
      </c>
      <c r="N19" s="36">
        <f>IF(N$4&lt;Supuestos!$H21,0,ROUND(Supuestos!$C21*(1+Supuestos!$D21*Supuestos!$C$9)^(N$4-Supuestos!$H21)*N$6,0))</f>
        <v>162</v>
      </c>
      <c r="O19" s="36">
        <f>IF(O$4&lt;Supuestos!$H21,0,ROUND(Supuestos!$C21*(1+Supuestos!$D21*Supuestos!$C$9)^(O$4-Supuestos!$H21)*O$6,0))</f>
        <v>178</v>
      </c>
      <c r="P19" s="36">
        <f>IF(P$4&lt;Supuestos!$H21,0,ROUND(Supuestos!$C21*(1+Supuestos!$D21*Supuestos!$C$9)^(P$4-Supuestos!$H21)*P$6,0))</f>
        <v>190</v>
      </c>
      <c r="Q19" s="36">
        <f>IF(Q$4&lt;Supuestos!$H21,0,ROUND(Supuestos!$C21*(1+Supuestos!$D21*Supuestos!$C$9)^(Q$4-Supuestos!$H21)*Q$6,0))</f>
        <v>202</v>
      </c>
      <c r="R19" s="36">
        <f>IF(R$4&lt;Supuestos!$H21,0,ROUND(Supuestos!$C21*(1+Supuestos!$D21*Supuestos!$C$9)^(R$4-Supuestos!$H21)*R$6,0))</f>
        <v>216</v>
      </c>
      <c r="S19" s="36">
        <f>IF(S$4&lt;Supuestos!$H21,0,ROUND(Supuestos!$C21*(1+Supuestos!$D21*Supuestos!$C$9)^(S$4-Supuestos!$H21)*S$6,0))</f>
        <v>199</v>
      </c>
      <c r="T19" s="36">
        <f>IF(T$4&lt;Supuestos!$H21,0,ROUND(Supuestos!$C21*(1+Supuestos!$D21*Supuestos!$C$9)^(T$4-Supuestos!$H21)*T$6,0))</f>
        <v>190</v>
      </c>
      <c r="U19" s="36">
        <f>IF(U$4&lt;Supuestos!$H21,0,ROUND(Supuestos!$C21*(1+Supuestos!$D21*Supuestos!$C$9)^(U$4-Supuestos!$H21)*U$6,0))</f>
        <v>247</v>
      </c>
      <c r="V19" s="36">
        <f>IF(V$4&lt;Supuestos!$H21,0,ROUND(Supuestos!$C21*(1+Supuestos!$D21*Supuestos!$C$9)^(V$4-Supuestos!$H21)*V$6,0))</f>
        <v>262</v>
      </c>
      <c r="W19" s="36">
        <f>IF(W$4&lt;Supuestos!$H21,0,ROUND(Supuestos!$C21*(1+Supuestos!$D21*Supuestos!$C$9)^(W$4-Supuestos!$H21)*W$6,0))</f>
        <v>280</v>
      </c>
      <c r="X19" s="36">
        <f>IF(X$4&lt;Supuestos!$H21,0,ROUND(Supuestos!$C21*(1+Supuestos!$D21*Supuestos!$C$9)^(X$4-Supuestos!$H21)*X$6,0))</f>
        <v>303</v>
      </c>
      <c r="Y19" s="36">
        <f>IF(Y$4&lt;Supuestos!$H21,0,ROUND(Supuestos!$C21*(1+Supuestos!$D21*Supuestos!$C$9)^(Y$4-Supuestos!$H21)*Y$6,0))</f>
        <v>237</v>
      </c>
      <c r="Z19" s="36">
        <f>IF(Z$4&lt;Supuestos!$H21,0,ROUND(Supuestos!$C21*(1+Supuestos!$D21*Supuestos!$C$9)^(Z$4-Supuestos!$H21)*Z$6,0))</f>
        <v>260</v>
      </c>
      <c r="AA19" s="36">
        <f>IF(AA$4&lt;Supuestos!$H21,0,ROUND(Supuestos!$C21*(1+Supuestos!$D21*Supuestos!$C$9)^(AA$4-Supuestos!$H21)*AA$6,0))</f>
        <v>284</v>
      </c>
    </row>
    <row r="20" spans="2:27" x14ac:dyDescent="0.25">
      <c r="B20" s="37" t="s">
        <v>182</v>
      </c>
      <c r="C20" s="38" t="str">
        <f>Supuestos!B21 &amp; " · Precio"</f>
        <v>Kits extra · Precio</v>
      </c>
      <c r="D20" s="39">
        <f>IF(D$4&lt;Supuestos!$H21,0,Supuestos!$E21*(1+Supuestos!$F21)^INT((D$4-Supuestos!$H21)/12))</f>
        <v>0</v>
      </c>
      <c r="E20" s="39">
        <f>IF(E$4&lt;Supuestos!$H21,0,Supuestos!$E21*(1+Supuestos!$F21)^INT((E$4-Supuestos!$H21)/12))</f>
        <v>28</v>
      </c>
      <c r="F20" s="39">
        <f>IF(F$4&lt;Supuestos!$H21,0,Supuestos!$E21*(1+Supuestos!$F21)^INT((F$4-Supuestos!$H21)/12))</f>
        <v>28</v>
      </c>
      <c r="G20" s="39">
        <f>IF(G$4&lt;Supuestos!$H21,0,Supuestos!$E21*(1+Supuestos!$F21)^INT((G$4-Supuestos!$H21)/12))</f>
        <v>28</v>
      </c>
      <c r="H20" s="39">
        <f>IF(H$4&lt;Supuestos!$H21,0,Supuestos!$E21*(1+Supuestos!$F21)^INT((H$4-Supuestos!$H21)/12))</f>
        <v>28</v>
      </c>
      <c r="I20" s="39">
        <f>IF(I$4&lt;Supuestos!$H21,0,Supuestos!$E21*(1+Supuestos!$F21)^INT((I$4-Supuestos!$H21)/12))</f>
        <v>28</v>
      </c>
      <c r="J20" s="39">
        <f>IF(J$4&lt;Supuestos!$H21,0,Supuestos!$E21*(1+Supuestos!$F21)^INT((J$4-Supuestos!$H21)/12))</f>
        <v>28</v>
      </c>
      <c r="K20" s="39">
        <f>IF(K$4&lt;Supuestos!$H21,0,Supuestos!$E21*(1+Supuestos!$F21)^INT((K$4-Supuestos!$H21)/12))</f>
        <v>28</v>
      </c>
      <c r="L20" s="39">
        <f>IF(L$4&lt;Supuestos!$H21,0,Supuestos!$E21*(1+Supuestos!$F21)^INT((L$4-Supuestos!$H21)/12))</f>
        <v>28</v>
      </c>
      <c r="M20" s="39">
        <f>IF(M$4&lt;Supuestos!$H21,0,Supuestos!$E21*(1+Supuestos!$F21)^INT((M$4-Supuestos!$H21)/12))</f>
        <v>28</v>
      </c>
      <c r="N20" s="39">
        <f>IF(N$4&lt;Supuestos!$H21,0,Supuestos!$E21*(1+Supuestos!$F21)^INT((N$4-Supuestos!$H21)/12))</f>
        <v>28</v>
      </c>
      <c r="O20" s="39">
        <f>IF(O$4&lt;Supuestos!$H21,0,Supuestos!$E21*(1+Supuestos!$F21)^INT((O$4-Supuestos!$H21)/12))</f>
        <v>28</v>
      </c>
      <c r="P20" s="39">
        <f>IF(P$4&lt;Supuestos!$H21,0,Supuestos!$E21*(1+Supuestos!$F21)^INT((P$4-Supuestos!$H21)/12))</f>
        <v>28</v>
      </c>
      <c r="Q20" s="39">
        <f>IF(Q$4&lt;Supuestos!$H21,0,Supuestos!$E21*(1+Supuestos!$F21)^INT((Q$4-Supuestos!$H21)/12))</f>
        <v>28.560000000000002</v>
      </c>
      <c r="R20" s="39">
        <f>IF(R$4&lt;Supuestos!$H21,0,Supuestos!$E21*(1+Supuestos!$F21)^INT((R$4-Supuestos!$H21)/12))</f>
        <v>28.560000000000002</v>
      </c>
      <c r="S20" s="39">
        <f>IF(S$4&lt;Supuestos!$H21,0,Supuestos!$E21*(1+Supuestos!$F21)^INT((S$4-Supuestos!$H21)/12))</f>
        <v>28.560000000000002</v>
      </c>
      <c r="T20" s="39">
        <f>IF(T$4&lt;Supuestos!$H21,0,Supuestos!$E21*(1+Supuestos!$F21)^INT((T$4-Supuestos!$H21)/12))</f>
        <v>28.560000000000002</v>
      </c>
      <c r="U20" s="39">
        <f>IF(U$4&lt;Supuestos!$H21,0,Supuestos!$E21*(1+Supuestos!$F21)^INT((U$4-Supuestos!$H21)/12))</f>
        <v>28.560000000000002</v>
      </c>
      <c r="V20" s="39">
        <f>IF(V$4&lt;Supuestos!$H21,0,Supuestos!$E21*(1+Supuestos!$F21)^INT((V$4-Supuestos!$H21)/12))</f>
        <v>28.560000000000002</v>
      </c>
      <c r="W20" s="39">
        <f>IF(W$4&lt;Supuestos!$H21,0,Supuestos!$E21*(1+Supuestos!$F21)^INT((W$4-Supuestos!$H21)/12))</f>
        <v>28.560000000000002</v>
      </c>
      <c r="X20" s="39">
        <f>IF(X$4&lt;Supuestos!$H21,0,Supuestos!$E21*(1+Supuestos!$F21)^INT((X$4-Supuestos!$H21)/12))</f>
        <v>28.560000000000002</v>
      </c>
      <c r="Y20" s="39">
        <f>IF(Y$4&lt;Supuestos!$H21,0,Supuestos!$E21*(1+Supuestos!$F21)^INT((Y$4-Supuestos!$H21)/12))</f>
        <v>28.560000000000002</v>
      </c>
      <c r="Z20" s="39">
        <f>IF(Z$4&lt;Supuestos!$H21,0,Supuestos!$E21*(1+Supuestos!$F21)^INT((Z$4-Supuestos!$H21)/12))</f>
        <v>28.560000000000002</v>
      </c>
      <c r="AA20" s="39">
        <f>IF(AA$4&lt;Supuestos!$H21,0,Supuestos!$E21*(1+Supuestos!$F21)^INT((AA$4-Supuestos!$H21)/12))</f>
        <v>28.560000000000002</v>
      </c>
    </row>
    <row r="21" spans="2:27" x14ac:dyDescent="0.25">
      <c r="B21" s="37" t="s">
        <v>182</v>
      </c>
      <c r="C21" s="40" t="str">
        <f>Supuestos!B21 &amp; " · Ingresos"</f>
        <v>Kits extra · Ingresos</v>
      </c>
      <c r="D21" s="39">
        <f>D19*D20*Supuestos!$C$7</f>
        <v>0</v>
      </c>
      <c r="E21" s="39">
        <f>E19*E20*Supuestos!$C$7</f>
        <v>3528</v>
      </c>
      <c r="F21" s="39">
        <f>F19*F20*Supuestos!$C$7</f>
        <v>3780</v>
      </c>
      <c r="G21" s="39">
        <f>G19*G20*Supuestos!$C$7</f>
        <v>3500</v>
      </c>
      <c r="H21" s="39">
        <f>H19*H20*Supuestos!$C$7</f>
        <v>3332</v>
      </c>
      <c r="I21" s="39">
        <f>I19*I20*Supuestos!$C$7</f>
        <v>4312</v>
      </c>
      <c r="J21" s="39">
        <f>J19*J20*Supuestos!$C$7</f>
        <v>4592</v>
      </c>
      <c r="K21" s="39">
        <f>K19*K20*Supuestos!$C$7</f>
        <v>4900</v>
      </c>
      <c r="L21" s="39">
        <f>L19*L20*Supuestos!$C$7</f>
        <v>5292</v>
      </c>
      <c r="M21" s="39">
        <f>M19*M20*Supuestos!$C$7</f>
        <v>4144</v>
      </c>
      <c r="N21" s="39">
        <f>N19*N20*Supuestos!$C$7</f>
        <v>4536</v>
      </c>
      <c r="O21" s="39">
        <f>O19*O20*Supuestos!$C$7</f>
        <v>4984</v>
      </c>
      <c r="P21" s="39">
        <f>P19*P20*Supuestos!$C$7</f>
        <v>5320</v>
      </c>
      <c r="Q21" s="39">
        <f>Q19*Q20*Supuestos!$C$7</f>
        <v>5769.1200000000008</v>
      </c>
      <c r="R21" s="39">
        <f>R19*R20*Supuestos!$C$7</f>
        <v>6168.9600000000009</v>
      </c>
      <c r="S21" s="39">
        <f>S19*S20*Supuestos!$C$7</f>
        <v>5683.4400000000005</v>
      </c>
      <c r="T21" s="39">
        <f>T19*T20*Supuestos!$C$7</f>
        <v>5426.4000000000005</v>
      </c>
      <c r="U21" s="39">
        <f>U19*U20*Supuestos!$C$7</f>
        <v>7054.3200000000006</v>
      </c>
      <c r="V21" s="39">
        <f>V19*V20*Supuestos!$C$7</f>
        <v>7482.72</v>
      </c>
      <c r="W21" s="39">
        <f>W19*W20*Supuestos!$C$7</f>
        <v>7996.8000000000011</v>
      </c>
      <c r="X21" s="39">
        <f>X19*X20*Supuestos!$C$7</f>
        <v>8653.68</v>
      </c>
      <c r="Y21" s="39">
        <f>Y19*Y20*Supuestos!$C$7</f>
        <v>6768.72</v>
      </c>
      <c r="Z21" s="39">
        <f>Z19*Z20*Supuestos!$C$7</f>
        <v>7425.6</v>
      </c>
      <c r="AA21" s="39">
        <f>AA19*AA20*Supuestos!$C$7</f>
        <v>8111.0400000000009</v>
      </c>
    </row>
    <row r="22" spans="2:27" x14ac:dyDescent="0.25">
      <c r="B22" s="37" t="s">
        <v>182</v>
      </c>
      <c r="C22" s="38" t="str">
        <f>Supuestos!B21 &amp; " · Coste variable"</f>
        <v>Kits extra · Coste variable</v>
      </c>
      <c r="D22" s="39">
        <f>D21*Supuestos!$G21*Supuestos!$C$8</f>
        <v>0</v>
      </c>
      <c r="E22" s="39">
        <f>E21*Supuestos!$G21*Supuestos!$C$8</f>
        <v>1940.4</v>
      </c>
      <c r="F22" s="39">
        <f>F21*Supuestos!$G21*Supuestos!$C$8</f>
        <v>2079</v>
      </c>
      <c r="G22" s="39">
        <f>G21*Supuestos!$G21*Supuestos!$C$8</f>
        <v>1925.0000000000002</v>
      </c>
      <c r="H22" s="39">
        <f>H21*Supuestos!$G21*Supuestos!$C$8</f>
        <v>1832.6000000000001</v>
      </c>
      <c r="I22" s="39">
        <f>I21*Supuestos!$G21*Supuestos!$C$8</f>
        <v>2371.6000000000004</v>
      </c>
      <c r="J22" s="39">
        <f>J21*Supuestos!$G21*Supuestos!$C$8</f>
        <v>2525.6000000000004</v>
      </c>
      <c r="K22" s="39">
        <f>K21*Supuestos!$G21*Supuestos!$C$8</f>
        <v>2695</v>
      </c>
      <c r="L22" s="39">
        <f>L21*Supuestos!$G21*Supuestos!$C$8</f>
        <v>2910.6000000000004</v>
      </c>
      <c r="M22" s="39">
        <f>M21*Supuestos!$G21*Supuestos!$C$8</f>
        <v>2279.2000000000003</v>
      </c>
      <c r="N22" s="39">
        <f>N21*Supuestos!$G21*Supuestos!$C$8</f>
        <v>2494.8000000000002</v>
      </c>
      <c r="O22" s="39">
        <f>O21*Supuestos!$G21*Supuestos!$C$8</f>
        <v>2741.2000000000003</v>
      </c>
      <c r="P22" s="39">
        <f>P21*Supuestos!$G21*Supuestos!$C$8</f>
        <v>2926.0000000000005</v>
      </c>
      <c r="Q22" s="39">
        <f>Q21*Supuestos!$G21*Supuestos!$C$8</f>
        <v>3173.0160000000005</v>
      </c>
      <c r="R22" s="39">
        <f>R21*Supuestos!$G21*Supuestos!$C$8</f>
        <v>3392.9280000000008</v>
      </c>
      <c r="S22" s="39">
        <f>S21*Supuestos!$G21*Supuestos!$C$8</f>
        <v>3125.8920000000007</v>
      </c>
      <c r="T22" s="39">
        <f>T21*Supuestos!$G21*Supuestos!$C$8</f>
        <v>2984.5200000000004</v>
      </c>
      <c r="U22" s="39">
        <f>U21*Supuestos!$G21*Supuestos!$C$8</f>
        <v>3879.8760000000007</v>
      </c>
      <c r="V22" s="39">
        <f>V21*Supuestos!$G21*Supuestos!$C$8</f>
        <v>4115.4960000000001</v>
      </c>
      <c r="W22" s="39">
        <f>W21*Supuestos!$G21*Supuestos!$C$8</f>
        <v>4398.2400000000007</v>
      </c>
      <c r="X22" s="39">
        <f>X21*Supuestos!$G21*Supuestos!$C$8</f>
        <v>4759.5240000000003</v>
      </c>
      <c r="Y22" s="39">
        <f>Y21*Supuestos!$G21*Supuestos!$C$8</f>
        <v>3722.7960000000003</v>
      </c>
      <c r="Z22" s="39">
        <f>Z21*Supuestos!$G21*Supuestos!$C$8</f>
        <v>4084.0800000000004</v>
      </c>
      <c r="AA22" s="39">
        <f>AA21*Supuestos!$G21*Supuestos!$C$8</f>
        <v>4461.072000000001</v>
      </c>
    </row>
    <row r="23" spans="2:27" x14ac:dyDescent="0.25">
      <c r="B23" s="37" t="s">
        <v>182</v>
      </c>
      <c r="C23" s="38" t="str">
        <f>Supuestos!B21 &amp; " · Margen bruto"</f>
        <v>Kits extra · Margen bruto</v>
      </c>
      <c r="D23" s="39">
        <f t="shared" ref="D23:AA23" si="3">D21-D22</f>
        <v>0</v>
      </c>
      <c r="E23" s="39">
        <f t="shared" si="3"/>
        <v>1587.6</v>
      </c>
      <c r="F23" s="39">
        <f t="shared" si="3"/>
        <v>1701</v>
      </c>
      <c r="G23" s="39">
        <f t="shared" si="3"/>
        <v>1574.9999999999998</v>
      </c>
      <c r="H23" s="39">
        <f t="shared" si="3"/>
        <v>1499.3999999999999</v>
      </c>
      <c r="I23" s="39">
        <f t="shared" si="3"/>
        <v>1940.3999999999996</v>
      </c>
      <c r="J23" s="39">
        <f t="shared" si="3"/>
        <v>2066.3999999999996</v>
      </c>
      <c r="K23" s="39">
        <f t="shared" si="3"/>
        <v>2205</v>
      </c>
      <c r="L23" s="39">
        <f t="shared" si="3"/>
        <v>2381.3999999999996</v>
      </c>
      <c r="M23" s="39">
        <f t="shared" si="3"/>
        <v>1864.7999999999997</v>
      </c>
      <c r="N23" s="39">
        <f t="shared" si="3"/>
        <v>2041.1999999999998</v>
      </c>
      <c r="O23" s="39">
        <f t="shared" si="3"/>
        <v>2242.7999999999997</v>
      </c>
      <c r="P23" s="39">
        <f t="shared" si="3"/>
        <v>2393.9999999999995</v>
      </c>
      <c r="Q23" s="39">
        <f t="shared" si="3"/>
        <v>2596.1040000000003</v>
      </c>
      <c r="R23" s="39">
        <f t="shared" si="3"/>
        <v>2776.0320000000002</v>
      </c>
      <c r="S23" s="39">
        <f t="shared" si="3"/>
        <v>2557.5479999999998</v>
      </c>
      <c r="T23" s="39">
        <f t="shared" si="3"/>
        <v>2441.88</v>
      </c>
      <c r="U23" s="39">
        <f t="shared" si="3"/>
        <v>3174.444</v>
      </c>
      <c r="V23" s="39">
        <f t="shared" si="3"/>
        <v>3367.2240000000002</v>
      </c>
      <c r="W23" s="39">
        <f t="shared" si="3"/>
        <v>3598.5600000000004</v>
      </c>
      <c r="X23" s="39">
        <f t="shared" si="3"/>
        <v>3894.1559999999999</v>
      </c>
      <c r="Y23" s="39">
        <f t="shared" si="3"/>
        <v>3045.924</v>
      </c>
      <c r="Z23" s="39">
        <f t="shared" si="3"/>
        <v>3341.52</v>
      </c>
      <c r="AA23" s="39">
        <f t="shared" si="3"/>
        <v>3649.9679999999998</v>
      </c>
    </row>
    <row r="24" spans="2:27" x14ac:dyDescent="0.25">
      <c r="B24" s="9" t="s">
        <v>112</v>
      </c>
      <c r="C24" s="35" t="str">
        <f>Supuestos!B22 &amp; " · Unidades"</f>
        <v>Talleres ESG · Unidades</v>
      </c>
      <c r="D24" s="36">
        <f>IF(D$4&lt;Supuestos!$H22,0,ROUND(Supuestos!$C22*(1+Supuestos!$D22*Supuestos!$C$9)^(D$4-Supuestos!$H22)*D$6,0))</f>
        <v>0</v>
      </c>
      <c r="E24" s="36">
        <f>IF(E$4&lt;Supuestos!$H22,0,ROUND(Supuestos!$C22*(1+Supuestos!$D22*Supuestos!$C$9)^(E$4-Supuestos!$H22)*E$6,0))</f>
        <v>0</v>
      </c>
      <c r="F24" s="36">
        <f>IF(F$4&lt;Supuestos!$H22,0,ROUND(Supuestos!$C22*(1+Supuestos!$D22*Supuestos!$C$9)^(F$4-Supuestos!$H22)*F$6,0))</f>
        <v>3</v>
      </c>
      <c r="G24" s="36">
        <f>IF(G$4&lt;Supuestos!$H22,0,ROUND(Supuestos!$C22*(1+Supuestos!$D22*Supuestos!$C$9)^(G$4-Supuestos!$H22)*G$6,0))</f>
        <v>3</v>
      </c>
      <c r="H24" s="36">
        <f>IF(H$4&lt;Supuestos!$H22,0,ROUND(Supuestos!$C22*(1+Supuestos!$D22*Supuestos!$C$9)^(H$4-Supuestos!$H22)*H$6,0))</f>
        <v>3</v>
      </c>
      <c r="I24" s="36">
        <f>IF(I$4&lt;Supuestos!$H22,0,ROUND(Supuestos!$C22*(1+Supuestos!$D22*Supuestos!$C$9)^(I$4-Supuestos!$H22)*I$6,0))</f>
        <v>4</v>
      </c>
      <c r="J24" s="36">
        <f>IF(J$4&lt;Supuestos!$H22,0,ROUND(Supuestos!$C22*(1+Supuestos!$D22*Supuestos!$C$9)^(J$4-Supuestos!$H22)*J$6,0))</f>
        <v>4</v>
      </c>
      <c r="K24" s="36">
        <f>IF(K$4&lt;Supuestos!$H22,0,ROUND(Supuestos!$C22*(1+Supuestos!$D22*Supuestos!$C$9)^(K$4-Supuestos!$H22)*K$6,0))</f>
        <v>4</v>
      </c>
      <c r="L24" s="36">
        <f>IF(L$4&lt;Supuestos!$H22,0,ROUND(Supuestos!$C22*(1+Supuestos!$D22*Supuestos!$C$9)^(L$4-Supuestos!$H22)*L$6,0))</f>
        <v>5</v>
      </c>
      <c r="M24" s="36">
        <f>IF(M$4&lt;Supuestos!$H22,0,ROUND(Supuestos!$C22*(1+Supuestos!$D22*Supuestos!$C$9)^(M$4-Supuestos!$H22)*M$6,0))</f>
        <v>4</v>
      </c>
      <c r="N24" s="36">
        <f>IF(N$4&lt;Supuestos!$H22,0,ROUND(Supuestos!$C22*(1+Supuestos!$D22*Supuestos!$C$9)^(N$4-Supuestos!$H22)*N$6,0))</f>
        <v>4</v>
      </c>
      <c r="O24" s="36">
        <f>IF(O$4&lt;Supuestos!$H22,0,ROUND(Supuestos!$C22*(1+Supuestos!$D22*Supuestos!$C$9)^(O$4-Supuestos!$H22)*O$6,0))</f>
        <v>5</v>
      </c>
      <c r="P24" s="36">
        <f>IF(P$4&lt;Supuestos!$H22,0,ROUND(Supuestos!$C22*(1+Supuestos!$D22*Supuestos!$C$9)^(P$4-Supuestos!$H22)*P$6,0))</f>
        <v>5</v>
      </c>
      <c r="Q24" s="36">
        <f>IF(Q$4&lt;Supuestos!$H22,0,ROUND(Supuestos!$C22*(1+Supuestos!$D22*Supuestos!$C$9)^(Q$4-Supuestos!$H22)*Q$6,0))</f>
        <v>5</v>
      </c>
      <c r="R24" s="36">
        <f>IF(R$4&lt;Supuestos!$H22,0,ROUND(Supuestos!$C22*(1+Supuestos!$D22*Supuestos!$C$9)^(R$4-Supuestos!$H22)*R$6,0))</f>
        <v>6</v>
      </c>
      <c r="S24" s="36">
        <f>IF(S$4&lt;Supuestos!$H22,0,ROUND(Supuestos!$C22*(1+Supuestos!$D22*Supuestos!$C$9)^(S$4-Supuestos!$H22)*S$6,0))</f>
        <v>5</v>
      </c>
      <c r="T24" s="36">
        <f>IF(T$4&lt;Supuestos!$H22,0,ROUND(Supuestos!$C22*(1+Supuestos!$D22*Supuestos!$C$9)^(T$4-Supuestos!$H22)*T$6,0))</f>
        <v>5</v>
      </c>
      <c r="U24" s="36">
        <f>IF(U$4&lt;Supuestos!$H22,0,ROUND(Supuestos!$C22*(1+Supuestos!$D22*Supuestos!$C$9)^(U$4-Supuestos!$H22)*U$6,0))</f>
        <v>7</v>
      </c>
      <c r="V24" s="36">
        <f>IF(V$4&lt;Supuestos!$H22,0,ROUND(Supuestos!$C22*(1+Supuestos!$D22*Supuestos!$C$9)^(V$4-Supuestos!$H22)*V$6,0))</f>
        <v>7</v>
      </c>
      <c r="W24" s="36">
        <f>IF(W$4&lt;Supuestos!$H22,0,ROUND(Supuestos!$C22*(1+Supuestos!$D22*Supuestos!$C$9)^(W$4-Supuestos!$H22)*W$6,0))</f>
        <v>8</v>
      </c>
      <c r="X24" s="36">
        <f>IF(X$4&lt;Supuestos!$H22,0,ROUND(Supuestos!$C22*(1+Supuestos!$D22*Supuestos!$C$9)^(X$4-Supuestos!$H22)*X$6,0))</f>
        <v>9</v>
      </c>
      <c r="Y24" s="36">
        <f>IF(Y$4&lt;Supuestos!$H22,0,ROUND(Supuestos!$C22*(1+Supuestos!$D22*Supuestos!$C$9)^(Y$4-Supuestos!$H22)*Y$6,0))</f>
        <v>7</v>
      </c>
      <c r="Z24" s="36">
        <f>IF(Z$4&lt;Supuestos!$H22,0,ROUND(Supuestos!$C22*(1+Supuestos!$D22*Supuestos!$C$9)^(Z$4-Supuestos!$H22)*Z$6,0))</f>
        <v>8</v>
      </c>
      <c r="AA24" s="36">
        <f>IF(AA$4&lt;Supuestos!$H22,0,ROUND(Supuestos!$C22*(1+Supuestos!$D22*Supuestos!$C$9)^(AA$4-Supuestos!$H22)*AA$6,0))</f>
        <v>8</v>
      </c>
    </row>
    <row r="25" spans="2:27" x14ac:dyDescent="0.25">
      <c r="B25" s="37" t="s">
        <v>182</v>
      </c>
      <c r="C25" s="38" t="str">
        <f>Supuestos!B22 &amp; " · Precio"</f>
        <v>Talleres ESG · Precio</v>
      </c>
      <c r="D25" s="39">
        <f>IF(D$4&lt;Supuestos!$H22,0,Supuestos!$E22*(1+Supuestos!$F22)^INT((D$4-Supuestos!$H22)/12))</f>
        <v>0</v>
      </c>
      <c r="E25" s="39">
        <f>IF(E$4&lt;Supuestos!$H22,0,Supuestos!$E22*(1+Supuestos!$F22)^INT((E$4-Supuestos!$H22)/12))</f>
        <v>0</v>
      </c>
      <c r="F25" s="39">
        <f>IF(F$4&lt;Supuestos!$H22,0,Supuestos!$E22*(1+Supuestos!$F22)^INT((F$4-Supuestos!$H22)/12))</f>
        <v>450</v>
      </c>
      <c r="G25" s="39">
        <f>IF(G$4&lt;Supuestos!$H22,0,Supuestos!$E22*(1+Supuestos!$F22)^INT((G$4-Supuestos!$H22)/12))</f>
        <v>450</v>
      </c>
      <c r="H25" s="39">
        <f>IF(H$4&lt;Supuestos!$H22,0,Supuestos!$E22*(1+Supuestos!$F22)^INT((H$4-Supuestos!$H22)/12))</f>
        <v>450</v>
      </c>
      <c r="I25" s="39">
        <f>IF(I$4&lt;Supuestos!$H22,0,Supuestos!$E22*(1+Supuestos!$F22)^INT((I$4-Supuestos!$H22)/12))</f>
        <v>450</v>
      </c>
      <c r="J25" s="39">
        <f>IF(J$4&lt;Supuestos!$H22,0,Supuestos!$E22*(1+Supuestos!$F22)^INT((J$4-Supuestos!$H22)/12))</f>
        <v>450</v>
      </c>
      <c r="K25" s="39">
        <f>IF(K$4&lt;Supuestos!$H22,0,Supuestos!$E22*(1+Supuestos!$F22)^INT((K$4-Supuestos!$H22)/12))</f>
        <v>450</v>
      </c>
      <c r="L25" s="39">
        <f>IF(L$4&lt;Supuestos!$H22,0,Supuestos!$E22*(1+Supuestos!$F22)^INT((L$4-Supuestos!$H22)/12))</f>
        <v>450</v>
      </c>
      <c r="M25" s="39">
        <f>IF(M$4&lt;Supuestos!$H22,0,Supuestos!$E22*(1+Supuestos!$F22)^INT((M$4-Supuestos!$H22)/12))</f>
        <v>450</v>
      </c>
      <c r="N25" s="39">
        <f>IF(N$4&lt;Supuestos!$H22,0,Supuestos!$E22*(1+Supuestos!$F22)^INT((N$4-Supuestos!$H22)/12))</f>
        <v>450</v>
      </c>
      <c r="O25" s="39">
        <f>IF(O$4&lt;Supuestos!$H22,0,Supuestos!$E22*(1+Supuestos!$F22)^INT((O$4-Supuestos!$H22)/12))</f>
        <v>450</v>
      </c>
      <c r="P25" s="39">
        <f>IF(P$4&lt;Supuestos!$H22,0,Supuestos!$E22*(1+Supuestos!$F22)^INT((P$4-Supuestos!$H22)/12))</f>
        <v>450</v>
      </c>
      <c r="Q25" s="39">
        <f>IF(Q$4&lt;Supuestos!$H22,0,Supuestos!$E22*(1+Supuestos!$F22)^INT((Q$4-Supuestos!$H22)/12))</f>
        <v>450</v>
      </c>
      <c r="R25" s="39">
        <f>IF(R$4&lt;Supuestos!$H22,0,Supuestos!$E22*(1+Supuestos!$F22)^INT((R$4-Supuestos!$H22)/12))</f>
        <v>459</v>
      </c>
      <c r="S25" s="39">
        <f>IF(S$4&lt;Supuestos!$H22,0,Supuestos!$E22*(1+Supuestos!$F22)^INT((S$4-Supuestos!$H22)/12))</f>
        <v>459</v>
      </c>
      <c r="T25" s="39">
        <f>IF(T$4&lt;Supuestos!$H22,0,Supuestos!$E22*(1+Supuestos!$F22)^INT((T$4-Supuestos!$H22)/12))</f>
        <v>459</v>
      </c>
      <c r="U25" s="39">
        <f>IF(U$4&lt;Supuestos!$H22,0,Supuestos!$E22*(1+Supuestos!$F22)^INT((U$4-Supuestos!$H22)/12))</f>
        <v>459</v>
      </c>
      <c r="V25" s="39">
        <f>IF(V$4&lt;Supuestos!$H22,0,Supuestos!$E22*(1+Supuestos!$F22)^INT((V$4-Supuestos!$H22)/12))</f>
        <v>459</v>
      </c>
      <c r="W25" s="39">
        <f>IF(W$4&lt;Supuestos!$H22,0,Supuestos!$E22*(1+Supuestos!$F22)^INT((W$4-Supuestos!$H22)/12))</f>
        <v>459</v>
      </c>
      <c r="X25" s="39">
        <f>IF(X$4&lt;Supuestos!$H22,0,Supuestos!$E22*(1+Supuestos!$F22)^INT((X$4-Supuestos!$H22)/12))</f>
        <v>459</v>
      </c>
      <c r="Y25" s="39">
        <f>IF(Y$4&lt;Supuestos!$H22,0,Supuestos!$E22*(1+Supuestos!$F22)^INT((Y$4-Supuestos!$H22)/12))</f>
        <v>459</v>
      </c>
      <c r="Z25" s="39">
        <f>IF(Z$4&lt;Supuestos!$H22,0,Supuestos!$E22*(1+Supuestos!$F22)^INT((Z$4-Supuestos!$H22)/12))</f>
        <v>459</v>
      </c>
      <c r="AA25" s="39">
        <f>IF(AA$4&lt;Supuestos!$H22,0,Supuestos!$E22*(1+Supuestos!$F22)^INT((AA$4-Supuestos!$H22)/12))</f>
        <v>459</v>
      </c>
    </row>
    <row r="26" spans="2:27" x14ac:dyDescent="0.25">
      <c r="B26" s="37" t="s">
        <v>182</v>
      </c>
      <c r="C26" s="40" t="str">
        <f>Supuestos!B22 &amp; " · Ingresos"</f>
        <v>Talleres ESG · Ingresos</v>
      </c>
      <c r="D26" s="39">
        <f>D24*D25*Supuestos!$C$7</f>
        <v>0</v>
      </c>
      <c r="E26" s="39">
        <f>E24*E25*Supuestos!$C$7</f>
        <v>0</v>
      </c>
      <c r="F26" s="39">
        <f>F24*F25*Supuestos!$C$7</f>
        <v>1350</v>
      </c>
      <c r="G26" s="39">
        <f>G24*G25*Supuestos!$C$7</f>
        <v>1350</v>
      </c>
      <c r="H26" s="39">
        <f>H24*H25*Supuestos!$C$7</f>
        <v>1350</v>
      </c>
      <c r="I26" s="39">
        <f>I24*I25*Supuestos!$C$7</f>
        <v>1800</v>
      </c>
      <c r="J26" s="39">
        <f>J24*J25*Supuestos!$C$7</f>
        <v>1800</v>
      </c>
      <c r="K26" s="39">
        <f>K24*K25*Supuestos!$C$7</f>
        <v>1800</v>
      </c>
      <c r="L26" s="39">
        <f>L24*L25*Supuestos!$C$7</f>
        <v>2250</v>
      </c>
      <c r="M26" s="39">
        <f>M24*M25*Supuestos!$C$7</f>
        <v>1800</v>
      </c>
      <c r="N26" s="39">
        <f>N24*N25*Supuestos!$C$7</f>
        <v>1800</v>
      </c>
      <c r="O26" s="39">
        <f>O24*O25*Supuestos!$C$7</f>
        <v>2250</v>
      </c>
      <c r="P26" s="39">
        <f>P24*P25*Supuestos!$C$7</f>
        <v>2250</v>
      </c>
      <c r="Q26" s="39">
        <f>Q24*Q25*Supuestos!$C$7</f>
        <v>2250</v>
      </c>
      <c r="R26" s="39">
        <f>R24*R25*Supuestos!$C$7</f>
        <v>2754</v>
      </c>
      <c r="S26" s="39">
        <f>S24*S25*Supuestos!$C$7</f>
        <v>2295</v>
      </c>
      <c r="T26" s="39">
        <f>T24*T25*Supuestos!$C$7</f>
        <v>2295</v>
      </c>
      <c r="U26" s="39">
        <f>U24*U25*Supuestos!$C$7</f>
        <v>3213</v>
      </c>
      <c r="V26" s="39">
        <f>V24*V25*Supuestos!$C$7</f>
        <v>3213</v>
      </c>
      <c r="W26" s="39">
        <f>W24*W25*Supuestos!$C$7</f>
        <v>3672</v>
      </c>
      <c r="X26" s="39">
        <f>X24*X25*Supuestos!$C$7</f>
        <v>4131</v>
      </c>
      <c r="Y26" s="39">
        <f>Y24*Y25*Supuestos!$C$7</f>
        <v>3213</v>
      </c>
      <c r="Z26" s="39">
        <f>Z24*Z25*Supuestos!$C$7</f>
        <v>3672</v>
      </c>
      <c r="AA26" s="39">
        <f>AA24*AA25*Supuestos!$C$7</f>
        <v>3672</v>
      </c>
    </row>
    <row r="27" spans="2:27" x14ac:dyDescent="0.25">
      <c r="B27" s="37" t="s">
        <v>182</v>
      </c>
      <c r="C27" s="38" t="str">
        <f>Supuestos!B22 &amp; " · Coste variable"</f>
        <v>Talleres ESG · Coste variable</v>
      </c>
      <c r="D27" s="39">
        <f>D26*Supuestos!$G22*Supuestos!$C$8</f>
        <v>0</v>
      </c>
      <c r="E27" s="39">
        <f>E26*Supuestos!$G22*Supuestos!$C$8</f>
        <v>0</v>
      </c>
      <c r="F27" s="39">
        <f>F26*Supuestos!$G22*Supuestos!$C$8</f>
        <v>270</v>
      </c>
      <c r="G27" s="39">
        <f>G26*Supuestos!$G22*Supuestos!$C$8</f>
        <v>270</v>
      </c>
      <c r="H27" s="39">
        <f>H26*Supuestos!$G22*Supuestos!$C$8</f>
        <v>270</v>
      </c>
      <c r="I27" s="39">
        <f>I26*Supuestos!$G22*Supuestos!$C$8</f>
        <v>360</v>
      </c>
      <c r="J27" s="39">
        <f>J26*Supuestos!$G22*Supuestos!$C$8</f>
        <v>360</v>
      </c>
      <c r="K27" s="39">
        <f>K26*Supuestos!$G22*Supuestos!$C$8</f>
        <v>360</v>
      </c>
      <c r="L27" s="39">
        <f>L26*Supuestos!$G22*Supuestos!$C$8</f>
        <v>450</v>
      </c>
      <c r="M27" s="39">
        <f>M26*Supuestos!$G22*Supuestos!$C$8</f>
        <v>360</v>
      </c>
      <c r="N27" s="39">
        <f>N26*Supuestos!$G22*Supuestos!$C$8</f>
        <v>360</v>
      </c>
      <c r="O27" s="39">
        <f>O26*Supuestos!$G22*Supuestos!$C$8</f>
        <v>450</v>
      </c>
      <c r="P27" s="39">
        <f>P26*Supuestos!$G22*Supuestos!$C$8</f>
        <v>450</v>
      </c>
      <c r="Q27" s="39">
        <f>Q26*Supuestos!$G22*Supuestos!$C$8</f>
        <v>450</v>
      </c>
      <c r="R27" s="39">
        <f>R26*Supuestos!$G22*Supuestos!$C$8</f>
        <v>550.80000000000007</v>
      </c>
      <c r="S27" s="39">
        <f>S26*Supuestos!$G22*Supuestos!$C$8</f>
        <v>459</v>
      </c>
      <c r="T27" s="39">
        <f>T26*Supuestos!$G22*Supuestos!$C$8</f>
        <v>459</v>
      </c>
      <c r="U27" s="39">
        <f>U26*Supuestos!$G22*Supuestos!$C$8</f>
        <v>642.6</v>
      </c>
      <c r="V27" s="39">
        <f>V26*Supuestos!$G22*Supuestos!$C$8</f>
        <v>642.6</v>
      </c>
      <c r="W27" s="39">
        <f>W26*Supuestos!$G22*Supuestos!$C$8</f>
        <v>734.40000000000009</v>
      </c>
      <c r="X27" s="39">
        <f>X26*Supuestos!$G22*Supuestos!$C$8</f>
        <v>826.2</v>
      </c>
      <c r="Y27" s="39">
        <f>Y26*Supuestos!$G22*Supuestos!$C$8</f>
        <v>642.6</v>
      </c>
      <c r="Z27" s="39">
        <f>Z26*Supuestos!$G22*Supuestos!$C$8</f>
        <v>734.40000000000009</v>
      </c>
      <c r="AA27" s="39">
        <f>AA26*Supuestos!$G22*Supuestos!$C$8</f>
        <v>734.40000000000009</v>
      </c>
    </row>
    <row r="28" spans="2:27" x14ac:dyDescent="0.25">
      <c r="B28" s="37" t="s">
        <v>182</v>
      </c>
      <c r="C28" s="38" t="str">
        <f>Supuestos!B22 &amp; " · Margen bruto"</f>
        <v>Talleres ESG · Margen bruto</v>
      </c>
      <c r="D28" s="39">
        <f t="shared" ref="D28:AA28" si="4">D26-D27</f>
        <v>0</v>
      </c>
      <c r="E28" s="39">
        <f t="shared" si="4"/>
        <v>0</v>
      </c>
      <c r="F28" s="39">
        <f t="shared" si="4"/>
        <v>1080</v>
      </c>
      <c r="G28" s="39">
        <f t="shared" si="4"/>
        <v>1080</v>
      </c>
      <c r="H28" s="39">
        <f t="shared" si="4"/>
        <v>1080</v>
      </c>
      <c r="I28" s="39">
        <f t="shared" si="4"/>
        <v>1440</v>
      </c>
      <c r="J28" s="39">
        <f t="shared" si="4"/>
        <v>1440</v>
      </c>
      <c r="K28" s="39">
        <f t="shared" si="4"/>
        <v>1440</v>
      </c>
      <c r="L28" s="39">
        <f t="shared" si="4"/>
        <v>1800</v>
      </c>
      <c r="M28" s="39">
        <f t="shared" si="4"/>
        <v>1440</v>
      </c>
      <c r="N28" s="39">
        <f t="shared" si="4"/>
        <v>1440</v>
      </c>
      <c r="O28" s="39">
        <f t="shared" si="4"/>
        <v>1800</v>
      </c>
      <c r="P28" s="39">
        <f t="shared" si="4"/>
        <v>1800</v>
      </c>
      <c r="Q28" s="39">
        <f t="shared" si="4"/>
        <v>1800</v>
      </c>
      <c r="R28" s="39">
        <f t="shared" si="4"/>
        <v>2203.1999999999998</v>
      </c>
      <c r="S28" s="39">
        <f t="shared" si="4"/>
        <v>1836</v>
      </c>
      <c r="T28" s="39">
        <f t="shared" si="4"/>
        <v>1836</v>
      </c>
      <c r="U28" s="39">
        <f t="shared" si="4"/>
        <v>2570.4</v>
      </c>
      <c r="V28" s="39">
        <f t="shared" si="4"/>
        <v>2570.4</v>
      </c>
      <c r="W28" s="39">
        <f t="shared" si="4"/>
        <v>2937.6</v>
      </c>
      <c r="X28" s="39">
        <f t="shared" si="4"/>
        <v>3304.8</v>
      </c>
      <c r="Y28" s="39">
        <f t="shared" si="4"/>
        <v>2570.4</v>
      </c>
      <c r="Z28" s="39">
        <f t="shared" si="4"/>
        <v>2937.6</v>
      </c>
      <c r="AA28" s="39">
        <f t="shared" si="4"/>
        <v>2937.6</v>
      </c>
    </row>
    <row r="29" spans="2:27" x14ac:dyDescent="0.25">
      <c r="B29" s="3" t="s">
        <v>189</v>
      </c>
      <c r="C29" s="3" t="s">
        <v>190</v>
      </c>
      <c r="D29" s="39">
        <f t="shared" ref="D29:AA29" si="5">D11+D16+D21+D26</f>
        <v>6540</v>
      </c>
      <c r="E29" s="39">
        <f t="shared" si="5"/>
        <v>10758</v>
      </c>
      <c r="F29" s="39">
        <f t="shared" si="5"/>
        <v>13050</v>
      </c>
      <c r="G29" s="39">
        <f t="shared" si="5"/>
        <v>12080</v>
      </c>
      <c r="H29" s="39">
        <f t="shared" si="5"/>
        <v>11912</v>
      </c>
      <c r="I29" s="39">
        <f t="shared" si="5"/>
        <v>16612</v>
      </c>
      <c r="J29" s="39">
        <f t="shared" si="5"/>
        <v>17582</v>
      </c>
      <c r="K29" s="39">
        <f t="shared" si="5"/>
        <v>18580</v>
      </c>
      <c r="L29" s="39">
        <f t="shared" si="5"/>
        <v>20112</v>
      </c>
      <c r="M29" s="39">
        <f t="shared" si="5"/>
        <v>15934</v>
      </c>
      <c r="N29" s="39">
        <f t="shared" si="5"/>
        <v>18216</v>
      </c>
      <c r="O29" s="39">
        <f t="shared" si="5"/>
        <v>20494</v>
      </c>
      <c r="P29" s="39">
        <f t="shared" si="5"/>
        <v>22613.200000000001</v>
      </c>
      <c r="Q29" s="39">
        <f t="shared" si="5"/>
        <v>23773.020000000004</v>
      </c>
      <c r="R29" s="39">
        <f t="shared" si="5"/>
        <v>26098.260000000002</v>
      </c>
      <c r="S29" s="39">
        <f t="shared" si="5"/>
        <v>24443.040000000001</v>
      </c>
      <c r="T29" s="39">
        <f t="shared" si="5"/>
        <v>24186</v>
      </c>
      <c r="U29" s="39">
        <f t="shared" si="5"/>
        <v>32220.120000000003</v>
      </c>
      <c r="V29" s="39">
        <f t="shared" si="5"/>
        <v>34780.620000000003</v>
      </c>
      <c r="W29" s="39">
        <f t="shared" si="5"/>
        <v>37885.800000000003</v>
      </c>
      <c r="X29" s="39">
        <f t="shared" si="5"/>
        <v>41844.480000000003</v>
      </c>
      <c r="Y29" s="39">
        <f t="shared" si="5"/>
        <v>32842.620000000003</v>
      </c>
      <c r="Z29" s="39">
        <f t="shared" si="5"/>
        <v>38025.300000000003</v>
      </c>
      <c r="AA29" s="39">
        <f t="shared" si="5"/>
        <v>41553.54</v>
      </c>
    </row>
    <row r="30" spans="2:27" x14ac:dyDescent="0.25">
      <c r="B30" s="3" t="s">
        <v>189</v>
      </c>
      <c r="C30" s="41" t="s">
        <v>191</v>
      </c>
      <c r="D30" s="39">
        <f t="shared" ref="D30:AA30" si="6">D12+D17+D22+D27</f>
        <v>1756.8</v>
      </c>
      <c r="E30" s="39">
        <f t="shared" si="6"/>
        <v>3918</v>
      </c>
      <c r="F30" s="39">
        <f t="shared" si="6"/>
        <v>4547.3999999999996</v>
      </c>
      <c r="G30" s="39">
        <f t="shared" si="6"/>
        <v>4172.6000000000004</v>
      </c>
      <c r="H30" s="39">
        <f t="shared" si="6"/>
        <v>4080.2000000000003</v>
      </c>
      <c r="I30" s="39">
        <f t="shared" si="6"/>
        <v>5587.6</v>
      </c>
      <c r="J30" s="39">
        <f t="shared" si="6"/>
        <v>5962.4000000000005</v>
      </c>
      <c r="K30" s="39">
        <f t="shared" si="6"/>
        <v>6352.6</v>
      </c>
      <c r="L30" s="39">
        <f t="shared" si="6"/>
        <v>6879</v>
      </c>
      <c r="M30" s="39">
        <f t="shared" si="6"/>
        <v>5500</v>
      </c>
      <c r="N30" s="39">
        <f t="shared" si="6"/>
        <v>6152.4</v>
      </c>
      <c r="O30" s="39">
        <f t="shared" si="6"/>
        <v>6930.4000000000005</v>
      </c>
      <c r="P30" s="39">
        <f t="shared" si="6"/>
        <v>7675.7440000000006</v>
      </c>
      <c r="Q30" s="39">
        <f t="shared" si="6"/>
        <v>8150.1840000000011</v>
      </c>
      <c r="R30" s="39">
        <f t="shared" si="6"/>
        <v>8925.7440000000006</v>
      </c>
      <c r="S30" s="39">
        <f t="shared" si="6"/>
        <v>8339.4840000000004</v>
      </c>
      <c r="T30" s="39">
        <f t="shared" si="6"/>
        <v>8198.112000000001</v>
      </c>
      <c r="U30" s="39">
        <f t="shared" si="6"/>
        <v>10861.932000000003</v>
      </c>
      <c r="V30" s="39">
        <f t="shared" si="6"/>
        <v>11779.824000000001</v>
      </c>
      <c r="W30" s="39">
        <f t="shared" si="6"/>
        <v>12836.640000000001</v>
      </c>
      <c r="X30" s="39">
        <f t="shared" si="6"/>
        <v>14199.420000000002</v>
      </c>
      <c r="Y30" s="39">
        <f t="shared" si="6"/>
        <v>11166.804000000002</v>
      </c>
      <c r="Z30" s="39">
        <f t="shared" si="6"/>
        <v>12749.904</v>
      </c>
      <c r="AA30" s="39">
        <f t="shared" si="6"/>
        <v>14036.592000000002</v>
      </c>
    </row>
    <row r="31" spans="2:27" x14ac:dyDescent="0.25">
      <c r="B31" s="3" t="s">
        <v>189</v>
      </c>
      <c r="C31" s="3" t="s">
        <v>183</v>
      </c>
      <c r="D31" s="39">
        <f t="shared" ref="D31:AA31" si="7">D29-D30</f>
        <v>4783.2</v>
      </c>
      <c r="E31" s="39">
        <f t="shared" si="7"/>
        <v>6840</v>
      </c>
      <c r="F31" s="39">
        <f t="shared" si="7"/>
        <v>8502.6</v>
      </c>
      <c r="G31" s="39">
        <f t="shared" si="7"/>
        <v>7907.4</v>
      </c>
      <c r="H31" s="39">
        <f t="shared" si="7"/>
        <v>7831.7999999999993</v>
      </c>
      <c r="I31" s="39">
        <f t="shared" si="7"/>
        <v>11024.4</v>
      </c>
      <c r="J31" s="39">
        <f t="shared" si="7"/>
        <v>11619.599999999999</v>
      </c>
      <c r="K31" s="39">
        <f t="shared" si="7"/>
        <v>12227.4</v>
      </c>
      <c r="L31" s="39">
        <f t="shared" si="7"/>
        <v>13233</v>
      </c>
      <c r="M31" s="39">
        <f t="shared" si="7"/>
        <v>10434</v>
      </c>
      <c r="N31" s="39">
        <f t="shared" si="7"/>
        <v>12063.6</v>
      </c>
      <c r="O31" s="39">
        <f t="shared" si="7"/>
        <v>13563.599999999999</v>
      </c>
      <c r="P31" s="39">
        <f t="shared" si="7"/>
        <v>14937.456</v>
      </c>
      <c r="Q31" s="39">
        <f t="shared" si="7"/>
        <v>15622.836000000003</v>
      </c>
      <c r="R31" s="39">
        <f t="shared" si="7"/>
        <v>17172.516000000003</v>
      </c>
      <c r="S31" s="39">
        <f t="shared" si="7"/>
        <v>16103.556</v>
      </c>
      <c r="T31" s="39">
        <f t="shared" si="7"/>
        <v>15987.887999999999</v>
      </c>
      <c r="U31" s="39">
        <f t="shared" si="7"/>
        <v>21358.188000000002</v>
      </c>
      <c r="V31" s="39">
        <f t="shared" si="7"/>
        <v>23000.796000000002</v>
      </c>
      <c r="W31" s="39">
        <f t="shared" si="7"/>
        <v>25049.160000000003</v>
      </c>
      <c r="X31" s="39">
        <f t="shared" si="7"/>
        <v>27645.06</v>
      </c>
      <c r="Y31" s="39">
        <f t="shared" si="7"/>
        <v>21675.815999999999</v>
      </c>
      <c r="Z31" s="39">
        <f t="shared" si="7"/>
        <v>25275.396000000001</v>
      </c>
      <c r="AA31" s="39">
        <f t="shared" si="7"/>
        <v>27516.947999999997</v>
      </c>
    </row>
    <row r="32" spans="2:27" x14ac:dyDescent="0.25">
      <c r="B32" s="3" t="s">
        <v>189</v>
      </c>
      <c r="C32" s="41" t="s">
        <v>192</v>
      </c>
      <c r="D32" s="42">
        <f t="shared" ref="D32:AA32" si="8">IFERROR(D31/D29,0)</f>
        <v>0.73137614678899077</v>
      </c>
      <c r="E32" s="42">
        <f t="shared" si="8"/>
        <v>0.6358059118795315</v>
      </c>
      <c r="F32" s="42">
        <f t="shared" si="8"/>
        <v>0.65154022988505755</v>
      </c>
      <c r="G32" s="42">
        <f t="shared" si="8"/>
        <v>0.65458609271523172</v>
      </c>
      <c r="H32" s="42">
        <f t="shared" si="8"/>
        <v>0.65747145735392876</v>
      </c>
      <c r="I32" s="42">
        <f t="shared" si="8"/>
        <v>0.66364074163255471</v>
      </c>
      <c r="J32" s="42">
        <f t="shared" si="8"/>
        <v>0.66088044591059025</v>
      </c>
      <c r="K32" s="42">
        <f t="shared" si="8"/>
        <v>0.65809472551130244</v>
      </c>
      <c r="L32" s="42">
        <f t="shared" si="8"/>
        <v>0.65796539379474939</v>
      </c>
      <c r="M32" s="42">
        <f t="shared" si="8"/>
        <v>0.65482615790134302</v>
      </c>
      <c r="N32" s="42">
        <f t="shared" si="8"/>
        <v>0.66225296442687753</v>
      </c>
      <c r="O32" s="42">
        <f t="shared" si="8"/>
        <v>0.66183273153117983</v>
      </c>
      <c r="P32" s="42">
        <f t="shared" si="8"/>
        <v>0.6605635646436594</v>
      </c>
      <c r="Q32" s="42">
        <f t="shared" si="8"/>
        <v>0.65716665362667426</v>
      </c>
      <c r="R32" s="42">
        <f t="shared" si="8"/>
        <v>0.65799467090909514</v>
      </c>
      <c r="S32" s="42">
        <f t="shared" si="8"/>
        <v>0.65881968854937845</v>
      </c>
      <c r="T32" s="42">
        <f t="shared" si="8"/>
        <v>0.66103894815182329</v>
      </c>
      <c r="U32" s="42">
        <f t="shared" si="8"/>
        <v>0.66288356467946119</v>
      </c>
      <c r="V32" s="42">
        <f t="shared" si="8"/>
        <v>0.66131069543901178</v>
      </c>
      <c r="W32" s="42">
        <f t="shared" si="8"/>
        <v>0.66117542720491584</v>
      </c>
      <c r="X32" s="42">
        <f t="shared" si="8"/>
        <v>0.66066205148205925</v>
      </c>
      <c r="Y32" s="42">
        <f t="shared" si="8"/>
        <v>0.65999046361100289</v>
      </c>
      <c r="Z32" s="42">
        <f t="shared" si="8"/>
        <v>0.66469945010295772</v>
      </c>
      <c r="AA32" s="42">
        <f t="shared" si="8"/>
        <v>0.66220466415135737</v>
      </c>
    </row>
    <row r="34" spans="2:27" ht="17.25" x14ac:dyDescent="0.3">
      <c r="B34" s="1" t="s">
        <v>138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</row>
    <row r="35" spans="2:27" x14ac:dyDescent="0.25">
      <c r="B35" s="37" t="s">
        <v>139</v>
      </c>
      <c r="C35" s="35" t="str">
        <f>Supuestos!B33</f>
        <v>Fundadora / CEO</v>
      </c>
      <c r="D35" s="39">
        <f>IF(D$4&lt;Supuestos!$D33,0,Supuestos!$C33*Supuestos!$E33*(1+Supuestos!$F33)*(1+Supuestos!$C$13)^INT((D$4-Supuestos!$D33)/12)*Supuestos!$C$8)</f>
        <v>3668</v>
      </c>
      <c r="E35" s="39">
        <f>IF(E$4&lt;Supuestos!$D33,0,Supuestos!$C33*Supuestos!$E33*(1+Supuestos!$F33)*(1+Supuestos!$C$13)^INT((E$4-Supuestos!$D33)/12)*Supuestos!$C$8)</f>
        <v>3668</v>
      </c>
      <c r="F35" s="39">
        <f>IF(F$4&lt;Supuestos!$D33,0,Supuestos!$C33*Supuestos!$E33*(1+Supuestos!$F33)*(1+Supuestos!$C$13)^INT((F$4-Supuestos!$D33)/12)*Supuestos!$C$8)</f>
        <v>3668</v>
      </c>
      <c r="G35" s="39">
        <f>IF(G$4&lt;Supuestos!$D33,0,Supuestos!$C33*Supuestos!$E33*(1+Supuestos!$F33)*(1+Supuestos!$C$13)^INT((G$4-Supuestos!$D33)/12)*Supuestos!$C$8)</f>
        <v>3668</v>
      </c>
      <c r="H35" s="39">
        <f>IF(H$4&lt;Supuestos!$D33,0,Supuestos!$C33*Supuestos!$E33*(1+Supuestos!$F33)*(1+Supuestos!$C$13)^INT((H$4-Supuestos!$D33)/12)*Supuestos!$C$8)</f>
        <v>3668</v>
      </c>
      <c r="I35" s="39">
        <f>IF(I$4&lt;Supuestos!$D33,0,Supuestos!$C33*Supuestos!$E33*(1+Supuestos!$F33)*(1+Supuestos!$C$13)^INT((I$4-Supuestos!$D33)/12)*Supuestos!$C$8)</f>
        <v>3668</v>
      </c>
      <c r="J35" s="39">
        <f>IF(J$4&lt;Supuestos!$D33,0,Supuestos!$C33*Supuestos!$E33*(1+Supuestos!$F33)*(1+Supuestos!$C$13)^INT((J$4-Supuestos!$D33)/12)*Supuestos!$C$8)</f>
        <v>3668</v>
      </c>
      <c r="K35" s="39">
        <f>IF(K$4&lt;Supuestos!$D33,0,Supuestos!$C33*Supuestos!$E33*(1+Supuestos!$F33)*(1+Supuestos!$C$13)^INT((K$4-Supuestos!$D33)/12)*Supuestos!$C$8)</f>
        <v>3668</v>
      </c>
      <c r="L35" s="39">
        <f>IF(L$4&lt;Supuestos!$D33,0,Supuestos!$C33*Supuestos!$E33*(1+Supuestos!$F33)*(1+Supuestos!$C$13)^INT((L$4-Supuestos!$D33)/12)*Supuestos!$C$8)</f>
        <v>3668</v>
      </c>
      <c r="M35" s="39">
        <f>IF(M$4&lt;Supuestos!$D33,0,Supuestos!$C33*Supuestos!$E33*(1+Supuestos!$F33)*(1+Supuestos!$C$13)^INT((M$4-Supuestos!$D33)/12)*Supuestos!$C$8)</f>
        <v>3668</v>
      </c>
      <c r="N35" s="39">
        <f>IF(N$4&lt;Supuestos!$D33,0,Supuestos!$C33*Supuestos!$E33*(1+Supuestos!$F33)*(1+Supuestos!$C$13)^INT((N$4-Supuestos!$D33)/12)*Supuestos!$C$8)</f>
        <v>3668</v>
      </c>
      <c r="O35" s="39">
        <f>IF(O$4&lt;Supuestos!$D33,0,Supuestos!$C33*Supuestos!$E33*(1+Supuestos!$F33)*(1+Supuestos!$C$13)^INT((O$4-Supuestos!$D33)/12)*Supuestos!$C$8)</f>
        <v>3668</v>
      </c>
      <c r="P35" s="39">
        <f>IF(P$4&lt;Supuestos!$D33,0,Supuestos!$C33*Supuestos!$E33*(1+Supuestos!$F33)*(1+Supuestos!$C$13)^INT((P$4-Supuestos!$D33)/12)*Supuestos!$C$8)</f>
        <v>3814.7200000000003</v>
      </c>
      <c r="Q35" s="39">
        <f>IF(Q$4&lt;Supuestos!$D33,0,Supuestos!$C33*Supuestos!$E33*(1+Supuestos!$F33)*(1+Supuestos!$C$13)^INT((Q$4-Supuestos!$D33)/12)*Supuestos!$C$8)</f>
        <v>3814.7200000000003</v>
      </c>
      <c r="R35" s="39">
        <f>IF(R$4&lt;Supuestos!$D33,0,Supuestos!$C33*Supuestos!$E33*(1+Supuestos!$F33)*(1+Supuestos!$C$13)^INT((R$4-Supuestos!$D33)/12)*Supuestos!$C$8)</f>
        <v>3814.7200000000003</v>
      </c>
      <c r="S35" s="39">
        <f>IF(S$4&lt;Supuestos!$D33,0,Supuestos!$C33*Supuestos!$E33*(1+Supuestos!$F33)*(1+Supuestos!$C$13)^INT((S$4-Supuestos!$D33)/12)*Supuestos!$C$8)</f>
        <v>3814.7200000000003</v>
      </c>
      <c r="T35" s="39">
        <f>IF(T$4&lt;Supuestos!$D33,0,Supuestos!$C33*Supuestos!$E33*(1+Supuestos!$F33)*(1+Supuestos!$C$13)^INT((T$4-Supuestos!$D33)/12)*Supuestos!$C$8)</f>
        <v>3814.7200000000003</v>
      </c>
      <c r="U35" s="39">
        <f>IF(U$4&lt;Supuestos!$D33,0,Supuestos!$C33*Supuestos!$E33*(1+Supuestos!$F33)*(1+Supuestos!$C$13)^INT((U$4-Supuestos!$D33)/12)*Supuestos!$C$8)</f>
        <v>3814.7200000000003</v>
      </c>
      <c r="V35" s="39">
        <f>IF(V$4&lt;Supuestos!$D33,0,Supuestos!$C33*Supuestos!$E33*(1+Supuestos!$F33)*(1+Supuestos!$C$13)^INT((V$4-Supuestos!$D33)/12)*Supuestos!$C$8)</f>
        <v>3814.7200000000003</v>
      </c>
      <c r="W35" s="39">
        <f>IF(W$4&lt;Supuestos!$D33,0,Supuestos!$C33*Supuestos!$E33*(1+Supuestos!$F33)*(1+Supuestos!$C$13)^INT((W$4-Supuestos!$D33)/12)*Supuestos!$C$8)</f>
        <v>3814.7200000000003</v>
      </c>
      <c r="X35" s="39">
        <f>IF(X$4&lt;Supuestos!$D33,0,Supuestos!$C33*Supuestos!$E33*(1+Supuestos!$F33)*(1+Supuestos!$C$13)^INT((X$4-Supuestos!$D33)/12)*Supuestos!$C$8)</f>
        <v>3814.7200000000003</v>
      </c>
      <c r="Y35" s="39">
        <f>IF(Y$4&lt;Supuestos!$D33,0,Supuestos!$C33*Supuestos!$E33*(1+Supuestos!$F33)*(1+Supuestos!$C$13)^INT((Y$4-Supuestos!$D33)/12)*Supuestos!$C$8)</f>
        <v>3814.7200000000003</v>
      </c>
      <c r="Z35" s="39">
        <f>IF(Z$4&lt;Supuestos!$D33,0,Supuestos!$C33*Supuestos!$E33*(1+Supuestos!$F33)*(1+Supuestos!$C$13)^INT((Z$4-Supuestos!$D33)/12)*Supuestos!$C$8)</f>
        <v>3814.7200000000003</v>
      </c>
      <c r="AA35" s="39">
        <f>IF(AA$4&lt;Supuestos!$D33,0,Supuestos!$C33*Supuestos!$E33*(1+Supuestos!$F33)*(1+Supuestos!$C$13)^INT((AA$4-Supuestos!$D33)/12)*Supuestos!$C$8)</f>
        <v>3814.7200000000003</v>
      </c>
    </row>
    <row r="36" spans="2:27" x14ac:dyDescent="0.25">
      <c r="B36" s="37" t="s">
        <v>139</v>
      </c>
      <c r="C36" s="35" t="str">
        <f>Supuestos!B34</f>
        <v>Ventas B2B</v>
      </c>
      <c r="D36" s="39">
        <f>IF(D$4&lt;Supuestos!$D34,0,Supuestos!$C34*Supuestos!$E34*(1+Supuestos!$F34)*(1+Supuestos!$C$13)^INT((D$4-Supuestos!$D34)/12)*Supuestos!$C$8)</f>
        <v>2882</v>
      </c>
      <c r="E36" s="39">
        <f>IF(E$4&lt;Supuestos!$D34,0,Supuestos!$C34*Supuestos!$E34*(1+Supuestos!$F34)*(1+Supuestos!$C$13)^INT((E$4-Supuestos!$D34)/12)*Supuestos!$C$8)</f>
        <v>2882</v>
      </c>
      <c r="F36" s="39">
        <f>IF(F$4&lt;Supuestos!$D34,0,Supuestos!$C34*Supuestos!$E34*(1+Supuestos!$F34)*(1+Supuestos!$C$13)^INT((F$4-Supuestos!$D34)/12)*Supuestos!$C$8)</f>
        <v>2882</v>
      </c>
      <c r="G36" s="39">
        <f>IF(G$4&lt;Supuestos!$D34,0,Supuestos!$C34*Supuestos!$E34*(1+Supuestos!$F34)*(1+Supuestos!$C$13)^INT((G$4-Supuestos!$D34)/12)*Supuestos!$C$8)</f>
        <v>2882</v>
      </c>
      <c r="H36" s="39">
        <f>IF(H$4&lt;Supuestos!$D34,0,Supuestos!$C34*Supuestos!$E34*(1+Supuestos!$F34)*(1+Supuestos!$C$13)^INT((H$4-Supuestos!$D34)/12)*Supuestos!$C$8)</f>
        <v>2882</v>
      </c>
      <c r="I36" s="39">
        <f>IF(I$4&lt;Supuestos!$D34,0,Supuestos!$C34*Supuestos!$E34*(1+Supuestos!$F34)*(1+Supuestos!$C$13)^INT((I$4-Supuestos!$D34)/12)*Supuestos!$C$8)</f>
        <v>2882</v>
      </c>
      <c r="J36" s="39">
        <f>IF(J$4&lt;Supuestos!$D34,0,Supuestos!$C34*Supuestos!$E34*(1+Supuestos!$F34)*(1+Supuestos!$C$13)^INT((J$4-Supuestos!$D34)/12)*Supuestos!$C$8)</f>
        <v>2882</v>
      </c>
      <c r="K36" s="39">
        <f>IF(K$4&lt;Supuestos!$D34,0,Supuestos!$C34*Supuestos!$E34*(1+Supuestos!$F34)*(1+Supuestos!$C$13)^INT((K$4-Supuestos!$D34)/12)*Supuestos!$C$8)</f>
        <v>2882</v>
      </c>
      <c r="L36" s="39">
        <f>IF(L$4&lt;Supuestos!$D34,0,Supuestos!$C34*Supuestos!$E34*(1+Supuestos!$F34)*(1+Supuestos!$C$13)^INT((L$4-Supuestos!$D34)/12)*Supuestos!$C$8)</f>
        <v>2882</v>
      </c>
      <c r="M36" s="39">
        <f>IF(M$4&lt;Supuestos!$D34,0,Supuestos!$C34*Supuestos!$E34*(1+Supuestos!$F34)*(1+Supuestos!$C$13)^INT((M$4-Supuestos!$D34)/12)*Supuestos!$C$8)</f>
        <v>2882</v>
      </c>
      <c r="N36" s="39">
        <f>IF(N$4&lt;Supuestos!$D34,0,Supuestos!$C34*Supuestos!$E34*(1+Supuestos!$F34)*(1+Supuestos!$C$13)^INT((N$4-Supuestos!$D34)/12)*Supuestos!$C$8)</f>
        <v>2882</v>
      </c>
      <c r="O36" s="39">
        <f>IF(O$4&lt;Supuestos!$D34,0,Supuestos!$C34*Supuestos!$E34*(1+Supuestos!$F34)*(1+Supuestos!$C$13)^INT((O$4-Supuestos!$D34)/12)*Supuestos!$C$8)</f>
        <v>2882</v>
      </c>
      <c r="P36" s="39">
        <f>IF(P$4&lt;Supuestos!$D34,0,Supuestos!$C34*Supuestos!$E34*(1+Supuestos!$F34)*(1+Supuestos!$C$13)^INT((P$4-Supuestos!$D34)/12)*Supuestos!$C$8)</f>
        <v>2997.28</v>
      </c>
      <c r="Q36" s="39">
        <f>IF(Q$4&lt;Supuestos!$D34,0,Supuestos!$C34*Supuestos!$E34*(1+Supuestos!$F34)*(1+Supuestos!$C$13)^INT((Q$4-Supuestos!$D34)/12)*Supuestos!$C$8)</f>
        <v>2997.28</v>
      </c>
      <c r="R36" s="39">
        <f>IF(R$4&lt;Supuestos!$D34,0,Supuestos!$C34*Supuestos!$E34*(1+Supuestos!$F34)*(1+Supuestos!$C$13)^INT((R$4-Supuestos!$D34)/12)*Supuestos!$C$8)</f>
        <v>2997.28</v>
      </c>
      <c r="S36" s="39">
        <f>IF(S$4&lt;Supuestos!$D34,0,Supuestos!$C34*Supuestos!$E34*(1+Supuestos!$F34)*(1+Supuestos!$C$13)^INT((S$4-Supuestos!$D34)/12)*Supuestos!$C$8)</f>
        <v>2997.28</v>
      </c>
      <c r="T36" s="39">
        <f>IF(T$4&lt;Supuestos!$D34,0,Supuestos!$C34*Supuestos!$E34*(1+Supuestos!$F34)*(1+Supuestos!$C$13)^INT((T$4-Supuestos!$D34)/12)*Supuestos!$C$8)</f>
        <v>2997.28</v>
      </c>
      <c r="U36" s="39">
        <f>IF(U$4&lt;Supuestos!$D34,0,Supuestos!$C34*Supuestos!$E34*(1+Supuestos!$F34)*(1+Supuestos!$C$13)^INT((U$4-Supuestos!$D34)/12)*Supuestos!$C$8)</f>
        <v>2997.28</v>
      </c>
      <c r="V36" s="39">
        <f>IF(V$4&lt;Supuestos!$D34,0,Supuestos!$C34*Supuestos!$E34*(1+Supuestos!$F34)*(1+Supuestos!$C$13)^INT((V$4-Supuestos!$D34)/12)*Supuestos!$C$8)</f>
        <v>2997.28</v>
      </c>
      <c r="W36" s="39">
        <f>IF(W$4&lt;Supuestos!$D34,0,Supuestos!$C34*Supuestos!$E34*(1+Supuestos!$F34)*(1+Supuestos!$C$13)^INT((W$4-Supuestos!$D34)/12)*Supuestos!$C$8)</f>
        <v>2997.28</v>
      </c>
      <c r="X36" s="39">
        <f>IF(X$4&lt;Supuestos!$D34,0,Supuestos!$C34*Supuestos!$E34*(1+Supuestos!$F34)*(1+Supuestos!$C$13)^INT((X$4-Supuestos!$D34)/12)*Supuestos!$C$8)</f>
        <v>2997.28</v>
      </c>
      <c r="Y36" s="39">
        <f>IF(Y$4&lt;Supuestos!$D34,0,Supuestos!$C34*Supuestos!$E34*(1+Supuestos!$F34)*(1+Supuestos!$C$13)^INT((Y$4-Supuestos!$D34)/12)*Supuestos!$C$8)</f>
        <v>2997.28</v>
      </c>
      <c r="Z36" s="39">
        <f>IF(Z$4&lt;Supuestos!$D34,0,Supuestos!$C34*Supuestos!$E34*(1+Supuestos!$F34)*(1+Supuestos!$C$13)^INT((Z$4-Supuestos!$D34)/12)*Supuestos!$C$8)</f>
        <v>2997.28</v>
      </c>
      <c r="AA36" s="39">
        <f>IF(AA$4&lt;Supuestos!$D34,0,Supuestos!$C34*Supuestos!$E34*(1+Supuestos!$F34)*(1+Supuestos!$C$13)^INT((AA$4-Supuestos!$D34)/12)*Supuestos!$C$8)</f>
        <v>2997.28</v>
      </c>
    </row>
    <row r="37" spans="2:27" x14ac:dyDescent="0.25">
      <c r="B37" s="37" t="s">
        <v>139</v>
      </c>
      <c r="C37" s="35" t="str">
        <f>Supuestos!B35</f>
        <v>Operaciones</v>
      </c>
      <c r="D37" s="39">
        <f>IF(D$4&lt;Supuestos!$D35,0,Supuestos!$C35*Supuestos!$E35*(1+Supuestos!$F35)*(1+Supuestos!$C$13)^INT((D$4-Supuestos!$D35)/12)*Supuestos!$C$8)</f>
        <v>2489</v>
      </c>
      <c r="E37" s="39">
        <f>IF(E$4&lt;Supuestos!$D35,0,Supuestos!$C35*Supuestos!$E35*(1+Supuestos!$F35)*(1+Supuestos!$C$13)^INT((E$4-Supuestos!$D35)/12)*Supuestos!$C$8)</f>
        <v>2489</v>
      </c>
      <c r="F37" s="39">
        <f>IF(F$4&lt;Supuestos!$D35,0,Supuestos!$C35*Supuestos!$E35*(1+Supuestos!$F35)*(1+Supuestos!$C$13)^INT((F$4-Supuestos!$D35)/12)*Supuestos!$C$8)</f>
        <v>2489</v>
      </c>
      <c r="G37" s="39">
        <f>IF(G$4&lt;Supuestos!$D35,0,Supuestos!$C35*Supuestos!$E35*(1+Supuestos!$F35)*(1+Supuestos!$C$13)^INT((G$4-Supuestos!$D35)/12)*Supuestos!$C$8)</f>
        <v>2489</v>
      </c>
      <c r="H37" s="39">
        <f>IF(H$4&lt;Supuestos!$D35,0,Supuestos!$C35*Supuestos!$E35*(1+Supuestos!$F35)*(1+Supuestos!$C$13)^INT((H$4-Supuestos!$D35)/12)*Supuestos!$C$8)</f>
        <v>2489</v>
      </c>
      <c r="I37" s="39">
        <f>IF(I$4&lt;Supuestos!$D35,0,Supuestos!$C35*Supuestos!$E35*(1+Supuestos!$F35)*(1+Supuestos!$C$13)^INT((I$4-Supuestos!$D35)/12)*Supuestos!$C$8)</f>
        <v>2489</v>
      </c>
      <c r="J37" s="39">
        <f>IF(J$4&lt;Supuestos!$D35,0,Supuestos!$C35*Supuestos!$E35*(1+Supuestos!$F35)*(1+Supuestos!$C$13)^INT((J$4-Supuestos!$D35)/12)*Supuestos!$C$8)</f>
        <v>2489</v>
      </c>
      <c r="K37" s="39">
        <f>IF(K$4&lt;Supuestos!$D35,0,Supuestos!$C35*Supuestos!$E35*(1+Supuestos!$F35)*(1+Supuestos!$C$13)^INT((K$4-Supuestos!$D35)/12)*Supuestos!$C$8)</f>
        <v>2489</v>
      </c>
      <c r="L37" s="39">
        <f>IF(L$4&lt;Supuestos!$D35,0,Supuestos!$C35*Supuestos!$E35*(1+Supuestos!$F35)*(1+Supuestos!$C$13)^INT((L$4-Supuestos!$D35)/12)*Supuestos!$C$8)</f>
        <v>2489</v>
      </c>
      <c r="M37" s="39">
        <f>IF(M$4&lt;Supuestos!$D35,0,Supuestos!$C35*Supuestos!$E35*(1+Supuestos!$F35)*(1+Supuestos!$C$13)^INT((M$4-Supuestos!$D35)/12)*Supuestos!$C$8)</f>
        <v>2489</v>
      </c>
      <c r="N37" s="39">
        <f>IF(N$4&lt;Supuestos!$D35,0,Supuestos!$C35*Supuestos!$E35*(1+Supuestos!$F35)*(1+Supuestos!$C$13)^INT((N$4-Supuestos!$D35)/12)*Supuestos!$C$8)</f>
        <v>2489</v>
      </c>
      <c r="O37" s="39">
        <f>IF(O$4&lt;Supuestos!$D35,0,Supuestos!$C35*Supuestos!$E35*(1+Supuestos!$F35)*(1+Supuestos!$C$13)^INT((O$4-Supuestos!$D35)/12)*Supuestos!$C$8)</f>
        <v>2489</v>
      </c>
      <c r="P37" s="39">
        <f>IF(P$4&lt;Supuestos!$D35,0,Supuestos!$C35*Supuestos!$E35*(1+Supuestos!$F35)*(1+Supuestos!$C$13)^INT((P$4-Supuestos!$D35)/12)*Supuestos!$C$8)</f>
        <v>2588.56</v>
      </c>
      <c r="Q37" s="39">
        <f>IF(Q$4&lt;Supuestos!$D35,0,Supuestos!$C35*Supuestos!$E35*(1+Supuestos!$F35)*(1+Supuestos!$C$13)^INT((Q$4-Supuestos!$D35)/12)*Supuestos!$C$8)</f>
        <v>2588.56</v>
      </c>
      <c r="R37" s="39">
        <f>IF(R$4&lt;Supuestos!$D35,0,Supuestos!$C35*Supuestos!$E35*(1+Supuestos!$F35)*(1+Supuestos!$C$13)^INT((R$4-Supuestos!$D35)/12)*Supuestos!$C$8)</f>
        <v>2588.56</v>
      </c>
      <c r="S37" s="39">
        <f>IF(S$4&lt;Supuestos!$D35,0,Supuestos!$C35*Supuestos!$E35*(1+Supuestos!$F35)*(1+Supuestos!$C$13)^INT((S$4-Supuestos!$D35)/12)*Supuestos!$C$8)</f>
        <v>2588.56</v>
      </c>
      <c r="T37" s="39">
        <f>IF(T$4&lt;Supuestos!$D35,0,Supuestos!$C35*Supuestos!$E35*(1+Supuestos!$F35)*(1+Supuestos!$C$13)^INT((T$4-Supuestos!$D35)/12)*Supuestos!$C$8)</f>
        <v>2588.56</v>
      </c>
      <c r="U37" s="39">
        <f>IF(U$4&lt;Supuestos!$D35,0,Supuestos!$C35*Supuestos!$E35*(1+Supuestos!$F35)*(1+Supuestos!$C$13)^INT((U$4-Supuestos!$D35)/12)*Supuestos!$C$8)</f>
        <v>2588.56</v>
      </c>
      <c r="V37" s="39">
        <f>IF(V$4&lt;Supuestos!$D35,0,Supuestos!$C35*Supuestos!$E35*(1+Supuestos!$F35)*(1+Supuestos!$C$13)^INT((V$4-Supuestos!$D35)/12)*Supuestos!$C$8)</f>
        <v>2588.56</v>
      </c>
      <c r="W37" s="39">
        <f>IF(W$4&lt;Supuestos!$D35,0,Supuestos!$C35*Supuestos!$E35*(1+Supuestos!$F35)*(1+Supuestos!$C$13)^INT((W$4-Supuestos!$D35)/12)*Supuestos!$C$8)</f>
        <v>2588.56</v>
      </c>
      <c r="X37" s="39">
        <f>IF(X$4&lt;Supuestos!$D35,0,Supuestos!$C35*Supuestos!$E35*(1+Supuestos!$F35)*(1+Supuestos!$C$13)^INT((X$4-Supuestos!$D35)/12)*Supuestos!$C$8)</f>
        <v>2588.56</v>
      </c>
      <c r="Y37" s="39">
        <f>IF(Y$4&lt;Supuestos!$D35,0,Supuestos!$C35*Supuestos!$E35*(1+Supuestos!$F35)*(1+Supuestos!$C$13)^INT((Y$4-Supuestos!$D35)/12)*Supuestos!$C$8)</f>
        <v>2588.56</v>
      </c>
      <c r="Z37" s="39">
        <f>IF(Z$4&lt;Supuestos!$D35,0,Supuestos!$C35*Supuestos!$E35*(1+Supuestos!$F35)*(1+Supuestos!$C$13)^INT((Z$4-Supuestos!$D35)/12)*Supuestos!$C$8)</f>
        <v>2588.56</v>
      </c>
      <c r="AA37" s="39">
        <f>IF(AA$4&lt;Supuestos!$D35,0,Supuestos!$C35*Supuestos!$E35*(1+Supuestos!$F35)*(1+Supuestos!$C$13)^INT((AA$4-Supuestos!$D35)/12)*Supuestos!$C$8)</f>
        <v>2588.56</v>
      </c>
    </row>
    <row r="38" spans="2:27" x14ac:dyDescent="0.25">
      <c r="B38" s="37" t="s">
        <v>139</v>
      </c>
      <c r="C38" s="35" t="str">
        <f>Supuestos!B36</f>
        <v>Atención cliente</v>
      </c>
      <c r="D38" s="39">
        <f>IF(D$4&lt;Supuestos!$D36,0,Supuestos!$C36*Supuestos!$E36*(1+Supuestos!$F36)*(1+Supuestos!$C$13)^INT((D$4-Supuestos!$D36)/12)*Supuestos!$C$8)</f>
        <v>0</v>
      </c>
      <c r="E38" s="39">
        <f>IF(E$4&lt;Supuestos!$D36,0,Supuestos!$C36*Supuestos!$E36*(1+Supuestos!$F36)*(1+Supuestos!$C$13)^INT((E$4-Supuestos!$D36)/12)*Supuestos!$C$8)</f>
        <v>0</v>
      </c>
      <c r="F38" s="39">
        <f>IF(F$4&lt;Supuestos!$D36,0,Supuestos!$C36*Supuestos!$E36*(1+Supuestos!$F36)*(1+Supuestos!$C$13)^INT((F$4-Supuestos!$D36)/12)*Supuestos!$C$8)</f>
        <v>0</v>
      </c>
      <c r="G38" s="39">
        <f>IF(G$4&lt;Supuestos!$D36,0,Supuestos!$C36*Supuestos!$E36*(1+Supuestos!$F36)*(1+Supuestos!$C$13)^INT((G$4-Supuestos!$D36)/12)*Supuestos!$C$8)</f>
        <v>2096</v>
      </c>
      <c r="H38" s="39">
        <f>IF(H$4&lt;Supuestos!$D36,0,Supuestos!$C36*Supuestos!$E36*(1+Supuestos!$F36)*(1+Supuestos!$C$13)^INT((H$4-Supuestos!$D36)/12)*Supuestos!$C$8)</f>
        <v>2096</v>
      </c>
      <c r="I38" s="39">
        <f>IF(I$4&lt;Supuestos!$D36,0,Supuestos!$C36*Supuestos!$E36*(1+Supuestos!$F36)*(1+Supuestos!$C$13)^INT((I$4-Supuestos!$D36)/12)*Supuestos!$C$8)</f>
        <v>2096</v>
      </c>
      <c r="J38" s="39">
        <f>IF(J$4&lt;Supuestos!$D36,0,Supuestos!$C36*Supuestos!$E36*(1+Supuestos!$F36)*(1+Supuestos!$C$13)^INT((J$4-Supuestos!$D36)/12)*Supuestos!$C$8)</f>
        <v>2096</v>
      </c>
      <c r="K38" s="39">
        <f>IF(K$4&lt;Supuestos!$D36,0,Supuestos!$C36*Supuestos!$E36*(1+Supuestos!$F36)*(1+Supuestos!$C$13)^INT((K$4-Supuestos!$D36)/12)*Supuestos!$C$8)</f>
        <v>2096</v>
      </c>
      <c r="L38" s="39">
        <f>IF(L$4&lt;Supuestos!$D36,0,Supuestos!$C36*Supuestos!$E36*(1+Supuestos!$F36)*(1+Supuestos!$C$13)^INT((L$4-Supuestos!$D36)/12)*Supuestos!$C$8)</f>
        <v>2096</v>
      </c>
      <c r="M38" s="39">
        <f>IF(M$4&lt;Supuestos!$D36,0,Supuestos!$C36*Supuestos!$E36*(1+Supuestos!$F36)*(1+Supuestos!$C$13)^INT((M$4-Supuestos!$D36)/12)*Supuestos!$C$8)</f>
        <v>2096</v>
      </c>
      <c r="N38" s="39">
        <f>IF(N$4&lt;Supuestos!$D36,0,Supuestos!$C36*Supuestos!$E36*(1+Supuestos!$F36)*(1+Supuestos!$C$13)^INT((N$4-Supuestos!$D36)/12)*Supuestos!$C$8)</f>
        <v>2096</v>
      </c>
      <c r="O38" s="39">
        <f>IF(O$4&lt;Supuestos!$D36,0,Supuestos!$C36*Supuestos!$E36*(1+Supuestos!$F36)*(1+Supuestos!$C$13)^INT((O$4-Supuestos!$D36)/12)*Supuestos!$C$8)</f>
        <v>2096</v>
      </c>
      <c r="P38" s="39">
        <f>IF(P$4&lt;Supuestos!$D36,0,Supuestos!$C36*Supuestos!$E36*(1+Supuestos!$F36)*(1+Supuestos!$C$13)^INT((P$4-Supuestos!$D36)/12)*Supuestos!$C$8)</f>
        <v>2096</v>
      </c>
      <c r="Q38" s="39">
        <f>IF(Q$4&lt;Supuestos!$D36,0,Supuestos!$C36*Supuestos!$E36*(1+Supuestos!$F36)*(1+Supuestos!$C$13)^INT((Q$4-Supuestos!$D36)/12)*Supuestos!$C$8)</f>
        <v>2096</v>
      </c>
      <c r="R38" s="39">
        <f>IF(R$4&lt;Supuestos!$D36,0,Supuestos!$C36*Supuestos!$E36*(1+Supuestos!$F36)*(1+Supuestos!$C$13)^INT((R$4-Supuestos!$D36)/12)*Supuestos!$C$8)</f>
        <v>2096</v>
      </c>
      <c r="S38" s="39">
        <f>IF(S$4&lt;Supuestos!$D36,0,Supuestos!$C36*Supuestos!$E36*(1+Supuestos!$F36)*(1+Supuestos!$C$13)^INT((S$4-Supuestos!$D36)/12)*Supuestos!$C$8)</f>
        <v>2179.84</v>
      </c>
      <c r="T38" s="39">
        <f>IF(T$4&lt;Supuestos!$D36,0,Supuestos!$C36*Supuestos!$E36*(1+Supuestos!$F36)*(1+Supuestos!$C$13)^INT((T$4-Supuestos!$D36)/12)*Supuestos!$C$8)</f>
        <v>2179.84</v>
      </c>
      <c r="U38" s="39">
        <f>IF(U$4&lt;Supuestos!$D36,0,Supuestos!$C36*Supuestos!$E36*(1+Supuestos!$F36)*(1+Supuestos!$C$13)^INT((U$4-Supuestos!$D36)/12)*Supuestos!$C$8)</f>
        <v>2179.84</v>
      </c>
      <c r="V38" s="39">
        <f>IF(V$4&lt;Supuestos!$D36,0,Supuestos!$C36*Supuestos!$E36*(1+Supuestos!$F36)*(1+Supuestos!$C$13)^INT((V$4-Supuestos!$D36)/12)*Supuestos!$C$8)</f>
        <v>2179.84</v>
      </c>
      <c r="W38" s="39">
        <f>IF(W$4&lt;Supuestos!$D36,0,Supuestos!$C36*Supuestos!$E36*(1+Supuestos!$F36)*(1+Supuestos!$C$13)^INT((W$4-Supuestos!$D36)/12)*Supuestos!$C$8)</f>
        <v>2179.84</v>
      </c>
      <c r="X38" s="39">
        <f>IF(X$4&lt;Supuestos!$D36,0,Supuestos!$C36*Supuestos!$E36*(1+Supuestos!$F36)*(1+Supuestos!$C$13)^INT((X$4-Supuestos!$D36)/12)*Supuestos!$C$8)</f>
        <v>2179.84</v>
      </c>
      <c r="Y38" s="39">
        <f>IF(Y$4&lt;Supuestos!$D36,0,Supuestos!$C36*Supuestos!$E36*(1+Supuestos!$F36)*(1+Supuestos!$C$13)^INT((Y$4-Supuestos!$D36)/12)*Supuestos!$C$8)</f>
        <v>2179.84</v>
      </c>
      <c r="Z38" s="39">
        <f>IF(Z$4&lt;Supuestos!$D36,0,Supuestos!$C36*Supuestos!$E36*(1+Supuestos!$F36)*(1+Supuestos!$C$13)^INT((Z$4-Supuestos!$D36)/12)*Supuestos!$C$8)</f>
        <v>2179.84</v>
      </c>
      <c r="AA38" s="39">
        <f>IF(AA$4&lt;Supuestos!$D36,0,Supuestos!$C36*Supuestos!$E36*(1+Supuestos!$F36)*(1+Supuestos!$C$13)^INT((AA$4-Supuestos!$D36)/12)*Supuestos!$C$8)</f>
        <v>2179.84</v>
      </c>
    </row>
    <row r="39" spans="2:27" x14ac:dyDescent="0.25">
      <c r="B39" s="37" t="s">
        <v>139</v>
      </c>
      <c r="C39" s="35" t="str">
        <f>Supuestos!B37</f>
        <v>Técnico lavado</v>
      </c>
      <c r="D39" s="39">
        <f>IF(D$4&lt;Supuestos!$D37,0,Supuestos!$C37*Supuestos!$E37*(1+Supuestos!$F37)*(1+Supuestos!$C$13)^INT((D$4-Supuestos!$D37)/12)*Supuestos!$C$8)</f>
        <v>0</v>
      </c>
      <c r="E39" s="39">
        <f>IF(E$4&lt;Supuestos!$D37,0,Supuestos!$C37*Supuestos!$E37*(1+Supuestos!$F37)*(1+Supuestos!$C$13)^INT((E$4-Supuestos!$D37)/12)*Supuestos!$C$8)</f>
        <v>0</v>
      </c>
      <c r="F39" s="39">
        <f>IF(F$4&lt;Supuestos!$D37,0,Supuestos!$C37*Supuestos!$E37*(1+Supuestos!$F37)*(1+Supuestos!$C$13)^INT((F$4-Supuestos!$D37)/12)*Supuestos!$C$8)</f>
        <v>0</v>
      </c>
      <c r="G39" s="39">
        <f>IF(G$4&lt;Supuestos!$D37,0,Supuestos!$C37*Supuestos!$E37*(1+Supuestos!$F37)*(1+Supuestos!$C$13)^INT((G$4-Supuestos!$D37)/12)*Supuestos!$C$8)</f>
        <v>0</v>
      </c>
      <c r="H39" s="39">
        <f>IF(H$4&lt;Supuestos!$D37,0,Supuestos!$C37*Supuestos!$E37*(1+Supuestos!$F37)*(1+Supuestos!$C$13)^INT((H$4-Supuestos!$D37)/12)*Supuestos!$C$8)</f>
        <v>0</v>
      </c>
      <c r="I39" s="39">
        <f>IF(I$4&lt;Supuestos!$D37,0,Supuestos!$C37*Supuestos!$E37*(1+Supuestos!$F37)*(1+Supuestos!$C$13)^INT((I$4-Supuestos!$D37)/12)*Supuestos!$C$8)</f>
        <v>4061</v>
      </c>
      <c r="J39" s="39">
        <f>IF(J$4&lt;Supuestos!$D37,0,Supuestos!$C37*Supuestos!$E37*(1+Supuestos!$F37)*(1+Supuestos!$C$13)^INT((J$4-Supuestos!$D37)/12)*Supuestos!$C$8)</f>
        <v>4061</v>
      </c>
      <c r="K39" s="39">
        <f>IF(K$4&lt;Supuestos!$D37,0,Supuestos!$C37*Supuestos!$E37*(1+Supuestos!$F37)*(1+Supuestos!$C$13)^INT((K$4-Supuestos!$D37)/12)*Supuestos!$C$8)</f>
        <v>4061</v>
      </c>
      <c r="L39" s="39">
        <f>IF(L$4&lt;Supuestos!$D37,0,Supuestos!$C37*Supuestos!$E37*(1+Supuestos!$F37)*(1+Supuestos!$C$13)^INT((L$4-Supuestos!$D37)/12)*Supuestos!$C$8)</f>
        <v>4061</v>
      </c>
      <c r="M39" s="39">
        <f>IF(M$4&lt;Supuestos!$D37,0,Supuestos!$C37*Supuestos!$E37*(1+Supuestos!$F37)*(1+Supuestos!$C$13)^INT((M$4-Supuestos!$D37)/12)*Supuestos!$C$8)</f>
        <v>4061</v>
      </c>
      <c r="N39" s="39">
        <f>IF(N$4&lt;Supuestos!$D37,0,Supuestos!$C37*Supuestos!$E37*(1+Supuestos!$F37)*(1+Supuestos!$C$13)^INT((N$4-Supuestos!$D37)/12)*Supuestos!$C$8)</f>
        <v>4061</v>
      </c>
      <c r="O39" s="39">
        <f>IF(O$4&lt;Supuestos!$D37,0,Supuestos!$C37*Supuestos!$E37*(1+Supuestos!$F37)*(1+Supuestos!$C$13)^INT((O$4-Supuestos!$D37)/12)*Supuestos!$C$8)</f>
        <v>4061</v>
      </c>
      <c r="P39" s="39">
        <f>IF(P$4&lt;Supuestos!$D37,0,Supuestos!$C37*Supuestos!$E37*(1+Supuestos!$F37)*(1+Supuestos!$C$13)^INT((P$4-Supuestos!$D37)/12)*Supuestos!$C$8)</f>
        <v>4061</v>
      </c>
      <c r="Q39" s="39">
        <f>IF(Q$4&lt;Supuestos!$D37,0,Supuestos!$C37*Supuestos!$E37*(1+Supuestos!$F37)*(1+Supuestos!$C$13)^INT((Q$4-Supuestos!$D37)/12)*Supuestos!$C$8)</f>
        <v>4061</v>
      </c>
      <c r="R39" s="39">
        <f>IF(R$4&lt;Supuestos!$D37,0,Supuestos!$C37*Supuestos!$E37*(1+Supuestos!$F37)*(1+Supuestos!$C$13)^INT((R$4-Supuestos!$D37)/12)*Supuestos!$C$8)</f>
        <v>4061</v>
      </c>
      <c r="S39" s="39">
        <f>IF(S$4&lt;Supuestos!$D37,0,Supuestos!$C37*Supuestos!$E37*(1+Supuestos!$F37)*(1+Supuestos!$C$13)^INT((S$4-Supuestos!$D37)/12)*Supuestos!$C$8)</f>
        <v>4061</v>
      </c>
      <c r="T39" s="39">
        <f>IF(T$4&lt;Supuestos!$D37,0,Supuestos!$C37*Supuestos!$E37*(1+Supuestos!$F37)*(1+Supuestos!$C$13)^INT((T$4-Supuestos!$D37)/12)*Supuestos!$C$8)</f>
        <v>4061</v>
      </c>
      <c r="U39" s="39">
        <f>IF(U$4&lt;Supuestos!$D37,0,Supuestos!$C37*Supuestos!$E37*(1+Supuestos!$F37)*(1+Supuestos!$C$13)^INT((U$4-Supuestos!$D37)/12)*Supuestos!$C$8)</f>
        <v>4223.4400000000005</v>
      </c>
      <c r="V39" s="39">
        <f>IF(V$4&lt;Supuestos!$D37,0,Supuestos!$C37*Supuestos!$E37*(1+Supuestos!$F37)*(1+Supuestos!$C$13)^INT((V$4-Supuestos!$D37)/12)*Supuestos!$C$8)</f>
        <v>4223.4400000000005</v>
      </c>
      <c r="W39" s="39">
        <f>IF(W$4&lt;Supuestos!$D37,0,Supuestos!$C37*Supuestos!$E37*(1+Supuestos!$F37)*(1+Supuestos!$C$13)^INT((W$4-Supuestos!$D37)/12)*Supuestos!$C$8)</f>
        <v>4223.4400000000005</v>
      </c>
      <c r="X39" s="39">
        <f>IF(X$4&lt;Supuestos!$D37,0,Supuestos!$C37*Supuestos!$E37*(1+Supuestos!$F37)*(1+Supuestos!$C$13)^INT((X$4-Supuestos!$D37)/12)*Supuestos!$C$8)</f>
        <v>4223.4400000000005</v>
      </c>
      <c r="Y39" s="39">
        <f>IF(Y$4&lt;Supuestos!$D37,0,Supuestos!$C37*Supuestos!$E37*(1+Supuestos!$F37)*(1+Supuestos!$C$13)^INT((Y$4-Supuestos!$D37)/12)*Supuestos!$C$8)</f>
        <v>4223.4400000000005</v>
      </c>
      <c r="Z39" s="39">
        <f>IF(Z$4&lt;Supuestos!$D37,0,Supuestos!$C37*Supuestos!$E37*(1+Supuestos!$F37)*(1+Supuestos!$C$13)^INT((Z$4-Supuestos!$D37)/12)*Supuestos!$C$8)</f>
        <v>4223.4400000000005</v>
      </c>
      <c r="AA39" s="39">
        <f>IF(AA$4&lt;Supuestos!$D37,0,Supuestos!$C37*Supuestos!$E37*(1+Supuestos!$F37)*(1+Supuestos!$C$13)^INT((AA$4-Supuestos!$D37)/12)*Supuestos!$C$8)</f>
        <v>4223.4400000000005</v>
      </c>
    </row>
    <row r="40" spans="2:27" x14ac:dyDescent="0.25">
      <c r="B40" s="37" t="s">
        <v>139</v>
      </c>
      <c r="C40" s="35" t="str">
        <f>Supuestos!B38</f>
        <v>Marketing</v>
      </c>
      <c r="D40" s="39">
        <f>IF(D$4&lt;Supuestos!$D38,0,Supuestos!$C38*Supuestos!$E38*(1+Supuestos!$F38)*(1+Supuestos!$C$13)^INT((D$4-Supuestos!$D38)/12)*Supuestos!$C$8)</f>
        <v>0</v>
      </c>
      <c r="E40" s="39">
        <f>IF(E$4&lt;Supuestos!$D38,0,Supuestos!$C38*Supuestos!$E38*(1+Supuestos!$F38)*(1+Supuestos!$C$13)^INT((E$4-Supuestos!$D38)/12)*Supuestos!$C$8)</f>
        <v>0</v>
      </c>
      <c r="F40" s="39">
        <f>IF(F$4&lt;Supuestos!$D38,0,Supuestos!$C38*Supuestos!$E38*(1+Supuestos!$F38)*(1+Supuestos!$C$13)^INT((F$4-Supuestos!$D38)/12)*Supuestos!$C$8)</f>
        <v>0</v>
      </c>
      <c r="G40" s="39">
        <f>IF(G$4&lt;Supuestos!$D38,0,Supuestos!$C38*Supuestos!$E38*(1+Supuestos!$F38)*(1+Supuestos!$C$13)^INT((G$4-Supuestos!$D38)/12)*Supuestos!$C$8)</f>
        <v>0</v>
      </c>
      <c r="H40" s="39">
        <f>IF(H$4&lt;Supuestos!$D38,0,Supuestos!$C38*Supuestos!$E38*(1+Supuestos!$F38)*(1+Supuestos!$C$13)^INT((H$4-Supuestos!$D38)/12)*Supuestos!$C$8)</f>
        <v>0</v>
      </c>
      <c r="I40" s="39">
        <f>IF(I$4&lt;Supuestos!$D38,0,Supuestos!$C38*Supuestos!$E38*(1+Supuestos!$F38)*(1+Supuestos!$C$13)^INT((I$4-Supuestos!$D38)/12)*Supuestos!$C$8)</f>
        <v>0</v>
      </c>
      <c r="J40" s="39">
        <f>IF(J$4&lt;Supuestos!$D38,0,Supuestos!$C38*Supuestos!$E38*(1+Supuestos!$F38)*(1+Supuestos!$C$13)^INT((J$4-Supuestos!$D38)/12)*Supuestos!$C$8)</f>
        <v>2358</v>
      </c>
      <c r="K40" s="39">
        <f>IF(K$4&lt;Supuestos!$D38,0,Supuestos!$C38*Supuestos!$E38*(1+Supuestos!$F38)*(1+Supuestos!$C$13)^INT((K$4-Supuestos!$D38)/12)*Supuestos!$C$8)</f>
        <v>2358</v>
      </c>
      <c r="L40" s="39">
        <f>IF(L$4&lt;Supuestos!$D38,0,Supuestos!$C38*Supuestos!$E38*(1+Supuestos!$F38)*(1+Supuestos!$C$13)^INT((L$4-Supuestos!$D38)/12)*Supuestos!$C$8)</f>
        <v>2358</v>
      </c>
      <c r="M40" s="39">
        <f>IF(M$4&lt;Supuestos!$D38,0,Supuestos!$C38*Supuestos!$E38*(1+Supuestos!$F38)*(1+Supuestos!$C$13)^INT((M$4-Supuestos!$D38)/12)*Supuestos!$C$8)</f>
        <v>2358</v>
      </c>
      <c r="N40" s="39">
        <f>IF(N$4&lt;Supuestos!$D38,0,Supuestos!$C38*Supuestos!$E38*(1+Supuestos!$F38)*(1+Supuestos!$C$13)^INT((N$4-Supuestos!$D38)/12)*Supuestos!$C$8)</f>
        <v>2358</v>
      </c>
      <c r="O40" s="39">
        <f>IF(O$4&lt;Supuestos!$D38,0,Supuestos!$C38*Supuestos!$E38*(1+Supuestos!$F38)*(1+Supuestos!$C$13)^INT((O$4-Supuestos!$D38)/12)*Supuestos!$C$8)</f>
        <v>2358</v>
      </c>
      <c r="P40" s="39">
        <f>IF(P$4&lt;Supuestos!$D38,0,Supuestos!$C38*Supuestos!$E38*(1+Supuestos!$F38)*(1+Supuestos!$C$13)^INT((P$4-Supuestos!$D38)/12)*Supuestos!$C$8)</f>
        <v>2358</v>
      </c>
      <c r="Q40" s="39">
        <f>IF(Q$4&lt;Supuestos!$D38,0,Supuestos!$C38*Supuestos!$E38*(1+Supuestos!$F38)*(1+Supuestos!$C$13)^INT((Q$4-Supuestos!$D38)/12)*Supuestos!$C$8)</f>
        <v>2358</v>
      </c>
      <c r="R40" s="39">
        <f>IF(R$4&lt;Supuestos!$D38,0,Supuestos!$C38*Supuestos!$E38*(1+Supuestos!$F38)*(1+Supuestos!$C$13)^INT((R$4-Supuestos!$D38)/12)*Supuestos!$C$8)</f>
        <v>2358</v>
      </c>
      <c r="S40" s="39">
        <f>IF(S$4&lt;Supuestos!$D38,0,Supuestos!$C38*Supuestos!$E38*(1+Supuestos!$F38)*(1+Supuestos!$C$13)^INT((S$4-Supuestos!$D38)/12)*Supuestos!$C$8)</f>
        <v>2358</v>
      </c>
      <c r="T40" s="39">
        <f>IF(T$4&lt;Supuestos!$D38,0,Supuestos!$C38*Supuestos!$E38*(1+Supuestos!$F38)*(1+Supuestos!$C$13)^INT((T$4-Supuestos!$D38)/12)*Supuestos!$C$8)</f>
        <v>2358</v>
      </c>
      <c r="U40" s="39">
        <f>IF(U$4&lt;Supuestos!$D38,0,Supuestos!$C38*Supuestos!$E38*(1+Supuestos!$F38)*(1+Supuestos!$C$13)^INT((U$4-Supuestos!$D38)/12)*Supuestos!$C$8)</f>
        <v>2358</v>
      </c>
      <c r="V40" s="39">
        <f>IF(V$4&lt;Supuestos!$D38,0,Supuestos!$C38*Supuestos!$E38*(1+Supuestos!$F38)*(1+Supuestos!$C$13)^INT((V$4-Supuestos!$D38)/12)*Supuestos!$C$8)</f>
        <v>2452.3200000000002</v>
      </c>
      <c r="W40" s="39">
        <f>IF(W$4&lt;Supuestos!$D38,0,Supuestos!$C38*Supuestos!$E38*(1+Supuestos!$F38)*(1+Supuestos!$C$13)^INT((W$4-Supuestos!$D38)/12)*Supuestos!$C$8)</f>
        <v>2452.3200000000002</v>
      </c>
      <c r="X40" s="39">
        <f>IF(X$4&lt;Supuestos!$D38,0,Supuestos!$C38*Supuestos!$E38*(1+Supuestos!$F38)*(1+Supuestos!$C$13)^INT((X$4-Supuestos!$D38)/12)*Supuestos!$C$8)</f>
        <v>2452.3200000000002</v>
      </c>
      <c r="Y40" s="39">
        <f>IF(Y$4&lt;Supuestos!$D38,0,Supuestos!$C38*Supuestos!$E38*(1+Supuestos!$F38)*(1+Supuestos!$C$13)^INT((Y$4-Supuestos!$D38)/12)*Supuestos!$C$8)</f>
        <v>2452.3200000000002</v>
      </c>
      <c r="Z40" s="39">
        <f>IF(Z$4&lt;Supuestos!$D38,0,Supuestos!$C38*Supuestos!$E38*(1+Supuestos!$F38)*(1+Supuestos!$C$13)^INT((Z$4-Supuestos!$D38)/12)*Supuestos!$C$8)</f>
        <v>2452.3200000000002</v>
      </c>
      <c r="AA40" s="39">
        <f>IF(AA$4&lt;Supuestos!$D38,0,Supuestos!$C38*Supuestos!$E38*(1+Supuestos!$F38)*(1+Supuestos!$C$13)^INT((AA$4-Supuestos!$D38)/12)*Supuestos!$C$8)</f>
        <v>2452.3200000000002</v>
      </c>
    </row>
    <row r="41" spans="2:27" x14ac:dyDescent="0.25">
      <c r="B41" s="9" t="s">
        <v>189</v>
      </c>
      <c r="C41" s="9" t="s">
        <v>193</v>
      </c>
      <c r="D41" s="39">
        <f t="shared" ref="D41:AA41" si="9">D35+D36+D37+D38+D39+D40</f>
        <v>9039</v>
      </c>
      <c r="E41" s="39">
        <f t="shared" si="9"/>
        <v>9039</v>
      </c>
      <c r="F41" s="39">
        <f t="shared" si="9"/>
        <v>9039</v>
      </c>
      <c r="G41" s="39">
        <f t="shared" si="9"/>
        <v>11135</v>
      </c>
      <c r="H41" s="39">
        <f t="shared" si="9"/>
        <v>11135</v>
      </c>
      <c r="I41" s="39">
        <f t="shared" si="9"/>
        <v>15196</v>
      </c>
      <c r="J41" s="39">
        <f t="shared" si="9"/>
        <v>17554</v>
      </c>
      <c r="K41" s="39">
        <f t="shared" si="9"/>
        <v>17554</v>
      </c>
      <c r="L41" s="39">
        <f t="shared" si="9"/>
        <v>17554</v>
      </c>
      <c r="M41" s="39">
        <f t="shared" si="9"/>
        <v>17554</v>
      </c>
      <c r="N41" s="39">
        <f t="shared" si="9"/>
        <v>17554</v>
      </c>
      <c r="O41" s="39">
        <f t="shared" si="9"/>
        <v>17554</v>
      </c>
      <c r="P41" s="39">
        <f t="shared" si="9"/>
        <v>17915.559999999998</v>
      </c>
      <c r="Q41" s="39">
        <f t="shared" si="9"/>
        <v>17915.559999999998</v>
      </c>
      <c r="R41" s="39">
        <f t="shared" si="9"/>
        <v>17915.559999999998</v>
      </c>
      <c r="S41" s="39">
        <f t="shared" si="9"/>
        <v>17999.400000000001</v>
      </c>
      <c r="T41" s="39">
        <f t="shared" si="9"/>
        <v>17999.400000000001</v>
      </c>
      <c r="U41" s="39">
        <f t="shared" si="9"/>
        <v>18161.84</v>
      </c>
      <c r="V41" s="39">
        <f t="shared" si="9"/>
        <v>18256.16</v>
      </c>
      <c r="W41" s="39">
        <f t="shared" si="9"/>
        <v>18256.16</v>
      </c>
      <c r="X41" s="39">
        <f t="shared" si="9"/>
        <v>18256.16</v>
      </c>
      <c r="Y41" s="39">
        <f t="shared" si="9"/>
        <v>18256.16</v>
      </c>
      <c r="Z41" s="39">
        <f t="shared" si="9"/>
        <v>18256.16</v>
      </c>
      <c r="AA41" s="39">
        <f t="shared" si="9"/>
        <v>18256.16</v>
      </c>
    </row>
    <row r="43" spans="2:27" ht="17.25" x14ac:dyDescent="0.3">
      <c r="B43" s="1" t="s">
        <v>149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</row>
    <row r="44" spans="2:27" x14ac:dyDescent="0.25">
      <c r="B44" s="37" t="s">
        <v>194</v>
      </c>
      <c r="C44" s="35" t="str">
        <f>Supuestos!B43</f>
        <v>Alquiler y suministros</v>
      </c>
      <c r="D44" s="39">
        <f>IF(D$4&lt;Supuestos!$D43,0,Supuestos!$C43*(1+Supuestos!$E43)^INT((D$4-Supuestos!$D43)/12)*Supuestos!$C$8)</f>
        <v>1400</v>
      </c>
      <c r="E44" s="39">
        <f>IF(E$4&lt;Supuestos!$D43,0,Supuestos!$C43*(1+Supuestos!$E43)^INT((E$4-Supuestos!$D43)/12)*Supuestos!$C$8)</f>
        <v>1400</v>
      </c>
      <c r="F44" s="39">
        <f>IF(F$4&lt;Supuestos!$D43,0,Supuestos!$C43*(1+Supuestos!$E43)^INT((F$4-Supuestos!$D43)/12)*Supuestos!$C$8)</f>
        <v>1400</v>
      </c>
      <c r="G44" s="39">
        <f>IF(G$4&lt;Supuestos!$D43,0,Supuestos!$C43*(1+Supuestos!$E43)^INT((G$4-Supuestos!$D43)/12)*Supuestos!$C$8)</f>
        <v>1400</v>
      </c>
      <c r="H44" s="39">
        <f>IF(H$4&lt;Supuestos!$D43,0,Supuestos!$C43*(1+Supuestos!$E43)^INT((H$4-Supuestos!$D43)/12)*Supuestos!$C$8)</f>
        <v>1400</v>
      </c>
      <c r="I44" s="39">
        <f>IF(I$4&lt;Supuestos!$D43,0,Supuestos!$C43*(1+Supuestos!$E43)^INT((I$4-Supuestos!$D43)/12)*Supuestos!$C$8)</f>
        <v>1400</v>
      </c>
      <c r="J44" s="39">
        <f>IF(J$4&lt;Supuestos!$D43,0,Supuestos!$C43*(1+Supuestos!$E43)^INT((J$4-Supuestos!$D43)/12)*Supuestos!$C$8)</f>
        <v>1400</v>
      </c>
      <c r="K44" s="39">
        <f>IF(K$4&lt;Supuestos!$D43,0,Supuestos!$C43*(1+Supuestos!$E43)^INT((K$4-Supuestos!$D43)/12)*Supuestos!$C$8)</f>
        <v>1400</v>
      </c>
      <c r="L44" s="39">
        <f>IF(L$4&lt;Supuestos!$D43,0,Supuestos!$C43*(1+Supuestos!$E43)^INT((L$4-Supuestos!$D43)/12)*Supuestos!$C$8)</f>
        <v>1400</v>
      </c>
      <c r="M44" s="39">
        <f>IF(M$4&lt;Supuestos!$D43,0,Supuestos!$C43*(1+Supuestos!$E43)^INT((M$4-Supuestos!$D43)/12)*Supuestos!$C$8)</f>
        <v>1400</v>
      </c>
      <c r="N44" s="39">
        <f>IF(N$4&lt;Supuestos!$D43,0,Supuestos!$C43*(1+Supuestos!$E43)^INT((N$4-Supuestos!$D43)/12)*Supuestos!$C$8)</f>
        <v>1400</v>
      </c>
      <c r="O44" s="39">
        <f>IF(O$4&lt;Supuestos!$D43,0,Supuestos!$C43*(1+Supuestos!$E43)^INT((O$4-Supuestos!$D43)/12)*Supuestos!$C$8)</f>
        <v>1400</v>
      </c>
      <c r="P44" s="39">
        <f>IF(P$4&lt;Supuestos!$D43,0,Supuestos!$C43*(1+Supuestos!$E43)^INT((P$4-Supuestos!$D43)/12)*Supuestos!$C$8)</f>
        <v>1442</v>
      </c>
      <c r="Q44" s="39">
        <f>IF(Q$4&lt;Supuestos!$D43,0,Supuestos!$C43*(1+Supuestos!$E43)^INT((Q$4-Supuestos!$D43)/12)*Supuestos!$C$8)</f>
        <v>1442</v>
      </c>
      <c r="R44" s="39">
        <f>IF(R$4&lt;Supuestos!$D43,0,Supuestos!$C43*(1+Supuestos!$E43)^INT((R$4-Supuestos!$D43)/12)*Supuestos!$C$8)</f>
        <v>1442</v>
      </c>
      <c r="S44" s="39">
        <f>IF(S$4&lt;Supuestos!$D43,0,Supuestos!$C43*(1+Supuestos!$E43)^INT((S$4-Supuestos!$D43)/12)*Supuestos!$C$8)</f>
        <v>1442</v>
      </c>
      <c r="T44" s="39">
        <f>IF(T$4&lt;Supuestos!$D43,0,Supuestos!$C43*(1+Supuestos!$E43)^INT((T$4-Supuestos!$D43)/12)*Supuestos!$C$8)</f>
        <v>1442</v>
      </c>
      <c r="U44" s="39">
        <f>IF(U$4&lt;Supuestos!$D43,0,Supuestos!$C43*(1+Supuestos!$E43)^INT((U$4-Supuestos!$D43)/12)*Supuestos!$C$8)</f>
        <v>1442</v>
      </c>
      <c r="V44" s="39">
        <f>IF(V$4&lt;Supuestos!$D43,0,Supuestos!$C43*(1+Supuestos!$E43)^INT((V$4-Supuestos!$D43)/12)*Supuestos!$C$8)</f>
        <v>1442</v>
      </c>
      <c r="W44" s="39">
        <f>IF(W$4&lt;Supuestos!$D43,0,Supuestos!$C43*(1+Supuestos!$E43)^INT((W$4-Supuestos!$D43)/12)*Supuestos!$C$8)</f>
        <v>1442</v>
      </c>
      <c r="X44" s="39">
        <f>IF(X$4&lt;Supuestos!$D43,0,Supuestos!$C43*(1+Supuestos!$E43)^INT((X$4-Supuestos!$D43)/12)*Supuestos!$C$8)</f>
        <v>1442</v>
      </c>
      <c r="Y44" s="39">
        <f>IF(Y$4&lt;Supuestos!$D43,0,Supuestos!$C43*(1+Supuestos!$E43)^INT((Y$4-Supuestos!$D43)/12)*Supuestos!$C$8)</f>
        <v>1442</v>
      </c>
      <c r="Z44" s="39">
        <f>IF(Z$4&lt;Supuestos!$D43,0,Supuestos!$C43*(1+Supuestos!$E43)^INT((Z$4-Supuestos!$D43)/12)*Supuestos!$C$8)</f>
        <v>1442</v>
      </c>
      <c r="AA44" s="39">
        <f>IF(AA$4&lt;Supuestos!$D43,0,Supuestos!$C43*(1+Supuestos!$E43)^INT((AA$4-Supuestos!$D43)/12)*Supuestos!$C$8)</f>
        <v>1442</v>
      </c>
    </row>
    <row r="45" spans="2:27" x14ac:dyDescent="0.25">
      <c r="B45" s="37" t="s">
        <v>194</v>
      </c>
      <c r="C45" s="35" t="str">
        <f>Supuestos!B44</f>
        <v>Software y licencias</v>
      </c>
      <c r="D45" s="39">
        <f>IF(D$4&lt;Supuestos!$D44,0,Supuestos!$C44*(1+Supuestos!$E44)^INT((D$4-Supuestos!$D44)/12)*Supuestos!$C$8)</f>
        <v>280</v>
      </c>
      <c r="E45" s="39">
        <f>IF(E$4&lt;Supuestos!$D44,0,Supuestos!$C44*(1+Supuestos!$E44)^INT((E$4-Supuestos!$D44)/12)*Supuestos!$C$8)</f>
        <v>280</v>
      </c>
      <c r="F45" s="39">
        <f>IF(F$4&lt;Supuestos!$D44,0,Supuestos!$C44*(1+Supuestos!$E44)^INT((F$4-Supuestos!$D44)/12)*Supuestos!$C$8)</f>
        <v>280</v>
      </c>
      <c r="G45" s="39">
        <f>IF(G$4&lt;Supuestos!$D44,0,Supuestos!$C44*(1+Supuestos!$E44)^INT((G$4-Supuestos!$D44)/12)*Supuestos!$C$8)</f>
        <v>280</v>
      </c>
      <c r="H45" s="39">
        <f>IF(H$4&lt;Supuestos!$D44,0,Supuestos!$C44*(1+Supuestos!$E44)^INT((H$4-Supuestos!$D44)/12)*Supuestos!$C$8)</f>
        <v>280</v>
      </c>
      <c r="I45" s="39">
        <f>IF(I$4&lt;Supuestos!$D44,0,Supuestos!$C44*(1+Supuestos!$E44)^INT((I$4-Supuestos!$D44)/12)*Supuestos!$C$8)</f>
        <v>280</v>
      </c>
      <c r="J45" s="39">
        <f>IF(J$4&lt;Supuestos!$D44,0,Supuestos!$C44*(1+Supuestos!$E44)^INT((J$4-Supuestos!$D44)/12)*Supuestos!$C$8)</f>
        <v>280</v>
      </c>
      <c r="K45" s="39">
        <f>IF(K$4&lt;Supuestos!$D44,0,Supuestos!$C44*(1+Supuestos!$E44)^INT((K$4-Supuestos!$D44)/12)*Supuestos!$C$8)</f>
        <v>280</v>
      </c>
      <c r="L45" s="39">
        <f>IF(L$4&lt;Supuestos!$D44,0,Supuestos!$C44*(1+Supuestos!$E44)^INT((L$4-Supuestos!$D44)/12)*Supuestos!$C$8)</f>
        <v>280</v>
      </c>
      <c r="M45" s="39">
        <f>IF(M$4&lt;Supuestos!$D44,0,Supuestos!$C44*(1+Supuestos!$E44)^INT((M$4-Supuestos!$D44)/12)*Supuestos!$C$8)</f>
        <v>280</v>
      </c>
      <c r="N45" s="39">
        <f>IF(N$4&lt;Supuestos!$D44,0,Supuestos!$C44*(1+Supuestos!$E44)^INT((N$4-Supuestos!$D44)/12)*Supuestos!$C$8)</f>
        <v>280</v>
      </c>
      <c r="O45" s="39">
        <f>IF(O$4&lt;Supuestos!$D44,0,Supuestos!$C44*(1+Supuestos!$E44)^INT((O$4-Supuestos!$D44)/12)*Supuestos!$C$8)</f>
        <v>280</v>
      </c>
      <c r="P45" s="39">
        <f>IF(P$4&lt;Supuestos!$D44,0,Supuestos!$C44*(1+Supuestos!$E44)^INT((P$4-Supuestos!$D44)/12)*Supuestos!$C$8)</f>
        <v>288.40000000000003</v>
      </c>
      <c r="Q45" s="39">
        <f>IF(Q$4&lt;Supuestos!$D44,0,Supuestos!$C44*(1+Supuestos!$E44)^INT((Q$4-Supuestos!$D44)/12)*Supuestos!$C$8)</f>
        <v>288.40000000000003</v>
      </c>
      <c r="R45" s="39">
        <f>IF(R$4&lt;Supuestos!$D44,0,Supuestos!$C44*(1+Supuestos!$E44)^INT((R$4-Supuestos!$D44)/12)*Supuestos!$C$8)</f>
        <v>288.40000000000003</v>
      </c>
      <c r="S45" s="39">
        <f>IF(S$4&lt;Supuestos!$D44,0,Supuestos!$C44*(1+Supuestos!$E44)^INT((S$4-Supuestos!$D44)/12)*Supuestos!$C$8)</f>
        <v>288.40000000000003</v>
      </c>
      <c r="T45" s="39">
        <f>IF(T$4&lt;Supuestos!$D44,0,Supuestos!$C44*(1+Supuestos!$E44)^INT((T$4-Supuestos!$D44)/12)*Supuestos!$C$8)</f>
        <v>288.40000000000003</v>
      </c>
      <c r="U45" s="39">
        <f>IF(U$4&lt;Supuestos!$D44,0,Supuestos!$C44*(1+Supuestos!$E44)^INT((U$4-Supuestos!$D44)/12)*Supuestos!$C$8)</f>
        <v>288.40000000000003</v>
      </c>
      <c r="V45" s="39">
        <f>IF(V$4&lt;Supuestos!$D44,0,Supuestos!$C44*(1+Supuestos!$E44)^INT((V$4-Supuestos!$D44)/12)*Supuestos!$C$8)</f>
        <v>288.40000000000003</v>
      </c>
      <c r="W45" s="39">
        <f>IF(W$4&lt;Supuestos!$D44,0,Supuestos!$C44*(1+Supuestos!$E44)^INT((W$4-Supuestos!$D44)/12)*Supuestos!$C$8)</f>
        <v>288.40000000000003</v>
      </c>
      <c r="X45" s="39">
        <f>IF(X$4&lt;Supuestos!$D44,0,Supuestos!$C44*(1+Supuestos!$E44)^INT((X$4-Supuestos!$D44)/12)*Supuestos!$C$8)</f>
        <v>288.40000000000003</v>
      </c>
      <c r="Y45" s="39">
        <f>IF(Y$4&lt;Supuestos!$D44,0,Supuestos!$C44*(1+Supuestos!$E44)^INT((Y$4-Supuestos!$D44)/12)*Supuestos!$C$8)</f>
        <v>288.40000000000003</v>
      </c>
      <c r="Z45" s="39">
        <f>IF(Z$4&lt;Supuestos!$D44,0,Supuestos!$C44*(1+Supuestos!$E44)^INT((Z$4-Supuestos!$D44)/12)*Supuestos!$C$8)</f>
        <v>288.40000000000003</v>
      </c>
      <c r="AA45" s="39">
        <f>IF(AA$4&lt;Supuestos!$D44,0,Supuestos!$C44*(1+Supuestos!$E44)^INT((AA$4-Supuestos!$D44)/12)*Supuestos!$C$8)</f>
        <v>288.40000000000003</v>
      </c>
    </row>
    <row r="46" spans="2:27" x14ac:dyDescent="0.25">
      <c r="B46" s="37" t="s">
        <v>194</v>
      </c>
      <c r="C46" s="35" t="str">
        <f>Supuestos!B45</f>
        <v>Seguro y gestoría</v>
      </c>
      <c r="D46" s="39">
        <f>IF(D$4&lt;Supuestos!$D45,0,Supuestos!$C45*(1+Supuestos!$E45)^INT((D$4-Supuestos!$D45)/12)*Supuestos!$C$8)</f>
        <v>340</v>
      </c>
      <c r="E46" s="39">
        <f>IF(E$4&lt;Supuestos!$D45,0,Supuestos!$C45*(1+Supuestos!$E45)^INT((E$4-Supuestos!$D45)/12)*Supuestos!$C$8)</f>
        <v>340</v>
      </c>
      <c r="F46" s="39">
        <f>IF(F$4&lt;Supuestos!$D45,0,Supuestos!$C45*(1+Supuestos!$E45)^INT((F$4-Supuestos!$D45)/12)*Supuestos!$C$8)</f>
        <v>340</v>
      </c>
      <c r="G46" s="39">
        <f>IF(G$4&lt;Supuestos!$D45,0,Supuestos!$C45*(1+Supuestos!$E45)^INT((G$4-Supuestos!$D45)/12)*Supuestos!$C$8)</f>
        <v>340</v>
      </c>
      <c r="H46" s="39">
        <f>IF(H$4&lt;Supuestos!$D45,0,Supuestos!$C45*(1+Supuestos!$E45)^INT((H$4-Supuestos!$D45)/12)*Supuestos!$C$8)</f>
        <v>340</v>
      </c>
      <c r="I46" s="39">
        <f>IF(I$4&lt;Supuestos!$D45,0,Supuestos!$C45*(1+Supuestos!$E45)^INT((I$4-Supuestos!$D45)/12)*Supuestos!$C$8)</f>
        <v>340</v>
      </c>
      <c r="J46" s="39">
        <f>IF(J$4&lt;Supuestos!$D45,0,Supuestos!$C45*(1+Supuestos!$E45)^INT((J$4-Supuestos!$D45)/12)*Supuestos!$C$8)</f>
        <v>340</v>
      </c>
      <c r="K46" s="39">
        <f>IF(K$4&lt;Supuestos!$D45,0,Supuestos!$C45*(1+Supuestos!$E45)^INT((K$4-Supuestos!$D45)/12)*Supuestos!$C$8)</f>
        <v>340</v>
      </c>
      <c r="L46" s="39">
        <f>IF(L$4&lt;Supuestos!$D45,0,Supuestos!$C45*(1+Supuestos!$E45)^INT((L$4-Supuestos!$D45)/12)*Supuestos!$C$8)</f>
        <v>340</v>
      </c>
      <c r="M46" s="39">
        <f>IF(M$4&lt;Supuestos!$D45,0,Supuestos!$C45*(1+Supuestos!$E45)^INT((M$4-Supuestos!$D45)/12)*Supuestos!$C$8)</f>
        <v>340</v>
      </c>
      <c r="N46" s="39">
        <f>IF(N$4&lt;Supuestos!$D45,0,Supuestos!$C45*(1+Supuestos!$E45)^INT((N$4-Supuestos!$D45)/12)*Supuestos!$C$8)</f>
        <v>340</v>
      </c>
      <c r="O46" s="39">
        <f>IF(O$4&lt;Supuestos!$D45,0,Supuestos!$C45*(1+Supuestos!$E45)^INT((O$4-Supuestos!$D45)/12)*Supuestos!$C$8)</f>
        <v>340</v>
      </c>
      <c r="P46" s="39">
        <f>IF(P$4&lt;Supuestos!$D45,0,Supuestos!$C45*(1+Supuestos!$E45)^INT((P$4-Supuestos!$D45)/12)*Supuestos!$C$8)</f>
        <v>350.2</v>
      </c>
      <c r="Q46" s="39">
        <f>IF(Q$4&lt;Supuestos!$D45,0,Supuestos!$C45*(1+Supuestos!$E45)^INT((Q$4-Supuestos!$D45)/12)*Supuestos!$C$8)</f>
        <v>350.2</v>
      </c>
      <c r="R46" s="39">
        <f>IF(R$4&lt;Supuestos!$D45,0,Supuestos!$C45*(1+Supuestos!$E45)^INT((R$4-Supuestos!$D45)/12)*Supuestos!$C$8)</f>
        <v>350.2</v>
      </c>
      <c r="S46" s="39">
        <f>IF(S$4&lt;Supuestos!$D45,0,Supuestos!$C45*(1+Supuestos!$E45)^INT((S$4-Supuestos!$D45)/12)*Supuestos!$C$8)</f>
        <v>350.2</v>
      </c>
      <c r="T46" s="39">
        <f>IF(T$4&lt;Supuestos!$D45,0,Supuestos!$C45*(1+Supuestos!$E45)^INT((T$4-Supuestos!$D45)/12)*Supuestos!$C$8)</f>
        <v>350.2</v>
      </c>
      <c r="U46" s="39">
        <f>IF(U$4&lt;Supuestos!$D45,0,Supuestos!$C45*(1+Supuestos!$E45)^INT((U$4-Supuestos!$D45)/12)*Supuestos!$C$8)</f>
        <v>350.2</v>
      </c>
      <c r="V46" s="39">
        <f>IF(V$4&lt;Supuestos!$D45,0,Supuestos!$C45*(1+Supuestos!$E45)^INT((V$4-Supuestos!$D45)/12)*Supuestos!$C$8)</f>
        <v>350.2</v>
      </c>
      <c r="W46" s="39">
        <f>IF(W$4&lt;Supuestos!$D45,0,Supuestos!$C45*(1+Supuestos!$E45)^INT((W$4-Supuestos!$D45)/12)*Supuestos!$C$8)</f>
        <v>350.2</v>
      </c>
      <c r="X46" s="39">
        <f>IF(X$4&lt;Supuestos!$D45,0,Supuestos!$C45*(1+Supuestos!$E45)^INT((X$4-Supuestos!$D45)/12)*Supuestos!$C$8)</f>
        <v>350.2</v>
      </c>
      <c r="Y46" s="39">
        <f>IF(Y$4&lt;Supuestos!$D45,0,Supuestos!$C45*(1+Supuestos!$E45)^INT((Y$4-Supuestos!$D45)/12)*Supuestos!$C$8)</f>
        <v>350.2</v>
      </c>
      <c r="Z46" s="39">
        <f>IF(Z$4&lt;Supuestos!$D45,0,Supuestos!$C45*(1+Supuestos!$E45)^INT((Z$4-Supuestos!$D45)/12)*Supuestos!$C$8)</f>
        <v>350.2</v>
      </c>
      <c r="AA46" s="39">
        <f>IF(AA$4&lt;Supuestos!$D45,0,Supuestos!$C45*(1+Supuestos!$E45)^INT((AA$4-Supuestos!$D45)/12)*Supuestos!$C$8)</f>
        <v>350.2</v>
      </c>
    </row>
    <row r="47" spans="2:27" x14ac:dyDescent="0.25">
      <c r="B47" s="37" t="s">
        <v>194</v>
      </c>
      <c r="C47" s="35" t="str">
        <f>Supuestos!B46</f>
        <v>Logística fija</v>
      </c>
      <c r="D47" s="39">
        <f>IF(D$4&lt;Supuestos!$D46,0,Supuestos!$C46*(1+Supuestos!$E46)^INT((D$4-Supuestos!$D46)/12)*Supuestos!$C$8)</f>
        <v>850</v>
      </c>
      <c r="E47" s="39">
        <f>IF(E$4&lt;Supuestos!$D46,0,Supuestos!$C46*(1+Supuestos!$E46)^INT((E$4-Supuestos!$D46)/12)*Supuestos!$C$8)</f>
        <v>850</v>
      </c>
      <c r="F47" s="39">
        <f>IF(F$4&lt;Supuestos!$D46,0,Supuestos!$C46*(1+Supuestos!$E46)^INT((F$4-Supuestos!$D46)/12)*Supuestos!$C$8)</f>
        <v>850</v>
      </c>
      <c r="G47" s="39">
        <f>IF(G$4&lt;Supuestos!$D46,0,Supuestos!$C46*(1+Supuestos!$E46)^INT((G$4-Supuestos!$D46)/12)*Supuestos!$C$8)</f>
        <v>850</v>
      </c>
      <c r="H47" s="39">
        <f>IF(H$4&lt;Supuestos!$D46,0,Supuestos!$C46*(1+Supuestos!$E46)^INT((H$4-Supuestos!$D46)/12)*Supuestos!$C$8)</f>
        <v>850</v>
      </c>
      <c r="I47" s="39">
        <f>IF(I$4&lt;Supuestos!$D46,0,Supuestos!$C46*(1+Supuestos!$E46)^INT((I$4-Supuestos!$D46)/12)*Supuestos!$C$8)</f>
        <v>850</v>
      </c>
      <c r="J47" s="39">
        <f>IF(J$4&lt;Supuestos!$D46,0,Supuestos!$C46*(1+Supuestos!$E46)^INT((J$4-Supuestos!$D46)/12)*Supuestos!$C$8)</f>
        <v>850</v>
      </c>
      <c r="K47" s="39">
        <f>IF(K$4&lt;Supuestos!$D46,0,Supuestos!$C46*(1+Supuestos!$E46)^INT((K$4-Supuestos!$D46)/12)*Supuestos!$C$8)</f>
        <v>850</v>
      </c>
      <c r="L47" s="39">
        <f>IF(L$4&lt;Supuestos!$D46,0,Supuestos!$C46*(1+Supuestos!$E46)^INT((L$4-Supuestos!$D46)/12)*Supuestos!$C$8)</f>
        <v>850</v>
      </c>
      <c r="M47" s="39">
        <f>IF(M$4&lt;Supuestos!$D46,0,Supuestos!$C46*(1+Supuestos!$E46)^INT((M$4-Supuestos!$D46)/12)*Supuestos!$C$8)</f>
        <v>850</v>
      </c>
      <c r="N47" s="39">
        <f>IF(N$4&lt;Supuestos!$D46,0,Supuestos!$C46*(1+Supuestos!$E46)^INT((N$4-Supuestos!$D46)/12)*Supuestos!$C$8)</f>
        <v>850</v>
      </c>
      <c r="O47" s="39">
        <f>IF(O$4&lt;Supuestos!$D46,0,Supuestos!$C46*(1+Supuestos!$E46)^INT((O$4-Supuestos!$D46)/12)*Supuestos!$C$8)</f>
        <v>850</v>
      </c>
      <c r="P47" s="39">
        <f>IF(P$4&lt;Supuestos!$D46,0,Supuestos!$C46*(1+Supuestos!$E46)^INT((P$4-Supuestos!$D46)/12)*Supuestos!$C$8)</f>
        <v>875.5</v>
      </c>
      <c r="Q47" s="39">
        <f>IF(Q$4&lt;Supuestos!$D46,0,Supuestos!$C46*(1+Supuestos!$E46)^INT((Q$4-Supuestos!$D46)/12)*Supuestos!$C$8)</f>
        <v>875.5</v>
      </c>
      <c r="R47" s="39">
        <f>IF(R$4&lt;Supuestos!$D46,0,Supuestos!$C46*(1+Supuestos!$E46)^INT((R$4-Supuestos!$D46)/12)*Supuestos!$C$8)</f>
        <v>875.5</v>
      </c>
      <c r="S47" s="39">
        <f>IF(S$4&lt;Supuestos!$D46,0,Supuestos!$C46*(1+Supuestos!$E46)^INT((S$4-Supuestos!$D46)/12)*Supuestos!$C$8)</f>
        <v>875.5</v>
      </c>
      <c r="T47" s="39">
        <f>IF(T$4&lt;Supuestos!$D46,0,Supuestos!$C46*(1+Supuestos!$E46)^INT((T$4-Supuestos!$D46)/12)*Supuestos!$C$8)</f>
        <v>875.5</v>
      </c>
      <c r="U47" s="39">
        <f>IF(U$4&lt;Supuestos!$D46,0,Supuestos!$C46*(1+Supuestos!$E46)^INT((U$4-Supuestos!$D46)/12)*Supuestos!$C$8)</f>
        <v>875.5</v>
      </c>
      <c r="V47" s="39">
        <f>IF(V$4&lt;Supuestos!$D46,0,Supuestos!$C46*(1+Supuestos!$E46)^INT((V$4-Supuestos!$D46)/12)*Supuestos!$C$8)</f>
        <v>875.5</v>
      </c>
      <c r="W47" s="39">
        <f>IF(W$4&lt;Supuestos!$D46,0,Supuestos!$C46*(1+Supuestos!$E46)^INT((W$4-Supuestos!$D46)/12)*Supuestos!$C$8)</f>
        <v>875.5</v>
      </c>
      <c r="X47" s="39">
        <f>IF(X$4&lt;Supuestos!$D46,0,Supuestos!$C46*(1+Supuestos!$E46)^INT((X$4-Supuestos!$D46)/12)*Supuestos!$C$8)</f>
        <v>875.5</v>
      </c>
      <c r="Y47" s="39">
        <f>IF(Y$4&lt;Supuestos!$D46,0,Supuestos!$C46*(1+Supuestos!$E46)^INT((Y$4-Supuestos!$D46)/12)*Supuestos!$C$8)</f>
        <v>875.5</v>
      </c>
      <c r="Z47" s="39">
        <f>IF(Z$4&lt;Supuestos!$D46,0,Supuestos!$C46*(1+Supuestos!$E46)^INT((Z$4-Supuestos!$D46)/12)*Supuestos!$C$8)</f>
        <v>875.5</v>
      </c>
      <c r="AA47" s="39">
        <f>IF(AA$4&lt;Supuestos!$D46,0,Supuestos!$C46*(1+Supuestos!$E46)^INT((AA$4-Supuestos!$D46)/12)*Supuestos!$C$8)</f>
        <v>875.5</v>
      </c>
    </row>
    <row r="48" spans="2:27" x14ac:dyDescent="0.25">
      <c r="B48" s="37" t="s">
        <v>194</v>
      </c>
      <c r="C48" s="35" t="str">
        <f>Supuestos!B47</f>
        <v>Marketing fijo</v>
      </c>
      <c r="D48" s="39">
        <f>IF(D$4&lt;Supuestos!$D47,0,Supuestos!$C47*(1+Supuestos!$E47)^INT((D$4-Supuestos!$D47)/12)*Supuestos!$C$8)</f>
        <v>900</v>
      </c>
      <c r="E48" s="39">
        <f>IF(E$4&lt;Supuestos!$D47,0,Supuestos!$C47*(1+Supuestos!$E47)^INT((E$4-Supuestos!$D47)/12)*Supuestos!$C$8)</f>
        <v>900</v>
      </c>
      <c r="F48" s="39">
        <f>IF(F$4&lt;Supuestos!$D47,0,Supuestos!$C47*(1+Supuestos!$E47)^INT((F$4-Supuestos!$D47)/12)*Supuestos!$C$8)</f>
        <v>900</v>
      </c>
      <c r="G48" s="39">
        <f>IF(G$4&lt;Supuestos!$D47,0,Supuestos!$C47*(1+Supuestos!$E47)^INT((G$4-Supuestos!$D47)/12)*Supuestos!$C$8)</f>
        <v>900</v>
      </c>
      <c r="H48" s="39">
        <f>IF(H$4&lt;Supuestos!$D47,0,Supuestos!$C47*(1+Supuestos!$E47)^INT((H$4-Supuestos!$D47)/12)*Supuestos!$C$8)</f>
        <v>900</v>
      </c>
      <c r="I48" s="39">
        <f>IF(I$4&lt;Supuestos!$D47,0,Supuestos!$C47*(1+Supuestos!$E47)^INT((I$4-Supuestos!$D47)/12)*Supuestos!$C$8)</f>
        <v>900</v>
      </c>
      <c r="J48" s="39">
        <f>IF(J$4&lt;Supuestos!$D47,0,Supuestos!$C47*(1+Supuestos!$E47)^INT((J$4-Supuestos!$D47)/12)*Supuestos!$C$8)</f>
        <v>900</v>
      </c>
      <c r="K48" s="39">
        <f>IF(K$4&lt;Supuestos!$D47,0,Supuestos!$C47*(1+Supuestos!$E47)^INT((K$4-Supuestos!$D47)/12)*Supuestos!$C$8)</f>
        <v>900</v>
      </c>
      <c r="L48" s="39">
        <f>IF(L$4&lt;Supuestos!$D47,0,Supuestos!$C47*(1+Supuestos!$E47)^INT((L$4-Supuestos!$D47)/12)*Supuestos!$C$8)</f>
        <v>900</v>
      </c>
      <c r="M48" s="39">
        <f>IF(M$4&lt;Supuestos!$D47,0,Supuestos!$C47*(1+Supuestos!$E47)^INT((M$4-Supuestos!$D47)/12)*Supuestos!$C$8)</f>
        <v>900</v>
      </c>
      <c r="N48" s="39">
        <f>IF(N$4&lt;Supuestos!$D47,0,Supuestos!$C47*(1+Supuestos!$E47)^INT((N$4-Supuestos!$D47)/12)*Supuestos!$C$8)</f>
        <v>900</v>
      </c>
      <c r="O48" s="39">
        <f>IF(O$4&lt;Supuestos!$D47,0,Supuestos!$C47*(1+Supuestos!$E47)^INT((O$4-Supuestos!$D47)/12)*Supuestos!$C$8)</f>
        <v>900</v>
      </c>
      <c r="P48" s="39">
        <f>IF(P$4&lt;Supuestos!$D47,0,Supuestos!$C47*(1+Supuestos!$E47)^INT((P$4-Supuestos!$D47)/12)*Supuestos!$C$8)</f>
        <v>945</v>
      </c>
      <c r="Q48" s="39">
        <f>IF(Q$4&lt;Supuestos!$D47,0,Supuestos!$C47*(1+Supuestos!$E47)^INT((Q$4-Supuestos!$D47)/12)*Supuestos!$C$8)</f>
        <v>945</v>
      </c>
      <c r="R48" s="39">
        <f>IF(R$4&lt;Supuestos!$D47,0,Supuestos!$C47*(1+Supuestos!$E47)^INT((R$4-Supuestos!$D47)/12)*Supuestos!$C$8)</f>
        <v>945</v>
      </c>
      <c r="S48" s="39">
        <f>IF(S$4&lt;Supuestos!$D47,0,Supuestos!$C47*(1+Supuestos!$E47)^INT((S$4-Supuestos!$D47)/12)*Supuestos!$C$8)</f>
        <v>945</v>
      </c>
      <c r="T48" s="39">
        <f>IF(T$4&lt;Supuestos!$D47,0,Supuestos!$C47*(1+Supuestos!$E47)^INT((T$4-Supuestos!$D47)/12)*Supuestos!$C$8)</f>
        <v>945</v>
      </c>
      <c r="U48" s="39">
        <f>IF(U$4&lt;Supuestos!$D47,0,Supuestos!$C47*(1+Supuestos!$E47)^INT((U$4-Supuestos!$D47)/12)*Supuestos!$C$8)</f>
        <v>945</v>
      </c>
      <c r="V48" s="39">
        <f>IF(V$4&lt;Supuestos!$D47,0,Supuestos!$C47*(1+Supuestos!$E47)^INT((V$4-Supuestos!$D47)/12)*Supuestos!$C$8)</f>
        <v>945</v>
      </c>
      <c r="W48" s="39">
        <f>IF(W$4&lt;Supuestos!$D47,0,Supuestos!$C47*(1+Supuestos!$E47)^INT((W$4-Supuestos!$D47)/12)*Supuestos!$C$8)</f>
        <v>945</v>
      </c>
      <c r="X48" s="39">
        <f>IF(X$4&lt;Supuestos!$D47,0,Supuestos!$C47*(1+Supuestos!$E47)^INT((X$4-Supuestos!$D47)/12)*Supuestos!$C$8)</f>
        <v>945</v>
      </c>
      <c r="Y48" s="39">
        <f>IF(Y$4&lt;Supuestos!$D47,0,Supuestos!$C47*(1+Supuestos!$E47)^INT((Y$4-Supuestos!$D47)/12)*Supuestos!$C$8)</f>
        <v>945</v>
      </c>
      <c r="Z48" s="39">
        <f>IF(Z$4&lt;Supuestos!$D47,0,Supuestos!$C47*(1+Supuestos!$E47)^INT((Z$4-Supuestos!$D47)/12)*Supuestos!$C$8)</f>
        <v>945</v>
      </c>
      <c r="AA48" s="39">
        <f>IF(AA$4&lt;Supuestos!$D47,0,Supuestos!$C47*(1+Supuestos!$E47)^INT((AA$4-Supuestos!$D47)/12)*Supuestos!$C$8)</f>
        <v>945</v>
      </c>
    </row>
    <row r="49" spans="2:27" x14ac:dyDescent="0.25">
      <c r="B49" s="37" t="s">
        <v>194</v>
      </c>
      <c r="C49" s="35" t="str">
        <f>Supuestos!B48</f>
        <v>I+D de procesos</v>
      </c>
      <c r="D49" s="39">
        <f>IF(D$4&lt;Supuestos!$D48,0,Supuestos!$C48*(1+Supuestos!$E48)^INT((D$4-Supuestos!$D48)/12)*Supuestos!$C$8)</f>
        <v>350</v>
      </c>
      <c r="E49" s="39">
        <f>IF(E$4&lt;Supuestos!$D48,0,Supuestos!$C48*(1+Supuestos!$E48)^INT((E$4-Supuestos!$D48)/12)*Supuestos!$C$8)</f>
        <v>350</v>
      </c>
      <c r="F49" s="39">
        <f>IF(F$4&lt;Supuestos!$D48,0,Supuestos!$C48*(1+Supuestos!$E48)^INT((F$4-Supuestos!$D48)/12)*Supuestos!$C$8)</f>
        <v>350</v>
      </c>
      <c r="G49" s="39">
        <f>IF(G$4&lt;Supuestos!$D48,0,Supuestos!$C48*(1+Supuestos!$E48)^INT((G$4-Supuestos!$D48)/12)*Supuestos!$C$8)</f>
        <v>350</v>
      </c>
      <c r="H49" s="39">
        <f>IF(H$4&lt;Supuestos!$D48,0,Supuestos!$C48*(1+Supuestos!$E48)^INT((H$4-Supuestos!$D48)/12)*Supuestos!$C$8)</f>
        <v>350</v>
      </c>
      <c r="I49" s="39">
        <f>IF(I$4&lt;Supuestos!$D48,0,Supuestos!$C48*(1+Supuestos!$E48)^INT((I$4-Supuestos!$D48)/12)*Supuestos!$C$8)</f>
        <v>350</v>
      </c>
      <c r="J49" s="39">
        <f>IF(J$4&lt;Supuestos!$D48,0,Supuestos!$C48*(1+Supuestos!$E48)^INT((J$4-Supuestos!$D48)/12)*Supuestos!$C$8)</f>
        <v>350</v>
      </c>
      <c r="K49" s="39">
        <f>IF(K$4&lt;Supuestos!$D48,0,Supuestos!$C48*(1+Supuestos!$E48)^INT((K$4-Supuestos!$D48)/12)*Supuestos!$C$8)</f>
        <v>350</v>
      </c>
      <c r="L49" s="39">
        <f>IF(L$4&lt;Supuestos!$D48,0,Supuestos!$C48*(1+Supuestos!$E48)^INT((L$4-Supuestos!$D48)/12)*Supuestos!$C$8)</f>
        <v>350</v>
      </c>
      <c r="M49" s="39">
        <f>IF(M$4&lt;Supuestos!$D48,0,Supuestos!$C48*(1+Supuestos!$E48)^INT((M$4-Supuestos!$D48)/12)*Supuestos!$C$8)</f>
        <v>350</v>
      </c>
      <c r="N49" s="39">
        <f>IF(N$4&lt;Supuestos!$D48,0,Supuestos!$C48*(1+Supuestos!$E48)^INT((N$4-Supuestos!$D48)/12)*Supuestos!$C$8)</f>
        <v>350</v>
      </c>
      <c r="O49" s="39">
        <f>IF(O$4&lt;Supuestos!$D48,0,Supuestos!$C48*(1+Supuestos!$E48)^INT((O$4-Supuestos!$D48)/12)*Supuestos!$C$8)</f>
        <v>350</v>
      </c>
      <c r="P49" s="39">
        <f>IF(P$4&lt;Supuestos!$D48,0,Supuestos!$C48*(1+Supuestos!$E48)^INT((P$4-Supuestos!$D48)/12)*Supuestos!$C$8)</f>
        <v>360.5</v>
      </c>
      <c r="Q49" s="39">
        <f>IF(Q$4&lt;Supuestos!$D48,0,Supuestos!$C48*(1+Supuestos!$E48)^INT((Q$4-Supuestos!$D48)/12)*Supuestos!$C$8)</f>
        <v>360.5</v>
      </c>
      <c r="R49" s="39">
        <f>IF(R$4&lt;Supuestos!$D48,0,Supuestos!$C48*(1+Supuestos!$E48)^INT((R$4-Supuestos!$D48)/12)*Supuestos!$C$8)</f>
        <v>360.5</v>
      </c>
      <c r="S49" s="39">
        <f>IF(S$4&lt;Supuestos!$D48,0,Supuestos!$C48*(1+Supuestos!$E48)^INT((S$4-Supuestos!$D48)/12)*Supuestos!$C$8)</f>
        <v>360.5</v>
      </c>
      <c r="T49" s="39">
        <f>IF(T$4&lt;Supuestos!$D48,0,Supuestos!$C48*(1+Supuestos!$E48)^INT((T$4-Supuestos!$D48)/12)*Supuestos!$C$8)</f>
        <v>360.5</v>
      </c>
      <c r="U49" s="39">
        <f>IF(U$4&lt;Supuestos!$D48,0,Supuestos!$C48*(1+Supuestos!$E48)^INT((U$4-Supuestos!$D48)/12)*Supuestos!$C$8)</f>
        <v>360.5</v>
      </c>
      <c r="V49" s="39">
        <f>IF(V$4&lt;Supuestos!$D48,0,Supuestos!$C48*(1+Supuestos!$E48)^INT((V$4-Supuestos!$D48)/12)*Supuestos!$C$8)</f>
        <v>360.5</v>
      </c>
      <c r="W49" s="39">
        <f>IF(W$4&lt;Supuestos!$D48,0,Supuestos!$C48*(1+Supuestos!$E48)^INT((W$4-Supuestos!$D48)/12)*Supuestos!$C$8)</f>
        <v>360.5</v>
      </c>
      <c r="X49" s="39">
        <f>IF(X$4&lt;Supuestos!$D48,0,Supuestos!$C48*(1+Supuestos!$E48)^INT((X$4-Supuestos!$D48)/12)*Supuestos!$C$8)</f>
        <v>360.5</v>
      </c>
      <c r="Y49" s="39">
        <f>IF(Y$4&lt;Supuestos!$D48,0,Supuestos!$C48*(1+Supuestos!$E48)^INT((Y$4-Supuestos!$D48)/12)*Supuestos!$C$8)</f>
        <v>360.5</v>
      </c>
      <c r="Z49" s="39">
        <f>IF(Z$4&lt;Supuestos!$D48,0,Supuestos!$C48*(1+Supuestos!$E48)^INT((Z$4-Supuestos!$D48)/12)*Supuestos!$C$8)</f>
        <v>360.5</v>
      </c>
      <c r="AA49" s="39">
        <f>IF(AA$4&lt;Supuestos!$D48,0,Supuestos!$C48*(1+Supuestos!$E48)^INT((AA$4-Supuestos!$D48)/12)*Supuestos!$C$8)</f>
        <v>360.5</v>
      </c>
    </row>
    <row r="50" spans="2:27" x14ac:dyDescent="0.25">
      <c r="B50" s="37" t="s">
        <v>194</v>
      </c>
      <c r="C50" s="35" t="str">
        <f>Supuestos!B49</f>
        <v>Miscelánea</v>
      </c>
      <c r="D50" s="39">
        <f>IF(D$4&lt;Supuestos!$D49,0,Supuestos!$C49*(1+Supuestos!$E49)^INT((D$4-Supuestos!$D49)/12)*Supuestos!$C$8)</f>
        <v>180</v>
      </c>
      <c r="E50" s="39">
        <f>IF(E$4&lt;Supuestos!$D49,0,Supuestos!$C49*(1+Supuestos!$E49)^INT((E$4-Supuestos!$D49)/12)*Supuestos!$C$8)</f>
        <v>180</v>
      </c>
      <c r="F50" s="39">
        <f>IF(F$4&lt;Supuestos!$D49,0,Supuestos!$C49*(1+Supuestos!$E49)^INT((F$4-Supuestos!$D49)/12)*Supuestos!$C$8)</f>
        <v>180</v>
      </c>
      <c r="G50" s="39">
        <f>IF(G$4&lt;Supuestos!$D49,0,Supuestos!$C49*(1+Supuestos!$E49)^INT((G$4-Supuestos!$D49)/12)*Supuestos!$C$8)</f>
        <v>180</v>
      </c>
      <c r="H50" s="39">
        <f>IF(H$4&lt;Supuestos!$D49,0,Supuestos!$C49*(1+Supuestos!$E49)^INT((H$4-Supuestos!$D49)/12)*Supuestos!$C$8)</f>
        <v>180</v>
      </c>
      <c r="I50" s="39">
        <f>IF(I$4&lt;Supuestos!$D49,0,Supuestos!$C49*(1+Supuestos!$E49)^INT((I$4-Supuestos!$D49)/12)*Supuestos!$C$8)</f>
        <v>180</v>
      </c>
      <c r="J50" s="39">
        <f>IF(J$4&lt;Supuestos!$D49,0,Supuestos!$C49*(1+Supuestos!$E49)^INT((J$4-Supuestos!$D49)/12)*Supuestos!$C$8)</f>
        <v>180</v>
      </c>
      <c r="K50" s="39">
        <f>IF(K$4&lt;Supuestos!$D49,0,Supuestos!$C49*(1+Supuestos!$E49)^INT((K$4-Supuestos!$D49)/12)*Supuestos!$C$8)</f>
        <v>180</v>
      </c>
      <c r="L50" s="39">
        <f>IF(L$4&lt;Supuestos!$D49,0,Supuestos!$C49*(1+Supuestos!$E49)^INT((L$4-Supuestos!$D49)/12)*Supuestos!$C$8)</f>
        <v>180</v>
      </c>
      <c r="M50" s="39">
        <f>IF(M$4&lt;Supuestos!$D49,0,Supuestos!$C49*(1+Supuestos!$E49)^INT((M$4-Supuestos!$D49)/12)*Supuestos!$C$8)</f>
        <v>180</v>
      </c>
      <c r="N50" s="39">
        <f>IF(N$4&lt;Supuestos!$D49,0,Supuestos!$C49*(1+Supuestos!$E49)^INT((N$4-Supuestos!$D49)/12)*Supuestos!$C$8)</f>
        <v>180</v>
      </c>
      <c r="O50" s="39">
        <f>IF(O$4&lt;Supuestos!$D49,0,Supuestos!$C49*(1+Supuestos!$E49)^INT((O$4-Supuestos!$D49)/12)*Supuestos!$C$8)</f>
        <v>180</v>
      </c>
      <c r="P50" s="39">
        <f>IF(P$4&lt;Supuestos!$D49,0,Supuestos!$C49*(1+Supuestos!$E49)^INT((P$4-Supuestos!$D49)/12)*Supuestos!$C$8)</f>
        <v>185.4</v>
      </c>
      <c r="Q50" s="39">
        <f>IF(Q$4&lt;Supuestos!$D49,0,Supuestos!$C49*(1+Supuestos!$E49)^INT((Q$4-Supuestos!$D49)/12)*Supuestos!$C$8)</f>
        <v>185.4</v>
      </c>
      <c r="R50" s="39">
        <f>IF(R$4&lt;Supuestos!$D49,0,Supuestos!$C49*(1+Supuestos!$E49)^INT((R$4-Supuestos!$D49)/12)*Supuestos!$C$8)</f>
        <v>185.4</v>
      </c>
      <c r="S50" s="39">
        <f>IF(S$4&lt;Supuestos!$D49,0,Supuestos!$C49*(1+Supuestos!$E49)^INT((S$4-Supuestos!$D49)/12)*Supuestos!$C$8)</f>
        <v>185.4</v>
      </c>
      <c r="T50" s="39">
        <f>IF(T$4&lt;Supuestos!$D49,0,Supuestos!$C49*(1+Supuestos!$E49)^INT((T$4-Supuestos!$D49)/12)*Supuestos!$C$8)</f>
        <v>185.4</v>
      </c>
      <c r="U50" s="39">
        <f>IF(U$4&lt;Supuestos!$D49,0,Supuestos!$C49*(1+Supuestos!$E49)^INT((U$4-Supuestos!$D49)/12)*Supuestos!$C$8)</f>
        <v>185.4</v>
      </c>
      <c r="V50" s="39">
        <f>IF(V$4&lt;Supuestos!$D49,0,Supuestos!$C49*(1+Supuestos!$E49)^INT((V$4-Supuestos!$D49)/12)*Supuestos!$C$8)</f>
        <v>185.4</v>
      </c>
      <c r="W50" s="39">
        <f>IF(W$4&lt;Supuestos!$D49,0,Supuestos!$C49*(1+Supuestos!$E49)^INT((W$4-Supuestos!$D49)/12)*Supuestos!$C$8)</f>
        <v>185.4</v>
      </c>
      <c r="X50" s="39">
        <f>IF(X$4&lt;Supuestos!$D49,0,Supuestos!$C49*(1+Supuestos!$E49)^INT((X$4-Supuestos!$D49)/12)*Supuestos!$C$8)</f>
        <v>185.4</v>
      </c>
      <c r="Y50" s="39">
        <f>IF(Y$4&lt;Supuestos!$D49,0,Supuestos!$C49*(1+Supuestos!$E49)^INT((Y$4-Supuestos!$D49)/12)*Supuestos!$C$8)</f>
        <v>185.4</v>
      </c>
      <c r="Z50" s="39">
        <f>IF(Z$4&lt;Supuestos!$D49,0,Supuestos!$C49*(1+Supuestos!$E49)^INT((Z$4-Supuestos!$D49)/12)*Supuestos!$C$8)</f>
        <v>185.4</v>
      </c>
      <c r="AA50" s="39">
        <f>IF(AA$4&lt;Supuestos!$D49,0,Supuestos!$C49*(1+Supuestos!$E49)^INT((AA$4-Supuestos!$D49)/12)*Supuestos!$C$8)</f>
        <v>185.4</v>
      </c>
    </row>
    <row r="51" spans="2:27" x14ac:dyDescent="0.25">
      <c r="B51" s="9" t="s">
        <v>189</v>
      </c>
      <c r="C51" s="9" t="s">
        <v>195</v>
      </c>
      <c r="D51" s="39">
        <f t="shared" ref="D51:AA51" si="10">D44+D45+D46+D47+D48+D49+D50</f>
        <v>4300</v>
      </c>
      <c r="E51" s="39">
        <f t="shared" si="10"/>
        <v>4300</v>
      </c>
      <c r="F51" s="39">
        <f t="shared" si="10"/>
        <v>4300</v>
      </c>
      <c r="G51" s="39">
        <f t="shared" si="10"/>
        <v>4300</v>
      </c>
      <c r="H51" s="39">
        <f t="shared" si="10"/>
        <v>4300</v>
      </c>
      <c r="I51" s="39">
        <f t="shared" si="10"/>
        <v>4300</v>
      </c>
      <c r="J51" s="39">
        <f t="shared" si="10"/>
        <v>4300</v>
      </c>
      <c r="K51" s="39">
        <f t="shared" si="10"/>
        <v>4300</v>
      </c>
      <c r="L51" s="39">
        <f t="shared" si="10"/>
        <v>4300</v>
      </c>
      <c r="M51" s="39">
        <f t="shared" si="10"/>
        <v>4300</v>
      </c>
      <c r="N51" s="39">
        <f t="shared" si="10"/>
        <v>4300</v>
      </c>
      <c r="O51" s="39">
        <f t="shared" si="10"/>
        <v>4300</v>
      </c>
      <c r="P51" s="39">
        <f t="shared" si="10"/>
        <v>4447</v>
      </c>
      <c r="Q51" s="39">
        <f t="shared" si="10"/>
        <v>4447</v>
      </c>
      <c r="R51" s="39">
        <f t="shared" si="10"/>
        <v>4447</v>
      </c>
      <c r="S51" s="39">
        <f t="shared" si="10"/>
        <v>4447</v>
      </c>
      <c r="T51" s="39">
        <f t="shared" si="10"/>
        <v>4447</v>
      </c>
      <c r="U51" s="39">
        <f t="shared" si="10"/>
        <v>4447</v>
      </c>
      <c r="V51" s="39">
        <f t="shared" si="10"/>
        <v>4447</v>
      </c>
      <c r="W51" s="39">
        <f t="shared" si="10"/>
        <v>4447</v>
      </c>
      <c r="X51" s="39">
        <f t="shared" si="10"/>
        <v>4447</v>
      </c>
      <c r="Y51" s="39">
        <f t="shared" si="10"/>
        <v>4447</v>
      </c>
      <c r="Z51" s="39">
        <f t="shared" si="10"/>
        <v>4447</v>
      </c>
      <c r="AA51" s="39">
        <f t="shared" si="10"/>
        <v>4447</v>
      </c>
    </row>
    <row r="53" spans="2:27" ht="17.25" x14ac:dyDescent="0.3">
      <c r="B53" s="1" t="s">
        <v>196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</row>
    <row r="54" spans="2:27" x14ac:dyDescent="0.25">
      <c r="B54" s="37" t="s">
        <v>197</v>
      </c>
      <c r="C54" s="9" t="s">
        <v>184</v>
      </c>
      <c r="D54" s="39">
        <f t="shared" ref="D54:AA54" si="11">D31-D41-D51</f>
        <v>-8555.7999999999993</v>
      </c>
      <c r="E54" s="39">
        <f t="shared" si="11"/>
        <v>-6499</v>
      </c>
      <c r="F54" s="39">
        <f t="shared" si="11"/>
        <v>-4836.3999999999996</v>
      </c>
      <c r="G54" s="39">
        <f t="shared" si="11"/>
        <v>-7527.6</v>
      </c>
      <c r="H54" s="39">
        <f t="shared" si="11"/>
        <v>-7603.2000000000007</v>
      </c>
      <c r="I54" s="39">
        <f t="shared" si="11"/>
        <v>-8471.6</v>
      </c>
      <c r="J54" s="39">
        <f t="shared" si="11"/>
        <v>-10234.400000000001</v>
      </c>
      <c r="K54" s="39">
        <f t="shared" si="11"/>
        <v>-9626.6</v>
      </c>
      <c r="L54" s="39">
        <f t="shared" si="11"/>
        <v>-8621</v>
      </c>
      <c r="M54" s="39">
        <f t="shared" si="11"/>
        <v>-11420</v>
      </c>
      <c r="N54" s="39">
        <f t="shared" si="11"/>
        <v>-9790.4</v>
      </c>
      <c r="O54" s="39">
        <f t="shared" si="11"/>
        <v>-8290.4000000000015</v>
      </c>
      <c r="P54" s="39">
        <f t="shared" si="11"/>
        <v>-7425.1039999999975</v>
      </c>
      <c r="Q54" s="39">
        <f t="shared" si="11"/>
        <v>-6739.7239999999947</v>
      </c>
      <c r="R54" s="39">
        <f t="shared" si="11"/>
        <v>-5190.0439999999944</v>
      </c>
      <c r="S54" s="39">
        <f t="shared" si="11"/>
        <v>-6342.844000000001</v>
      </c>
      <c r="T54" s="39">
        <f t="shared" si="11"/>
        <v>-6458.5120000000024</v>
      </c>
      <c r="U54" s="39">
        <f t="shared" si="11"/>
        <v>-1250.6519999999982</v>
      </c>
      <c r="V54" s="39">
        <f t="shared" si="11"/>
        <v>297.63600000000224</v>
      </c>
      <c r="W54" s="39">
        <f t="shared" si="11"/>
        <v>2346.0000000000036</v>
      </c>
      <c r="X54" s="39">
        <f t="shared" si="11"/>
        <v>4941.9000000000015</v>
      </c>
      <c r="Y54" s="39">
        <f t="shared" si="11"/>
        <v>-1027.344000000001</v>
      </c>
      <c r="Z54" s="39">
        <f t="shared" si="11"/>
        <v>2572.2360000000008</v>
      </c>
      <c r="AA54" s="39">
        <f t="shared" si="11"/>
        <v>4813.7879999999968</v>
      </c>
    </row>
    <row r="55" spans="2:27" x14ac:dyDescent="0.25">
      <c r="B55" s="37" t="s">
        <v>197</v>
      </c>
      <c r="C55" s="37" t="s">
        <v>198</v>
      </c>
      <c r="D55" s="39">
        <f>IF(AND(D$4&gt;=Supuestos!$C54,D$4&lt;Supuestos!$C54+Supuestos!$C$15),Supuestos!$D54/Supuestos!$C$15,0)+IF(AND(D$4&gt;=Supuestos!$C55,D$4&lt;Supuestos!$C55+Supuestos!$C$15),Supuestos!$D55/Supuestos!$C$15,0)+IF(AND(D$4&gt;=Supuestos!$C56,D$4&lt;Supuestos!$C56+Supuestos!$C$15),Supuestos!$D56/Supuestos!$C$15,0)</f>
        <v>611.11111111111109</v>
      </c>
      <c r="E55" s="39">
        <f>IF(AND(E$4&gt;=Supuestos!$C54,E$4&lt;Supuestos!$C54+Supuestos!$C$15),Supuestos!$D54/Supuestos!$C$15,0)+IF(AND(E$4&gt;=Supuestos!$C55,E$4&lt;Supuestos!$C55+Supuestos!$C$15),Supuestos!$D55/Supuestos!$C$15,0)+IF(AND(E$4&gt;=Supuestos!$C56,E$4&lt;Supuestos!$C56+Supuestos!$C$15),Supuestos!$D56/Supuestos!$C$15,0)</f>
        <v>791.66666666666663</v>
      </c>
      <c r="F55" s="39">
        <f>IF(AND(F$4&gt;=Supuestos!$C54,F$4&lt;Supuestos!$C54+Supuestos!$C$15),Supuestos!$D54/Supuestos!$C$15,0)+IF(AND(F$4&gt;=Supuestos!$C55,F$4&lt;Supuestos!$C55+Supuestos!$C$15),Supuestos!$D55/Supuestos!$C$15,0)+IF(AND(F$4&gt;=Supuestos!$C56,F$4&lt;Supuestos!$C56+Supuestos!$C$15),Supuestos!$D56/Supuestos!$C$15,0)</f>
        <v>791.66666666666663</v>
      </c>
      <c r="G55" s="39">
        <f>IF(AND(G$4&gt;=Supuestos!$C54,G$4&lt;Supuestos!$C54+Supuestos!$C$15),Supuestos!$D54/Supuestos!$C$15,0)+IF(AND(G$4&gt;=Supuestos!$C55,G$4&lt;Supuestos!$C55+Supuestos!$C$15),Supuestos!$D55/Supuestos!$C$15,0)+IF(AND(G$4&gt;=Supuestos!$C56,G$4&lt;Supuestos!$C56+Supuestos!$C$15),Supuestos!$D56/Supuestos!$C$15,0)</f>
        <v>791.66666666666663</v>
      </c>
      <c r="H55" s="39">
        <f>IF(AND(H$4&gt;=Supuestos!$C54,H$4&lt;Supuestos!$C54+Supuestos!$C$15),Supuestos!$D54/Supuestos!$C$15,0)+IF(AND(H$4&gt;=Supuestos!$C55,H$4&lt;Supuestos!$C55+Supuestos!$C$15),Supuestos!$D55/Supuestos!$C$15,0)+IF(AND(H$4&gt;=Supuestos!$C56,H$4&lt;Supuestos!$C56+Supuestos!$C$15),Supuestos!$D56/Supuestos!$C$15,0)</f>
        <v>791.66666666666663</v>
      </c>
      <c r="I55" s="39">
        <f>IF(AND(I$4&gt;=Supuestos!$C54,I$4&lt;Supuestos!$C54+Supuestos!$C$15),Supuestos!$D54/Supuestos!$C$15,0)+IF(AND(I$4&gt;=Supuestos!$C55,I$4&lt;Supuestos!$C55+Supuestos!$C$15),Supuestos!$D55/Supuestos!$C$15,0)+IF(AND(I$4&gt;=Supuestos!$C56,I$4&lt;Supuestos!$C56+Supuestos!$C$15),Supuestos!$D56/Supuestos!$C$15,0)</f>
        <v>791.66666666666663</v>
      </c>
      <c r="J55" s="39">
        <f>IF(AND(J$4&gt;=Supuestos!$C54,J$4&lt;Supuestos!$C54+Supuestos!$C$15),Supuestos!$D54/Supuestos!$C$15,0)+IF(AND(J$4&gt;=Supuestos!$C55,J$4&lt;Supuestos!$C55+Supuestos!$C$15),Supuestos!$D55/Supuestos!$C$15,0)+IF(AND(J$4&gt;=Supuestos!$C56,J$4&lt;Supuestos!$C56+Supuestos!$C$15),Supuestos!$D56/Supuestos!$C$15,0)</f>
        <v>791.66666666666663</v>
      </c>
      <c r="K55" s="39">
        <f>IF(AND(K$4&gt;=Supuestos!$C54,K$4&lt;Supuestos!$C54+Supuestos!$C$15),Supuestos!$D54/Supuestos!$C$15,0)+IF(AND(K$4&gt;=Supuestos!$C55,K$4&lt;Supuestos!$C55+Supuestos!$C$15),Supuestos!$D55/Supuestos!$C$15,0)+IF(AND(K$4&gt;=Supuestos!$C56,K$4&lt;Supuestos!$C56+Supuestos!$C$15),Supuestos!$D56/Supuestos!$C$15,0)</f>
        <v>791.66666666666663</v>
      </c>
      <c r="L55" s="39">
        <f>IF(AND(L$4&gt;=Supuestos!$C54,L$4&lt;Supuestos!$C54+Supuestos!$C$15),Supuestos!$D54/Supuestos!$C$15,0)+IF(AND(L$4&gt;=Supuestos!$C55,L$4&lt;Supuestos!$C55+Supuestos!$C$15),Supuestos!$D55/Supuestos!$C$15,0)+IF(AND(L$4&gt;=Supuestos!$C56,L$4&lt;Supuestos!$C56+Supuestos!$C$15),Supuestos!$D56/Supuestos!$C$15,0)</f>
        <v>791.66666666666663</v>
      </c>
      <c r="M55" s="39">
        <f>IF(AND(M$4&gt;=Supuestos!$C54,M$4&lt;Supuestos!$C54+Supuestos!$C$15),Supuestos!$D54/Supuestos!$C$15,0)+IF(AND(M$4&gt;=Supuestos!$C55,M$4&lt;Supuestos!$C55+Supuestos!$C$15),Supuestos!$D55/Supuestos!$C$15,0)+IF(AND(M$4&gt;=Supuestos!$C56,M$4&lt;Supuestos!$C56+Supuestos!$C$15),Supuestos!$D56/Supuestos!$C$15,0)</f>
        <v>791.66666666666663</v>
      </c>
      <c r="N55" s="39">
        <f>IF(AND(N$4&gt;=Supuestos!$C54,N$4&lt;Supuestos!$C54+Supuestos!$C$15),Supuestos!$D54/Supuestos!$C$15,0)+IF(AND(N$4&gt;=Supuestos!$C55,N$4&lt;Supuestos!$C55+Supuestos!$C$15),Supuestos!$D55/Supuestos!$C$15,0)+IF(AND(N$4&gt;=Supuestos!$C56,N$4&lt;Supuestos!$C56+Supuestos!$C$15),Supuestos!$D56/Supuestos!$C$15,0)</f>
        <v>791.66666666666663</v>
      </c>
      <c r="O55" s="39">
        <f>IF(AND(O$4&gt;=Supuestos!$C54,O$4&lt;Supuestos!$C54+Supuestos!$C$15),Supuestos!$D54/Supuestos!$C$15,0)+IF(AND(O$4&gt;=Supuestos!$C55,O$4&lt;Supuestos!$C55+Supuestos!$C$15),Supuestos!$D55/Supuestos!$C$15,0)+IF(AND(O$4&gt;=Supuestos!$C56,O$4&lt;Supuestos!$C56+Supuestos!$C$15),Supuestos!$D56/Supuestos!$C$15,0)</f>
        <v>791.66666666666663</v>
      </c>
      <c r="P55" s="39">
        <f>IF(AND(P$4&gt;=Supuestos!$C54,P$4&lt;Supuestos!$C54+Supuestos!$C$15),Supuestos!$D54/Supuestos!$C$15,0)+IF(AND(P$4&gt;=Supuestos!$C55,P$4&lt;Supuestos!$C55+Supuestos!$C$15),Supuestos!$D55/Supuestos!$C$15,0)+IF(AND(P$4&gt;=Supuestos!$C56,P$4&lt;Supuestos!$C56+Supuestos!$C$15),Supuestos!$D56/Supuestos!$C$15,0)</f>
        <v>791.66666666666663</v>
      </c>
      <c r="Q55" s="39">
        <f>IF(AND(Q$4&gt;=Supuestos!$C54,Q$4&lt;Supuestos!$C54+Supuestos!$C$15),Supuestos!$D54/Supuestos!$C$15,0)+IF(AND(Q$4&gt;=Supuestos!$C55,Q$4&lt;Supuestos!$C55+Supuestos!$C$15),Supuestos!$D55/Supuestos!$C$15,0)+IF(AND(Q$4&gt;=Supuestos!$C56,Q$4&lt;Supuestos!$C56+Supuestos!$C$15),Supuestos!$D56/Supuestos!$C$15,0)</f>
        <v>791.66666666666663</v>
      </c>
      <c r="R55" s="39">
        <f>IF(AND(R$4&gt;=Supuestos!$C54,R$4&lt;Supuestos!$C54+Supuestos!$C$15),Supuestos!$D54/Supuestos!$C$15,0)+IF(AND(R$4&gt;=Supuestos!$C55,R$4&lt;Supuestos!$C55+Supuestos!$C$15),Supuestos!$D55/Supuestos!$C$15,0)+IF(AND(R$4&gt;=Supuestos!$C56,R$4&lt;Supuestos!$C56+Supuestos!$C$15),Supuestos!$D56/Supuestos!$C$15,0)</f>
        <v>791.66666666666663</v>
      </c>
      <c r="S55" s="39">
        <f>IF(AND(S$4&gt;=Supuestos!$C54,S$4&lt;Supuestos!$C54+Supuestos!$C$15),Supuestos!$D54/Supuestos!$C$15,0)+IF(AND(S$4&gt;=Supuestos!$C55,S$4&lt;Supuestos!$C55+Supuestos!$C$15),Supuestos!$D55/Supuestos!$C$15,0)+IF(AND(S$4&gt;=Supuestos!$C56,S$4&lt;Supuestos!$C56+Supuestos!$C$15),Supuestos!$D56/Supuestos!$C$15,0)</f>
        <v>791.66666666666663</v>
      </c>
      <c r="T55" s="39">
        <f>IF(AND(T$4&gt;=Supuestos!$C54,T$4&lt;Supuestos!$C54+Supuestos!$C$15),Supuestos!$D54/Supuestos!$C$15,0)+IF(AND(T$4&gt;=Supuestos!$C55,T$4&lt;Supuestos!$C55+Supuestos!$C$15),Supuestos!$D55/Supuestos!$C$15,0)+IF(AND(T$4&gt;=Supuestos!$C56,T$4&lt;Supuestos!$C56+Supuestos!$C$15),Supuestos!$D56/Supuestos!$C$15,0)</f>
        <v>791.66666666666663</v>
      </c>
      <c r="U55" s="39">
        <f>IF(AND(U$4&gt;=Supuestos!$C54,U$4&lt;Supuestos!$C54+Supuestos!$C$15),Supuestos!$D54/Supuestos!$C$15,0)+IF(AND(U$4&gt;=Supuestos!$C55,U$4&lt;Supuestos!$C55+Supuestos!$C$15),Supuestos!$D55/Supuestos!$C$15,0)+IF(AND(U$4&gt;=Supuestos!$C56,U$4&lt;Supuestos!$C56+Supuestos!$C$15),Supuestos!$D56/Supuestos!$C$15,0)</f>
        <v>791.66666666666663</v>
      </c>
      <c r="V55" s="39">
        <f>IF(AND(V$4&gt;=Supuestos!$C54,V$4&lt;Supuestos!$C54+Supuestos!$C$15),Supuestos!$D54/Supuestos!$C$15,0)+IF(AND(V$4&gt;=Supuestos!$C55,V$4&lt;Supuestos!$C55+Supuestos!$C$15),Supuestos!$D55/Supuestos!$C$15,0)+IF(AND(V$4&gt;=Supuestos!$C56,V$4&lt;Supuestos!$C56+Supuestos!$C$15),Supuestos!$D56/Supuestos!$C$15,0)</f>
        <v>791.66666666666663</v>
      </c>
      <c r="W55" s="39">
        <f>IF(AND(W$4&gt;=Supuestos!$C54,W$4&lt;Supuestos!$C54+Supuestos!$C$15),Supuestos!$D54/Supuestos!$C$15,0)+IF(AND(W$4&gt;=Supuestos!$C55,W$4&lt;Supuestos!$C55+Supuestos!$C$15),Supuestos!$D55/Supuestos!$C$15,0)+IF(AND(W$4&gt;=Supuestos!$C56,W$4&lt;Supuestos!$C56+Supuestos!$C$15),Supuestos!$D56/Supuestos!$C$15,0)</f>
        <v>791.66666666666663</v>
      </c>
      <c r="X55" s="39">
        <f>IF(AND(X$4&gt;=Supuestos!$C54,X$4&lt;Supuestos!$C54+Supuestos!$C$15),Supuestos!$D54/Supuestos!$C$15,0)+IF(AND(X$4&gt;=Supuestos!$C55,X$4&lt;Supuestos!$C55+Supuestos!$C$15),Supuestos!$D55/Supuestos!$C$15,0)+IF(AND(X$4&gt;=Supuestos!$C56,X$4&lt;Supuestos!$C56+Supuestos!$C$15),Supuestos!$D56/Supuestos!$C$15,0)</f>
        <v>791.66666666666663</v>
      </c>
      <c r="Y55" s="39">
        <f>IF(AND(Y$4&gt;=Supuestos!$C54,Y$4&lt;Supuestos!$C54+Supuestos!$C$15),Supuestos!$D54/Supuestos!$C$15,0)+IF(AND(Y$4&gt;=Supuestos!$C55,Y$4&lt;Supuestos!$C55+Supuestos!$C$15),Supuestos!$D55/Supuestos!$C$15,0)+IF(AND(Y$4&gt;=Supuestos!$C56,Y$4&lt;Supuestos!$C56+Supuestos!$C$15),Supuestos!$D56/Supuestos!$C$15,0)</f>
        <v>791.66666666666663</v>
      </c>
      <c r="Z55" s="39">
        <f>IF(AND(Z$4&gt;=Supuestos!$C54,Z$4&lt;Supuestos!$C54+Supuestos!$C$15),Supuestos!$D54/Supuestos!$C$15,0)+IF(AND(Z$4&gt;=Supuestos!$C55,Z$4&lt;Supuestos!$C55+Supuestos!$C$15),Supuestos!$D55/Supuestos!$C$15,0)+IF(AND(Z$4&gt;=Supuestos!$C56,Z$4&lt;Supuestos!$C56+Supuestos!$C$15),Supuestos!$D56/Supuestos!$C$15,0)</f>
        <v>791.66666666666663</v>
      </c>
      <c r="AA55" s="39">
        <f>IF(AND(AA$4&gt;=Supuestos!$C54,AA$4&lt;Supuestos!$C54+Supuestos!$C$15),Supuestos!$D54/Supuestos!$C$15,0)+IF(AND(AA$4&gt;=Supuestos!$C55,AA$4&lt;Supuestos!$C55+Supuestos!$C$15),Supuestos!$D55/Supuestos!$C$15,0)+IF(AND(AA$4&gt;=Supuestos!$C56,AA$4&lt;Supuestos!$C56+Supuestos!$C$15),Supuestos!$D56/Supuestos!$C$15,0)</f>
        <v>791.66666666666663</v>
      </c>
    </row>
    <row r="56" spans="2:27" x14ac:dyDescent="0.25">
      <c r="B56" s="37" t="s">
        <v>197</v>
      </c>
      <c r="C56" s="9" t="s">
        <v>199</v>
      </c>
      <c r="D56" s="39">
        <f t="shared" ref="D56:AA56" si="12">D54-D55</f>
        <v>-9166.9111111111106</v>
      </c>
      <c r="E56" s="39">
        <f t="shared" si="12"/>
        <v>-7290.666666666667</v>
      </c>
      <c r="F56" s="39">
        <f t="shared" si="12"/>
        <v>-5628.0666666666666</v>
      </c>
      <c r="G56" s="39">
        <f t="shared" si="12"/>
        <v>-8319.2666666666664</v>
      </c>
      <c r="H56" s="39">
        <f t="shared" si="12"/>
        <v>-8394.8666666666668</v>
      </c>
      <c r="I56" s="39">
        <f t="shared" si="12"/>
        <v>-9263.2666666666664</v>
      </c>
      <c r="J56" s="39">
        <f t="shared" si="12"/>
        <v>-11026.066666666668</v>
      </c>
      <c r="K56" s="39">
        <f t="shared" si="12"/>
        <v>-10418.266666666666</v>
      </c>
      <c r="L56" s="39">
        <f t="shared" si="12"/>
        <v>-9412.6666666666661</v>
      </c>
      <c r="M56" s="39">
        <f t="shared" si="12"/>
        <v>-12211.666666666666</v>
      </c>
      <c r="N56" s="39">
        <f t="shared" si="12"/>
        <v>-10582.066666666666</v>
      </c>
      <c r="O56" s="39">
        <f t="shared" si="12"/>
        <v>-9082.0666666666675</v>
      </c>
      <c r="P56" s="39">
        <f t="shared" si="12"/>
        <v>-8216.7706666666636</v>
      </c>
      <c r="Q56" s="39">
        <f t="shared" si="12"/>
        <v>-7531.3906666666617</v>
      </c>
      <c r="R56" s="39">
        <f t="shared" si="12"/>
        <v>-5981.7106666666614</v>
      </c>
      <c r="S56" s="39">
        <f t="shared" si="12"/>
        <v>-7134.5106666666679</v>
      </c>
      <c r="T56" s="39">
        <f t="shared" si="12"/>
        <v>-7250.1786666666694</v>
      </c>
      <c r="U56" s="39">
        <f t="shared" si="12"/>
        <v>-2042.3186666666647</v>
      </c>
      <c r="V56" s="39">
        <f t="shared" si="12"/>
        <v>-494.03066666666439</v>
      </c>
      <c r="W56" s="39">
        <f t="shared" si="12"/>
        <v>1554.3333333333371</v>
      </c>
      <c r="X56" s="39">
        <f t="shared" si="12"/>
        <v>4150.2333333333345</v>
      </c>
      <c r="Y56" s="39">
        <f t="shared" si="12"/>
        <v>-1819.0106666666675</v>
      </c>
      <c r="Z56" s="39">
        <f t="shared" si="12"/>
        <v>1780.5693333333343</v>
      </c>
      <c r="AA56" s="39">
        <f t="shared" si="12"/>
        <v>4022.1213333333303</v>
      </c>
    </row>
    <row r="57" spans="2:27" x14ac:dyDescent="0.25">
      <c r="B57" s="37" t="s">
        <v>197</v>
      </c>
      <c r="C57" s="37" t="s">
        <v>200</v>
      </c>
      <c r="D57" s="39">
        <f t="shared" ref="D57:AA57" si="13">D71</f>
        <v>145.83333333333334</v>
      </c>
      <c r="E57" s="39">
        <f t="shared" si="13"/>
        <v>145.83333333333334</v>
      </c>
      <c r="F57" s="39">
        <f t="shared" si="13"/>
        <v>142.18111781824439</v>
      </c>
      <c r="G57" s="39">
        <f t="shared" si="13"/>
        <v>138.50759771265075</v>
      </c>
      <c r="H57" s="39">
        <f t="shared" si="13"/>
        <v>134.81264873977446</v>
      </c>
      <c r="I57" s="39">
        <f t="shared" si="13"/>
        <v>131.09614589788973</v>
      </c>
      <c r="J57" s="39">
        <f t="shared" si="13"/>
        <v>127.35796345609401</v>
      </c>
      <c r="K57" s="39">
        <f t="shared" si="13"/>
        <v>123.59797495005449</v>
      </c>
      <c r="L57" s="39">
        <f t="shared" si="13"/>
        <v>119.81605317772973</v>
      </c>
      <c r="M57" s="39">
        <f t="shared" si="13"/>
        <v>116.01207019506641</v>
      </c>
      <c r="N57" s="39">
        <f t="shared" si="13"/>
        <v>112.1858973116709</v>
      </c>
      <c r="O57" s="39">
        <f t="shared" si="13"/>
        <v>108.33740508645558</v>
      </c>
      <c r="P57" s="39">
        <f t="shared" si="13"/>
        <v>104.46646332325982</v>
      </c>
      <c r="Q57" s="39">
        <f t="shared" si="13"/>
        <v>100.57294106644542</v>
      </c>
      <c r="R57" s="39">
        <f t="shared" si="13"/>
        <v>96.656706596466279</v>
      </c>
      <c r="S57" s="39">
        <f t="shared" si="13"/>
        <v>92.71762742541226</v>
      </c>
      <c r="T57" s="39">
        <f t="shared" si="13"/>
        <v>88.755570292527082</v>
      </c>
      <c r="U57" s="39">
        <f t="shared" si="13"/>
        <v>84.770401159700086</v>
      </c>
      <c r="V57" s="39">
        <f t="shared" si="13"/>
        <v>80.761985206931598</v>
      </c>
      <c r="W57" s="39">
        <f t="shared" si="13"/>
        <v>76.730186827771959</v>
      </c>
      <c r="X57" s="39">
        <f t="shared" si="13"/>
        <v>72.674869624733887</v>
      </c>
      <c r="Y57" s="39">
        <f t="shared" si="13"/>
        <v>68.595896404678101</v>
      </c>
      <c r="Z57" s="39">
        <f t="shared" si="13"/>
        <v>64.493129174171983</v>
      </c>
      <c r="AA57" s="39">
        <f t="shared" si="13"/>
        <v>60.366429134821239</v>
      </c>
    </row>
    <row r="58" spans="2:27" x14ac:dyDescent="0.25">
      <c r="B58" s="37" t="s">
        <v>197</v>
      </c>
      <c r="C58" s="9" t="s">
        <v>201</v>
      </c>
      <c r="D58" s="39">
        <f t="shared" ref="D58:AA58" si="14">D56-D57</f>
        <v>-9312.7444444444445</v>
      </c>
      <c r="E58" s="39">
        <f t="shared" si="14"/>
        <v>-7436.5</v>
      </c>
      <c r="F58" s="39">
        <f t="shared" si="14"/>
        <v>-5770.2477844849109</v>
      </c>
      <c r="G58" s="39">
        <f t="shared" si="14"/>
        <v>-8457.7742643793172</v>
      </c>
      <c r="H58" s="39">
        <f t="shared" si="14"/>
        <v>-8529.6793154064417</v>
      </c>
      <c r="I58" s="39">
        <f t="shared" si="14"/>
        <v>-9394.3628125645555</v>
      </c>
      <c r="J58" s="39">
        <f t="shared" si="14"/>
        <v>-11153.424630122761</v>
      </c>
      <c r="K58" s="39">
        <f t="shared" si="14"/>
        <v>-10541.864641616721</v>
      </c>
      <c r="L58" s="39">
        <f t="shared" si="14"/>
        <v>-9532.4827198443963</v>
      </c>
      <c r="M58" s="39">
        <f t="shared" si="14"/>
        <v>-12327.678736861733</v>
      </c>
      <c r="N58" s="39">
        <f t="shared" si="14"/>
        <v>-10694.252563978336</v>
      </c>
      <c r="O58" s="39">
        <f t="shared" si="14"/>
        <v>-9190.4040717531225</v>
      </c>
      <c r="P58" s="39">
        <f t="shared" si="14"/>
        <v>-8321.2371299899241</v>
      </c>
      <c r="Q58" s="39">
        <f t="shared" si="14"/>
        <v>-7631.963607733107</v>
      </c>
      <c r="R58" s="39">
        <f t="shared" si="14"/>
        <v>-6078.3673732631278</v>
      </c>
      <c r="S58" s="39">
        <f t="shared" si="14"/>
        <v>-7227.2282940920804</v>
      </c>
      <c r="T58" s="39">
        <f t="shared" si="14"/>
        <v>-7338.9342369591968</v>
      </c>
      <c r="U58" s="39">
        <f t="shared" si="14"/>
        <v>-2127.089067826365</v>
      </c>
      <c r="V58" s="39">
        <f t="shared" si="14"/>
        <v>-574.79265187359601</v>
      </c>
      <c r="W58" s="39">
        <f t="shared" si="14"/>
        <v>1477.6031465055651</v>
      </c>
      <c r="X58" s="39">
        <f t="shared" si="14"/>
        <v>4077.5584637086008</v>
      </c>
      <c r="Y58" s="39">
        <f t="shared" si="14"/>
        <v>-1887.6065630713456</v>
      </c>
      <c r="Z58" s="39">
        <f t="shared" si="14"/>
        <v>1716.0762041591622</v>
      </c>
      <c r="AA58" s="39">
        <f t="shared" si="14"/>
        <v>3961.7549041985089</v>
      </c>
    </row>
    <row r="59" spans="2:27" x14ac:dyDescent="0.25">
      <c r="B59" s="37" t="s">
        <v>197</v>
      </c>
      <c r="C59" s="37" t="s">
        <v>202</v>
      </c>
      <c r="D59" s="39">
        <f>MAX(0,D58*Supuestos!$C$12)</f>
        <v>0</v>
      </c>
      <c r="E59" s="39">
        <f>MAX(0,E58*Supuestos!$C$12)</f>
        <v>0</v>
      </c>
      <c r="F59" s="39">
        <f>MAX(0,F58*Supuestos!$C$12)</f>
        <v>0</v>
      </c>
      <c r="G59" s="39">
        <f>MAX(0,G58*Supuestos!$C$12)</f>
        <v>0</v>
      </c>
      <c r="H59" s="39">
        <f>MAX(0,H58*Supuestos!$C$12)</f>
        <v>0</v>
      </c>
      <c r="I59" s="39">
        <f>MAX(0,I58*Supuestos!$C$12)</f>
        <v>0</v>
      </c>
      <c r="J59" s="39">
        <f>MAX(0,J58*Supuestos!$C$12)</f>
        <v>0</v>
      </c>
      <c r="K59" s="39">
        <f>MAX(0,K58*Supuestos!$C$12)</f>
        <v>0</v>
      </c>
      <c r="L59" s="39">
        <f>MAX(0,L58*Supuestos!$C$12)</f>
        <v>0</v>
      </c>
      <c r="M59" s="39">
        <f>MAX(0,M58*Supuestos!$C$12)</f>
        <v>0</v>
      </c>
      <c r="N59" s="39">
        <f>MAX(0,N58*Supuestos!$C$12)</f>
        <v>0</v>
      </c>
      <c r="O59" s="39">
        <f>MAX(0,O58*Supuestos!$C$12)</f>
        <v>0</v>
      </c>
      <c r="P59" s="39">
        <f>MAX(0,P58*Supuestos!$C$12)</f>
        <v>0</v>
      </c>
      <c r="Q59" s="39">
        <f>MAX(0,Q58*Supuestos!$C$12)</f>
        <v>0</v>
      </c>
      <c r="R59" s="39">
        <f>MAX(0,R58*Supuestos!$C$12)</f>
        <v>0</v>
      </c>
      <c r="S59" s="39">
        <f>MAX(0,S58*Supuestos!$C$12)</f>
        <v>0</v>
      </c>
      <c r="T59" s="39">
        <f>MAX(0,T58*Supuestos!$C$12)</f>
        <v>0</v>
      </c>
      <c r="U59" s="39">
        <f>MAX(0,U58*Supuestos!$C$12)</f>
        <v>0</v>
      </c>
      <c r="V59" s="39">
        <f>MAX(0,V58*Supuestos!$C$12)</f>
        <v>0</v>
      </c>
      <c r="W59" s="39">
        <f>MAX(0,W58*Supuestos!$C$12)</f>
        <v>369.40078662639127</v>
      </c>
      <c r="X59" s="39">
        <f>MAX(0,X58*Supuestos!$C$12)</f>
        <v>1019.3896159271502</v>
      </c>
      <c r="Y59" s="39">
        <f>MAX(0,Y58*Supuestos!$C$12)</f>
        <v>0</v>
      </c>
      <c r="Z59" s="39">
        <f>MAX(0,Z58*Supuestos!$C$12)</f>
        <v>429.01905103979055</v>
      </c>
      <c r="AA59" s="39">
        <f>MAX(0,AA58*Supuestos!$C$12)</f>
        <v>990.43872604962723</v>
      </c>
    </row>
    <row r="60" spans="2:27" x14ac:dyDescent="0.25">
      <c r="B60" s="37" t="s">
        <v>197</v>
      </c>
      <c r="C60" s="9" t="s">
        <v>185</v>
      </c>
      <c r="D60" s="39">
        <f t="shared" ref="D60:AA60" si="15">D58-D59</f>
        <v>-9312.7444444444445</v>
      </c>
      <c r="E60" s="39">
        <f t="shared" si="15"/>
        <v>-7436.5</v>
      </c>
      <c r="F60" s="39">
        <f t="shared" si="15"/>
        <v>-5770.2477844849109</v>
      </c>
      <c r="G60" s="39">
        <f t="shared" si="15"/>
        <v>-8457.7742643793172</v>
      </c>
      <c r="H60" s="39">
        <f t="shared" si="15"/>
        <v>-8529.6793154064417</v>
      </c>
      <c r="I60" s="39">
        <f t="shared" si="15"/>
        <v>-9394.3628125645555</v>
      </c>
      <c r="J60" s="39">
        <f t="shared" si="15"/>
        <v>-11153.424630122761</v>
      </c>
      <c r="K60" s="39">
        <f t="shared" si="15"/>
        <v>-10541.864641616721</v>
      </c>
      <c r="L60" s="39">
        <f t="shared" si="15"/>
        <v>-9532.4827198443963</v>
      </c>
      <c r="M60" s="39">
        <f t="shared" si="15"/>
        <v>-12327.678736861733</v>
      </c>
      <c r="N60" s="39">
        <f t="shared" si="15"/>
        <v>-10694.252563978336</v>
      </c>
      <c r="O60" s="39">
        <f t="shared" si="15"/>
        <v>-9190.4040717531225</v>
      </c>
      <c r="P60" s="39">
        <f t="shared" si="15"/>
        <v>-8321.2371299899241</v>
      </c>
      <c r="Q60" s="39">
        <f t="shared" si="15"/>
        <v>-7631.963607733107</v>
      </c>
      <c r="R60" s="39">
        <f t="shared" si="15"/>
        <v>-6078.3673732631278</v>
      </c>
      <c r="S60" s="39">
        <f t="shared" si="15"/>
        <v>-7227.2282940920804</v>
      </c>
      <c r="T60" s="39">
        <f t="shared" si="15"/>
        <v>-7338.9342369591968</v>
      </c>
      <c r="U60" s="39">
        <f t="shared" si="15"/>
        <v>-2127.089067826365</v>
      </c>
      <c r="V60" s="39">
        <f t="shared" si="15"/>
        <v>-574.79265187359601</v>
      </c>
      <c r="W60" s="39">
        <f t="shared" si="15"/>
        <v>1108.2023598791739</v>
      </c>
      <c r="X60" s="39">
        <f t="shared" si="15"/>
        <v>3058.1688477814505</v>
      </c>
      <c r="Y60" s="39">
        <f t="shared" si="15"/>
        <v>-1887.6065630713456</v>
      </c>
      <c r="Z60" s="39">
        <f t="shared" si="15"/>
        <v>1287.0571531193716</v>
      </c>
      <c r="AA60" s="39">
        <f t="shared" si="15"/>
        <v>2971.3161781488816</v>
      </c>
    </row>
    <row r="62" spans="2:27" ht="17.25" x14ac:dyDescent="0.3">
      <c r="B62" s="1" t="s">
        <v>203</v>
      </c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</row>
    <row r="63" spans="2:27" x14ac:dyDescent="0.25">
      <c r="B63" s="37" t="s">
        <v>204</v>
      </c>
      <c r="C63" s="37" t="s">
        <v>205</v>
      </c>
      <c r="D63" s="39">
        <f>IF(Supuestos!$C$10=0,D29,IF(D$4&lt;=Supuestos!$C$10,0,INDEX($D$29:$AA$29,1,D$4-Supuestos!$C$10)))</f>
        <v>0</v>
      </c>
      <c r="E63" s="39">
        <f>IF(Supuestos!$C$10=0,E29,IF(E$4&lt;=Supuestos!$C$10,0,INDEX($D$29:$AA$29,1,E$4-Supuestos!$C$10)))</f>
        <v>6540</v>
      </c>
      <c r="F63" s="39">
        <f>IF(Supuestos!$C$10=0,F29,IF(F$4&lt;=Supuestos!$C$10,0,INDEX($D$29:$AA$29,1,F$4-Supuestos!$C$10)))</f>
        <v>10758</v>
      </c>
      <c r="G63" s="39">
        <f>IF(Supuestos!$C$10=0,G29,IF(G$4&lt;=Supuestos!$C$10,0,INDEX($D$29:$AA$29,1,G$4-Supuestos!$C$10)))</f>
        <v>13050</v>
      </c>
      <c r="H63" s="39">
        <f>IF(Supuestos!$C$10=0,H29,IF(H$4&lt;=Supuestos!$C$10,0,INDEX($D$29:$AA$29,1,H$4-Supuestos!$C$10)))</f>
        <v>12080</v>
      </c>
      <c r="I63" s="39">
        <f>IF(Supuestos!$C$10=0,I29,IF(I$4&lt;=Supuestos!$C$10,0,INDEX($D$29:$AA$29,1,I$4-Supuestos!$C$10)))</f>
        <v>11912</v>
      </c>
      <c r="J63" s="39">
        <f>IF(Supuestos!$C$10=0,J29,IF(J$4&lt;=Supuestos!$C$10,0,INDEX($D$29:$AA$29,1,J$4-Supuestos!$C$10)))</f>
        <v>16612</v>
      </c>
      <c r="K63" s="39">
        <f>IF(Supuestos!$C$10=0,K29,IF(K$4&lt;=Supuestos!$C$10,0,INDEX($D$29:$AA$29,1,K$4-Supuestos!$C$10)))</f>
        <v>17582</v>
      </c>
      <c r="L63" s="39">
        <f>IF(Supuestos!$C$10=0,L29,IF(L$4&lt;=Supuestos!$C$10,0,INDEX($D$29:$AA$29,1,L$4-Supuestos!$C$10)))</f>
        <v>18580</v>
      </c>
      <c r="M63" s="39">
        <f>IF(Supuestos!$C$10=0,M29,IF(M$4&lt;=Supuestos!$C$10,0,INDEX($D$29:$AA$29,1,M$4-Supuestos!$C$10)))</f>
        <v>20112</v>
      </c>
      <c r="N63" s="39">
        <f>IF(Supuestos!$C$10=0,N29,IF(N$4&lt;=Supuestos!$C$10,0,INDEX($D$29:$AA$29,1,N$4-Supuestos!$C$10)))</f>
        <v>15934</v>
      </c>
      <c r="O63" s="39">
        <f>IF(Supuestos!$C$10=0,O29,IF(O$4&lt;=Supuestos!$C$10,0,INDEX($D$29:$AA$29,1,O$4-Supuestos!$C$10)))</f>
        <v>18216</v>
      </c>
      <c r="P63" s="39">
        <f>IF(Supuestos!$C$10=0,P29,IF(P$4&lt;=Supuestos!$C$10,0,INDEX($D$29:$AA$29,1,P$4-Supuestos!$C$10)))</f>
        <v>20494</v>
      </c>
      <c r="Q63" s="39">
        <f>IF(Supuestos!$C$10=0,Q29,IF(Q$4&lt;=Supuestos!$C$10,0,INDEX($D$29:$AA$29,1,Q$4-Supuestos!$C$10)))</f>
        <v>22613.200000000001</v>
      </c>
      <c r="R63" s="39">
        <f>IF(Supuestos!$C$10=0,R29,IF(R$4&lt;=Supuestos!$C$10,0,INDEX($D$29:$AA$29,1,R$4-Supuestos!$C$10)))</f>
        <v>23773.020000000004</v>
      </c>
      <c r="S63" s="39">
        <f>IF(Supuestos!$C$10=0,S29,IF(S$4&lt;=Supuestos!$C$10,0,INDEX($D$29:$AA$29,1,S$4-Supuestos!$C$10)))</f>
        <v>26098.260000000002</v>
      </c>
      <c r="T63" s="39">
        <f>IF(Supuestos!$C$10=0,T29,IF(T$4&lt;=Supuestos!$C$10,0,INDEX($D$29:$AA$29,1,T$4-Supuestos!$C$10)))</f>
        <v>24443.040000000001</v>
      </c>
      <c r="U63" s="39">
        <f>IF(Supuestos!$C$10=0,U29,IF(U$4&lt;=Supuestos!$C$10,0,INDEX($D$29:$AA$29,1,U$4-Supuestos!$C$10)))</f>
        <v>24186</v>
      </c>
      <c r="V63" s="39">
        <f>IF(Supuestos!$C$10=0,V29,IF(V$4&lt;=Supuestos!$C$10,0,INDEX($D$29:$AA$29,1,V$4-Supuestos!$C$10)))</f>
        <v>32220.120000000003</v>
      </c>
      <c r="W63" s="39">
        <f>IF(Supuestos!$C$10=0,W29,IF(W$4&lt;=Supuestos!$C$10,0,INDEX($D$29:$AA$29,1,W$4-Supuestos!$C$10)))</f>
        <v>34780.620000000003</v>
      </c>
      <c r="X63" s="39">
        <f>IF(Supuestos!$C$10=0,X29,IF(X$4&lt;=Supuestos!$C$10,0,INDEX($D$29:$AA$29,1,X$4-Supuestos!$C$10)))</f>
        <v>37885.800000000003</v>
      </c>
      <c r="Y63" s="39">
        <f>IF(Supuestos!$C$10=0,Y29,IF(Y$4&lt;=Supuestos!$C$10,0,INDEX($D$29:$AA$29,1,Y$4-Supuestos!$C$10)))</f>
        <v>41844.480000000003</v>
      </c>
      <c r="Z63" s="39">
        <f>IF(Supuestos!$C$10=0,Z29,IF(Z$4&lt;=Supuestos!$C$10,0,INDEX($D$29:$AA$29,1,Z$4-Supuestos!$C$10)))</f>
        <v>32842.620000000003</v>
      </c>
      <c r="AA63" s="39">
        <f>IF(Supuestos!$C$10=0,AA29,IF(AA$4&lt;=Supuestos!$C$10,0,INDEX($D$29:$AA$29,1,AA$4-Supuestos!$C$10)))</f>
        <v>38025.300000000003</v>
      </c>
    </row>
    <row r="64" spans="2:27" x14ac:dyDescent="0.25">
      <c r="B64" s="37" t="s">
        <v>204</v>
      </c>
      <c r="C64" s="37" t="s">
        <v>206</v>
      </c>
      <c r="D64" s="39">
        <f>IF(Supuestos!$C$11=0,D30,IF(D$4&lt;=Supuestos!$C$11,0,INDEX($D$30:$AA$30,1,D$4-Supuestos!$C$11)))</f>
        <v>0</v>
      </c>
      <c r="E64" s="39">
        <f>IF(Supuestos!$C$11=0,E30,IF(E$4&lt;=Supuestos!$C$11,0,INDEX($D$30:$AA$30,1,E$4-Supuestos!$C$11)))</f>
        <v>1756.8</v>
      </c>
      <c r="F64" s="39">
        <f>IF(Supuestos!$C$11=0,F30,IF(F$4&lt;=Supuestos!$C$11,0,INDEX($D$30:$AA$30,1,F$4-Supuestos!$C$11)))</f>
        <v>3918</v>
      </c>
      <c r="G64" s="39">
        <f>IF(Supuestos!$C$11=0,G30,IF(G$4&lt;=Supuestos!$C$11,0,INDEX($D$30:$AA$30,1,G$4-Supuestos!$C$11)))</f>
        <v>4547.3999999999996</v>
      </c>
      <c r="H64" s="39">
        <f>IF(Supuestos!$C$11=0,H30,IF(H$4&lt;=Supuestos!$C$11,0,INDEX($D$30:$AA$30,1,H$4-Supuestos!$C$11)))</f>
        <v>4172.6000000000004</v>
      </c>
      <c r="I64" s="39">
        <f>IF(Supuestos!$C$11=0,I30,IF(I$4&lt;=Supuestos!$C$11,0,INDEX($D$30:$AA$30,1,I$4-Supuestos!$C$11)))</f>
        <v>4080.2000000000003</v>
      </c>
      <c r="J64" s="39">
        <f>IF(Supuestos!$C$11=0,J30,IF(J$4&lt;=Supuestos!$C$11,0,INDEX($D$30:$AA$30,1,J$4-Supuestos!$C$11)))</f>
        <v>5587.6</v>
      </c>
      <c r="K64" s="39">
        <f>IF(Supuestos!$C$11=0,K30,IF(K$4&lt;=Supuestos!$C$11,0,INDEX($D$30:$AA$30,1,K$4-Supuestos!$C$11)))</f>
        <v>5962.4000000000005</v>
      </c>
      <c r="L64" s="39">
        <f>IF(Supuestos!$C$11=0,L30,IF(L$4&lt;=Supuestos!$C$11,0,INDEX($D$30:$AA$30,1,L$4-Supuestos!$C$11)))</f>
        <v>6352.6</v>
      </c>
      <c r="M64" s="39">
        <f>IF(Supuestos!$C$11=0,M30,IF(M$4&lt;=Supuestos!$C$11,0,INDEX($D$30:$AA$30,1,M$4-Supuestos!$C$11)))</f>
        <v>6879</v>
      </c>
      <c r="N64" s="39">
        <f>IF(Supuestos!$C$11=0,N30,IF(N$4&lt;=Supuestos!$C$11,0,INDEX($D$30:$AA$30,1,N$4-Supuestos!$C$11)))</f>
        <v>5500</v>
      </c>
      <c r="O64" s="39">
        <f>IF(Supuestos!$C$11=0,O30,IF(O$4&lt;=Supuestos!$C$11,0,INDEX($D$30:$AA$30,1,O$4-Supuestos!$C$11)))</f>
        <v>6152.4</v>
      </c>
      <c r="P64" s="39">
        <f>IF(Supuestos!$C$11=0,P30,IF(P$4&lt;=Supuestos!$C$11,0,INDEX($D$30:$AA$30,1,P$4-Supuestos!$C$11)))</f>
        <v>6930.4000000000005</v>
      </c>
      <c r="Q64" s="39">
        <f>IF(Supuestos!$C$11=0,Q30,IF(Q$4&lt;=Supuestos!$C$11,0,INDEX($D$30:$AA$30,1,Q$4-Supuestos!$C$11)))</f>
        <v>7675.7440000000006</v>
      </c>
      <c r="R64" s="39">
        <f>IF(Supuestos!$C$11=0,R30,IF(R$4&lt;=Supuestos!$C$11,0,INDEX($D$30:$AA$30,1,R$4-Supuestos!$C$11)))</f>
        <v>8150.1840000000011</v>
      </c>
      <c r="S64" s="39">
        <f>IF(Supuestos!$C$11=0,S30,IF(S$4&lt;=Supuestos!$C$11,0,INDEX($D$30:$AA$30,1,S$4-Supuestos!$C$11)))</f>
        <v>8925.7440000000006</v>
      </c>
      <c r="T64" s="39">
        <f>IF(Supuestos!$C$11=0,T30,IF(T$4&lt;=Supuestos!$C$11,0,INDEX($D$30:$AA$30,1,T$4-Supuestos!$C$11)))</f>
        <v>8339.4840000000004</v>
      </c>
      <c r="U64" s="39">
        <f>IF(Supuestos!$C$11=0,U30,IF(U$4&lt;=Supuestos!$C$11,0,INDEX($D$30:$AA$30,1,U$4-Supuestos!$C$11)))</f>
        <v>8198.112000000001</v>
      </c>
      <c r="V64" s="39">
        <f>IF(Supuestos!$C$11=0,V30,IF(V$4&lt;=Supuestos!$C$11,0,INDEX($D$30:$AA$30,1,V$4-Supuestos!$C$11)))</f>
        <v>10861.932000000003</v>
      </c>
      <c r="W64" s="39">
        <f>IF(Supuestos!$C$11=0,W30,IF(W$4&lt;=Supuestos!$C$11,0,INDEX($D$30:$AA$30,1,W$4-Supuestos!$C$11)))</f>
        <v>11779.824000000001</v>
      </c>
      <c r="X64" s="39">
        <f>IF(Supuestos!$C$11=0,X30,IF(X$4&lt;=Supuestos!$C$11,0,INDEX($D$30:$AA$30,1,X$4-Supuestos!$C$11)))</f>
        <v>12836.640000000001</v>
      </c>
      <c r="Y64" s="39">
        <f>IF(Supuestos!$C$11=0,Y30,IF(Y$4&lt;=Supuestos!$C$11,0,INDEX($D$30:$AA$30,1,Y$4-Supuestos!$C$11)))</f>
        <v>14199.420000000002</v>
      </c>
      <c r="Z64" s="39">
        <f>IF(Supuestos!$C$11=0,Z30,IF(Z$4&lt;=Supuestos!$C$11,0,INDEX($D$30:$AA$30,1,Z$4-Supuestos!$C$11)))</f>
        <v>11166.804000000002</v>
      </c>
      <c r="AA64" s="39">
        <f>IF(Supuestos!$C$11=0,AA30,IF(AA$4&lt;=Supuestos!$C$11,0,INDEX($D$30:$AA$30,1,AA$4-Supuestos!$C$11)))</f>
        <v>12749.904</v>
      </c>
    </row>
    <row r="65" spans="2:27" x14ac:dyDescent="0.25">
      <c r="B65" s="37" t="s">
        <v>204</v>
      </c>
      <c r="C65" s="37" t="s">
        <v>207</v>
      </c>
      <c r="D65" s="39">
        <f t="shared" ref="D65:AA65" si="16">D41</f>
        <v>9039</v>
      </c>
      <c r="E65" s="39">
        <f t="shared" si="16"/>
        <v>9039</v>
      </c>
      <c r="F65" s="39">
        <f t="shared" si="16"/>
        <v>9039</v>
      </c>
      <c r="G65" s="39">
        <f t="shared" si="16"/>
        <v>11135</v>
      </c>
      <c r="H65" s="39">
        <f t="shared" si="16"/>
        <v>11135</v>
      </c>
      <c r="I65" s="39">
        <f t="shared" si="16"/>
        <v>15196</v>
      </c>
      <c r="J65" s="39">
        <f t="shared" si="16"/>
        <v>17554</v>
      </c>
      <c r="K65" s="39">
        <f t="shared" si="16"/>
        <v>17554</v>
      </c>
      <c r="L65" s="39">
        <f t="shared" si="16"/>
        <v>17554</v>
      </c>
      <c r="M65" s="39">
        <f t="shared" si="16"/>
        <v>17554</v>
      </c>
      <c r="N65" s="39">
        <f t="shared" si="16"/>
        <v>17554</v>
      </c>
      <c r="O65" s="39">
        <f t="shared" si="16"/>
        <v>17554</v>
      </c>
      <c r="P65" s="39">
        <f t="shared" si="16"/>
        <v>17915.559999999998</v>
      </c>
      <c r="Q65" s="39">
        <f t="shared" si="16"/>
        <v>17915.559999999998</v>
      </c>
      <c r="R65" s="39">
        <f t="shared" si="16"/>
        <v>17915.559999999998</v>
      </c>
      <c r="S65" s="39">
        <f t="shared" si="16"/>
        <v>17999.400000000001</v>
      </c>
      <c r="T65" s="39">
        <f t="shared" si="16"/>
        <v>17999.400000000001</v>
      </c>
      <c r="U65" s="39">
        <f t="shared" si="16"/>
        <v>18161.84</v>
      </c>
      <c r="V65" s="39">
        <f t="shared" si="16"/>
        <v>18256.16</v>
      </c>
      <c r="W65" s="39">
        <f t="shared" si="16"/>
        <v>18256.16</v>
      </c>
      <c r="X65" s="39">
        <f t="shared" si="16"/>
        <v>18256.16</v>
      </c>
      <c r="Y65" s="39">
        <f t="shared" si="16"/>
        <v>18256.16</v>
      </c>
      <c r="Z65" s="39">
        <f t="shared" si="16"/>
        <v>18256.16</v>
      </c>
      <c r="AA65" s="39">
        <f t="shared" si="16"/>
        <v>18256.16</v>
      </c>
    </row>
    <row r="66" spans="2:27" x14ac:dyDescent="0.25">
      <c r="B66" s="37" t="s">
        <v>204</v>
      </c>
      <c r="C66" s="37" t="s">
        <v>208</v>
      </c>
      <c r="D66" s="39">
        <f t="shared" ref="D66:AA66" si="17">D51</f>
        <v>4300</v>
      </c>
      <c r="E66" s="39">
        <f t="shared" si="17"/>
        <v>4300</v>
      </c>
      <c r="F66" s="39">
        <f t="shared" si="17"/>
        <v>4300</v>
      </c>
      <c r="G66" s="39">
        <f t="shared" si="17"/>
        <v>4300</v>
      </c>
      <c r="H66" s="39">
        <f t="shared" si="17"/>
        <v>4300</v>
      </c>
      <c r="I66" s="39">
        <f t="shared" si="17"/>
        <v>4300</v>
      </c>
      <c r="J66" s="39">
        <f t="shared" si="17"/>
        <v>4300</v>
      </c>
      <c r="K66" s="39">
        <f t="shared" si="17"/>
        <v>4300</v>
      </c>
      <c r="L66" s="39">
        <f t="shared" si="17"/>
        <v>4300</v>
      </c>
      <c r="M66" s="39">
        <f t="shared" si="17"/>
        <v>4300</v>
      </c>
      <c r="N66" s="39">
        <f t="shared" si="17"/>
        <v>4300</v>
      </c>
      <c r="O66" s="39">
        <f t="shared" si="17"/>
        <v>4300</v>
      </c>
      <c r="P66" s="39">
        <f t="shared" si="17"/>
        <v>4447</v>
      </c>
      <c r="Q66" s="39">
        <f t="shared" si="17"/>
        <v>4447</v>
      </c>
      <c r="R66" s="39">
        <f t="shared" si="17"/>
        <v>4447</v>
      </c>
      <c r="S66" s="39">
        <f t="shared" si="17"/>
        <v>4447</v>
      </c>
      <c r="T66" s="39">
        <f t="shared" si="17"/>
        <v>4447</v>
      </c>
      <c r="U66" s="39">
        <f t="shared" si="17"/>
        <v>4447</v>
      </c>
      <c r="V66" s="39">
        <f t="shared" si="17"/>
        <v>4447</v>
      </c>
      <c r="W66" s="39">
        <f t="shared" si="17"/>
        <v>4447</v>
      </c>
      <c r="X66" s="39">
        <f t="shared" si="17"/>
        <v>4447</v>
      </c>
      <c r="Y66" s="39">
        <f t="shared" si="17"/>
        <v>4447</v>
      </c>
      <c r="Z66" s="39">
        <f t="shared" si="17"/>
        <v>4447</v>
      </c>
      <c r="AA66" s="39">
        <f t="shared" si="17"/>
        <v>4447</v>
      </c>
    </row>
    <row r="67" spans="2:27" x14ac:dyDescent="0.25">
      <c r="B67" s="37" t="s">
        <v>204</v>
      </c>
      <c r="C67" s="37" t="s">
        <v>161</v>
      </c>
      <c r="D67" s="39">
        <f>IF(D$4=Supuestos!$C54,Supuestos!$D54,0)+IF(D$4=Supuestos!$C55,Supuestos!$D55,0)+IF(D$4=Supuestos!$C56,Supuestos!$D56,0)</f>
        <v>22000</v>
      </c>
      <c r="E67" s="39">
        <f>IF(E$4=Supuestos!$C54,Supuestos!$D54,0)+IF(E$4=Supuestos!$C55,Supuestos!$D55,0)+IF(E$4=Supuestos!$C56,Supuestos!$D56,0)</f>
        <v>6500</v>
      </c>
      <c r="F67" s="39">
        <f>IF(F$4=Supuestos!$C54,Supuestos!$D54,0)+IF(F$4=Supuestos!$C55,Supuestos!$D55,0)+IF(F$4=Supuestos!$C56,Supuestos!$D56,0)</f>
        <v>0</v>
      </c>
      <c r="G67" s="39">
        <f>IF(G$4=Supuestos!$C54,Supuestos!$D54,0)+IF(G$4=Supuestos!$C55,Supuestos!$D55,0)+IF(G$4=Supuestos!$C56,Supuestos!$D56,0)</f>
        <v>0</v>
      </c>
      <c r="H67" s="39">
        <f>IF(H$4=Supuestos!$C54,Supuestos!$D54,0)+IF(H$4=Supuestos!$C55,Supuestos!$D55,0)+IF(H$4=Supuestos!$C56,Supuestos!$D56,0)</f>
        <v>0</v>
      </c>
      <c r="I67" s="39">
        <f>IF(I$4=Supuestos!$C54,Supuestos!$D54,0)+IF(I$4=Supuestos!$C55,Supuestos!$D55,0)+IF(I$4=Supuestos!$C56,Supuestos!$D56,0)</f>
        <v>0</v>
      </c>
      <c r="J67" s="39">
        <f>IF(J$4=Supuestos!$C54,Supuestos!$D54,0)+IF(J$4=Supuestos!$C55,Supuestos!$D55,0)+IF(J$4=Supuestos!$C56,Supuestos!$D56,0)</f>
        <v>0</v>
      </c>
      <c r="K67" s="39">
        <f>IF(K$4=Supuestos!$C54,Supuestos!$D54,0)+IF(K$4=Supuestos!$C55,Supuestos!$D55,0)+IF(K$4=Supuestos!$C56,Supuestos!$D56,0)</f>
        <v>0</v>
      </c>
      <c r="L67" s="39">
        <f>IF(L$4=Supuestos!$C54,Supuestos!$D54,0)+IF(L$4=Supuestos!$C55,Supuestos!$D55,0)+IF(L$4=Supuestos!$C56,Supuestos!$D56,0)</f>
        <v>0</v>
      </c>
      <c r="M67" s="39">
        <f>IF(M$4=Supuestos!$C54,Supuestos!$D54,0)+IF(M$4=Supuestos!$C55,Supuestos!$D55,0)+IF(M$4=Supuestos!$C56,Supuestos!$D56,0)</f>
        <v>0</v>
      </c>
      <c r="N67" s="39">
        <f>IF(N$4=Supuestos!$C54,Supuestos!$D54,0)+IF(N$4=Supuestos!$C55,Supuestos!$D55,0)+IF(N$4=Supuestos!$C56,Supuestos!$D56,0)</f>
        <v>0</v>
      </c>
      <c r="O67" s="39">
        <f>IF(O$4=Supuestos!$C54,Supuestos!$D54,0)+IF(O$4=Supuestos!$C55,Supuestos!$D55,0)+IF(O$4=Supuestos!$C56,Supuestos!$D56,0)</f>
        <v>0</v>
      </c>
      <c r="P67" s="39">
        <f>IF(P$4=Supuestos!$C54,Supuestos!$D54,0)+IF(P$4=Supuestos!$C55,Supuestos!$D55,0)+IF(P$4=Supuestos!$C56,Supuestos!$D56,0)</f>
        <v>0</v>
      </c>
      <c r="Q67" s="39">
        <f>IF(Q$4=Supuestos!$C54,Supuestos!$D54,0)+IF(Q$4=Supuestos!$C55,Supuestos!$D55,0)+IF(Q$4=Supuestos!$C56,Supuestos!$D56,0)</f>
        <v>0</v>
      </c>
      <c r="R67" s="39">
        <f>IF(R$4=Supuestos!$C54,Supuestos!$D54,0)+IF(R$4=Supuestos!$C55,Supuestos!$D55,0)+IF(R$4=Supuestos!$C56,Supuestos!$D56,0)</f>
        <v>0</v>
      </c>
      <c r="S67" s="39">
        <f>IF(S$4=Supuestos!$C54,Supuestos!$D54,0)+IF(S$4=Supuestos!$C55,Supuestos!$D55,0)+IF(S$4=Supuestos!$C56,Supuestos!$D56,0)</f>
        <v>0</v>
      </c>
      <c r="T67" s="39">
        <f>IF(T$4=Supuestos!$C54,Supuestos!$D54,0)+IF(T$4=Supuestos!$C55,Supuestos!$D55,0)+IF(T$4=Supuestos!$C56,Supuestos!$D56,0)</f>
        <v>0</v>
      </c>
      <c r="U67" s="39">
        <f>IF(U$4=Supuestos!$C54,Supuestos!$D54,0)+IF(U$4=Supuestos!$C55,Supuestos!$D55,0)+IF(U$4=Supuestos!$C56,Supuestos!$D56,0)</f>
        <v>0</v>
      </c>
      <c r="V67" s="39">
        <f>IF(V$4=Supuestos!$C54,Supuestos!$D54,0)+IF(V$4=Supuestos!$C55,Supuestos!$D55,0)+IF(V$4=Supuestos!$C56,Supuestos!$D56,0)</f>
        <v>0</v>
      </c>
      <c r="W67" s="39">
        <f>IF(W$4=Supuestos!$C54,Supuestos!$D54,0)+IF(W$4=Supuestos!$C55,Supuestos!$D55,0)+IF(W$4=Supuestos!$C56,Supuestos!$D56,0)</f>
        <v>0</v>
      </c>
      <c r="X67" s="39">
        <f>IF(X$4=Supuestos!$C54,Supuestos!$D54,0)+IF(X$4=Supuestos!$C55,Supuestos!$D55,0)+IF(X$4=Supuestos!$C56,Supuestos!$D56,0)</f>
        <v>0</v>
      </c>
      <c r="Y67" s="39">
        <f>IF(Y$4=Supuestos!$C54,Supuestos!$D54,0)+IF(Y$4=Supuestos!$C55,Supuestos!$D55,0)+IF(Y$4=Supuestos!$C56,Supuestos!$D56,0)</f>
        <v>0</v>
      </c>
      <c r="Z67" s="39">
        <f>IF(Z$4=Supuestos!$C54,Supuestos!$D54,0)+IF(Z$4=Supuestos!$C55,Supuestos!$D55,0)+IF(Z$4=Supuestos!$C56,Supuestos!$D56,0)</f>
        <v>0</v>
      </c>
      <c r="AA67" s="39">
        <f>IF(AA$4=Supuestos!$C54,Supuestos!$D54,0)+IF(AA$4=Supuestos!$C55,Supuestos!$D55,0)+IF(AA$4=Supuestos!$C56,Supuestos!$D56,0)</f>
        <v>0</v>
      </c>
    </row>
    <row r="68" spans="2:27" x14ac:dyDescent="0.25">
      <c r="B68" s="37" t="s">
        <v>204</v>
      </c>
      <c r="C68" s="37" t="s">
        <v>169</v>
      </c>
      <c r="D68" s="39">
        <f>IF(D$4=Supuestos!$H54,Supuestos!$I54,0)</f>
        <v>20000</v>
      </c>
      <c r="E68" s="39">
        <f>IF(E$4=Supuestos!$H54,Supuestos!$I54,0)</f>
        <v>0</v>
      </c>
      <c r="F68" s="39">
        <f>IF(F$4=Supuestos!$H54,Supuestos!$I54,0)</f>
        <v>0</v>
      </c>
      <c r="G68" s="39">
        <f>IF(G$4=Supuestos!$H54,Supuestos!$I54,0)</f>
        <v>0</v>
      </c>
      <c r="H68" s="39">
        <f>IF(H$4=Supuestos!$H54,Supuestos!$I54,0)</f>
        <v>0</v>
      </c>
      <c r="I68" s="39">
        <f>IF(I$4=Supuestos!$H54,Supuestos!$I54,0)</f>
        <v>0</v>
      </c>
      <c r="J68" s="39">
        <f>IF(J$4=Supuestos!$H54,Supuestos!$I54,0)</f>
        <v>0</v>
      </c>
      <c r="K68" s="39">
        <f>IF(K$4=Supuestos!$H54,Supuestos!$I54,0)</f>
        <v>0</v>
      </c>
      <c r="L68" s="39">
        <f>IF(L$4=Supuestos!$H54,Supuestos!$I54,0)</f>
        <v>0</v>
      </c>
      <c r="M68" s="39">
        <f>IF(M$4=Supuestos!$H54,Supuestos!$I54,0)</f>
        <v>0</v>
      </c>
      <c r="N68" s="39">
        <f>IF(N$4=Supuestos!$H54,Supuestos!$I54,0)</f>
        <v>0</v>
      </c>
      <c r="O68" s="39">
        <f>IF(O$4=Supuestos!$H54,Supuestos!$I54,0)</f>
        <v>0</v>
      </c>
      <c r="P68" s="39">
        <f>IF(P$4=Supuestos!$H54,Supuestos!$I54,0)</f>
        <v>0</v>
      </c>
      <c r="Q68" s="39">
        <f>IF(Q$4=Supuestos!$H54,Supuestos!$I54,0)</f>
        <v>0</v>
      </c>
      <c r="R68" s="39">
        <f>IF(R$4=Supuestos!$H54,Supuestos!$I54,0)</f>
        <v>0</v>
      </c>
      <c r="S68" s="39">
        <f>IF(S$4=Supuestos!$H54,Supuestos!$I54,0)</f>
        <v>0</v>
      </c>
      <c r="T68" s="39">
        <f>IF(T$4=Supuestos!$H54,Supuestos!$I54,0)</f>
        <v>0</v>
      </c>
      <c r="U68" s="39">
        <f>IF(U$4=Supuestos!$H54,Supuestos!$I54,0)</f>
        <v>0</v>
      </c>
      <c r="V68" s="39">
        <f>IF(V$4=Supuestos!$H54,Supuestos!$I54,0)</f>
        <v>0</v>
      </c>
      <c r="W68" s="39">
        <f>IF(W$4=Supuestos!$H54,Supuestos!$I54,0)</f>
        <v>0</v>
      </c>
      <c r="X68" s="39">
        <f>IF(X$4=Supuestos!$H54,Supuestos!$I54,0)</f>
        <v>0</v>
      </c>
      <c r="Y68" s="39">
        <f>IF(Y$4=Supuestos!$H54,Supuestos!$I54,0)</f>
        <v>0</v>
      </c>
      <c r="Z68" s="39">
        <f>IF(Z$4=Supuestos!$H54,Supuestos!$I54,0)</f>
        <v>0</v>
      </c>
      <c r="AA68" s="39">
        <f>IF(AA$4=Supuestos!$H54,Supuestos!$I54,0)</f>
        <v>0</v>
      </c>
    </row>
    <row r="69" spans="2:27" x14ac:dyDescent="0.25">
      <c r="B69" s="37" t="s">
        <v>204</v>
      </c>
      <c r="C69" s="37" t="s">
        <v>209</v>
      </c>
      <c r="D69" s="39">
        <f>IF(D$4=Supuestos!$H55,Supuestos!$I55,0)</f>
        <v>25000</v>
      </c>
      <c r="E69" s="39">
        <f>IF(E$4=Supuestos!$H55,Supuestos!$I55,0)</f>
        <v>0</v>
      </c>
      <c r="F69" s="39">
        <f>IF(F$4=Supuestos!$H55,Supuestos!$I55,0)</f>
        <v>0</v>
      </c>
      <c r="G69" s="39">
        <f>IF(G$4=Supuestos!$H55,Supuestos!$I55,0)</f>
        <v>0</v>
      </c>
      <c r="H69" s="39">
        <f>IF(H$4=Supuestos!$H55,Supuestos!$I55,0)</f>
        <v>0</v>
      </c>
      <c r="I69" s="39">
        <f>IF(I$4=Supuestos!$H55,Supuestos!$I55,0)</f>
        <v>0</v>
      </c>
      <c r="J69" s="39">
        <f>IF(J$4=Supuestos!$H55,Supuestos!$I55,0)</f>
        <v>0</v>
      </c>
      <c r="K69" s="39">
        <f>IF(K$4=Supuestos!$H55,Supuestos!$I55,0)</f>
        <v>0</v>
      </c>
      <c r="L69" s="39">
        <f>IF(L$4=Supuestos!$H55,Supuestos!$I55,0)</f>
        <v>0</v>
      </c>
      <c r="M69" s="39">
        <f>IF(M$4=Supuestos!$H55,Supuestos!$I55,0)</f>
        <v>0</v>
      </c>
      <c r="N69" s="39">
        <f>IF(N$4=Supuestos!$H55,Supuestos!$I55,0)</f>
        <v>0</v>
      </c>
      <c r="O69" s="39">
        <f>IF(O$4=Supuestos!$H55,Supuestos!$I55,0)</f>
        <v>0</v>
      </c>
      <c r="P69" s="39">
        <f>IF(P$4=Supuestos!$H55,Supuestos!$I55,0)</f>
        <v>0</v>
      </c>
      <c r="Q69" s="39">
        <f>IF(Q$4=Supuestos!$H55,Supuestos!$I55,0)</f>
        <v>0</v>
      </c>
      <c r="R69" s="39">
        <f>IF(R$4=Supuestos!$H55,Supuestos!$I55,0)</f>
        <v>0</v>
      </c>
      <c r="S69" s="39">
        <f>IF(S$4=Supuestos!$H55,Supuestos!$I55,0)</f>
        <v>0</v>
      </c>
      <c r="T69" s="39">
        <f>IF(T$4=Supuestos!$H55,Supuestos!$I55,0)</f>
        <v>0</v>
      </c>
      <c r="U69" s="39">
        <f>IF(U$4=Supuestos!$H55,Supuestos!$I55,0)</f>
        <v>0</v>
      </c>
      <c r="V69" s="39">
        <f>IF(V$4=Supuestos!$H55,Supuestos!$I55,0)</f>
        <v>0</v>
      </c>
      <c r="W69" s="39">
        <f>IF(W$4=Supuestos!$H55,Supuestos!$I55,0)</f>
        <v>0</v>
      </c>
      <c r="X69" s="39">
        <f>IF(X$4=Supuestos!$H55,Supuestos!$I55,0)</f>
        <v>0</v>
      </c>
      <c r="Y69" s="39">
        <f>IF(Y$4=Supuestos!$H55,Supuestos!$I55,0)</f>
        <v>0</v>
      </c>
      <c r="Z69" s="39">
        <f>IF(Z$4=Supuestos!$H55,Supuestos!$I55,0)</f>
        <v>0</v>
      </c>
      <c r="AA69" s="39">
        <f>IF(AA$4=Supuestos!$H55,Supuestos!$I55,0)</f>
        <v>0</v>
      </c>
    </row>
    <row r="70" spans="2:27" x14ac:dyDescent="0.25">
      <c r="B70" s="37" t="s">
        <v>204</v>
      </c>
      <c r="C70" s="37" t="s">
        <v>210</v>
      </c>
      <c r="D70" s="39">
        <f>0</f>
        <v>0</v>
      </c>
      <c r="E70" s="39">
        <f t="shared" ref="E70:AA70" si="18">D74</f>
        <v>25000</v>
      </c>
      <c r="F70" s="39">
        <f t="shared" si="18"/>
        <v>24373.905911699036</v>
      </c>
      <c r="G70" s="39">
        <f t="shared" si="18"/>
        <v>23744.159607882983</v>
      </c>
      <c r="H70" s="39">
        <f t="shared" si="18"/>
        <v>23110.739783961333</v>
      </c>
      <c r="I70" s="39">
        <f t="shared" si="18"/>
        <v>22473.625011066808</v>
      </c>
      <c r="J70" s="39">
        <f t="shared" si="18"/>
        <v>21832.793735330401</v>
      </c>
      <c r="K70" s="39">
        <f t="shared" si="18"/>
        <v>21188.224277152196</v>
      </c>
      <c r="L70" s="39">
        <f t="shared" si="18"/>
        <v>20539.894830467951</v>
      </c>
      <c r="M70" s="39">
        <f t="shared" si="18"/>
        <v>19887.783462011383</v>
      </c>
      <c r="N70" s="39">
        <f t="shared" si="18"/>
        <v>19231.868110572152</v>
      </c>
      <c r="O70" s="39">
        <f t="shared" si="18"/>
        <v>18572.126586249524</v>
      </c>
      <c r="P70" s="39">
        <f t="shared" si="18"/>
        <v>17908.536569701682</v>
      </c>
      <c r="Q70" s="39">
        <f t="shared" si="18"/>
        <v>17241.075611390643</v>
      </c>
      <c r="R70" s="39">
        <f t="shared" si="18"/>
        <v>16569.721130822789</v>
      </c>
      <c r="S70" s="39">
        <f t="shared" si="18"/>
        <v>15894.450415784957</v>
      </c>
      <c r="T70" s="39">
        <f t="shared" si="18"/>
        <v>15215.240621576071</v>
      </c>
      <c r="U70" s="39">
        <f t="shared" si="18"/>
        <v>14532.0687702343</v>
      </c>
      <c r="V70" s="39">
        <f t="shared" si="18"/>
        <v>13844.911749759702</v>
      </c>
      <c r="W70" s="39">
        <f t="shared" si="18"/>
        <v>13153.746313332334</v>
      </c>
      <c r="X70" s="39">
        <f t="shared" si="18"/>
        <v>12458.549078525808</v>
      </c>
      <c r="Y70" s="39">
        <f t="shared" si="18"/>
        <v>11759.296526516244</v>
      </c>
      <c r="Z70" s="39">
        <f t="shared" si="18"/>
        <v>11055.965001286624</v>
      </c>
      <c r="AA70" s="39">
        <f t="shared" si="18"/>
        <v>10348.530708826498</v>
      </c>
    </row>
    <row r="71" spans="2:27" x14ac:dyDescent="0.25">
      <c r="B71" s="37" t="s">
        <v>204</v>
      </c>
      <c r="C71" s="37" t="s">
        <v>211</v>
      </c>
      <c r="D71" s="39">
        <f>(D70+D69)*Supuestos!$J$55/12</f>
        <v>145.83333333333334</v>
      </c>
      <c r="E71" s="39">
        <f>(E70+E69)*Supuestos!$J$55/12</f>
        <v>145.83333333333334</v>
      </c>
      <c r="F71" s="39">
        <f>(F70+F69)*Supuestos!$J$55/12</f>
        <v>142.18111781824439</v>
      </c>
      <c r="G71" s="39">
        <f>(G70+G69)*Supuestos!$J$55/12</f>
        <v>138.50759771265075</v>
      </c>
      <c r="H71" s="39">
        <f>(H70+H69)*Supuestos!$J$55/12</f>
        <v>134.81264873977446</v>
      </c>
      <c r="I71" s="39">
        <f>(I70+I69)*Supuestos!$J$55/12</f>
        <v>131.09614589788973</v>
      </c>
      <c r="J71" s="39">
        <f>(J70+J69)*Supuestos!$J$55/12</f>
        <v>127.35796345609401</v>
      </c>
      <c r="K71" s="39">
        <f>(K70+K69)*Supuestos!$J$55/12</f>
        <v>123.59797495005449</v>
      </c>
      <c r="L71" s="39">
        <f>(L70+L69)*Supuestos!$J$55/12</f>
        <v>119.81605317772973</v>
      </c>
      <c r="M71" s="39">
        <f>(M70+M69)*Supuestos!$J$55/12</f>
        <v>116.01207019506641</v>
      </c>
      <c r="N71" s="39">
        <f>(N70+N69)*Supuestos!$J$55/12</f>
        <v>112.1858973116709</v>
      </c>
      <c r="O71" s="39">
        <f>(O70+O69)*Supuestos!$J$55/12</f>
        <v>108.33740508645558</v>
      </c>
      <c r="P71" s="39">
        <f>(P70+P69)*Supuestos!$J$55/12</f>
        <v>104.46646332325982</v>
      </c>
      <c r="Q71" s="39">
        <f>(Q70+Q69)*Supuestos!$J$55/12</f>
        <v>100.57294106644542</v>
      </c>
      <c r="R71" s="39">
        <f>(R70+R69)*Supuestos!$J$55/12</f>
        <v>96.656706596466279</v>
      </c>
      <c r="S71" s="39">
        <f>(S70+S69)*Supuestos!$J$55/12</f>
        <v>92.71762742541226</v>
      </c>
      <c r="T71" s="39">
        <f>(T70+T69)*Supuestos!$J$55/12</f>
        <v>88.755570292527082</v>
      </c>
      <c r="U71" s="39">
        <f>(U70+U69)*Supuestos!$J$55/12</f>
        <v>84.770401159700086</v>
      </c>
      <c r="V71" s="39">
        <f>(V70+V69)*Supuestos!$J$55/12</f>
        <v>80.761985206931598</v>
      </c>
      <c r="W71" s="39">
        <f>(W70+W69)*Supuestos!$J$55/12</f>
        <v>76.730186827771959</v>
      </c>
      <c r="X71" s="39">
        <f>(X70+X69)*Supuestos!$J$55/12</f>
        <v>72.674869624733887</v>
      </c>
      <c r="Y71" s="39">
        <f>(Y70+Y69)*Supuestos!$J$55/12</f>
        <v>68.595896404678101</v>
      </c>
      <c r="Z71" s="39">
        <f>(Z70+Z69)*Supuestos!$J$55/12</f>
        <v>64.493129174171983</v>
      </c>
      <c r="AA71" s="39">
        <f>(AA70+AA69)*Supuestos!$J$55/12</f>
        <v>60.366429134821239</v>
      </c>
    </row>
    <row r="72" spans="2:27" x14ac:dyDescent="0.25">
      <c r="B72" s="37" t="s">
        <v>204</v>
      </c>
      <c r="C72" s="37" t="s">
        <v>212</v>
      </c>
      <c r="D72" s="39">
        <f>IF(AND(D$4&gt;Supuestos!$H$55,D$4&lt;=Supuestos!$H$55+Supuestos!$K$55),PMT(Supuestos!$J$55/12,Supuestos!$K$55,-Supuestos!$I$55),0)</f>
        <v>0</v>
      </c>
      <c r="E72" s="39">
        <f>IF(AND(E$4&gt;Supuestos!$H$55,E$4&lt;=Supuestos!$H$55+Supuestos!$K$55),PMT(Supuestos!$J$55/12,Supuestos!$K$55,-Supuestos!$I$55),0)</f>
        <v>771.92742163429841</v>
      </c>
      <c r="F72" s="39">
        <f>IF(AND(F$4&gt;Supuestos!$H$55,F$4&lt;=Supuestos!$H$55+Supuestos!$K$55),PMT(Supuestos!$J$55/12,Supuestos!$K$55,-Supuestos!$I$55),0)</f>
        <v>771.92742163429841</v>
      </c>
      <c r="G72" s="39">
        <f>IF(AND(G$4&gt;Supuestos!$H$55,G$4&lt;=Supuestos!$H$55+Supuestos!$K$55),PMT(Supuestos!$J$55/12,Supuestos!$K$55,-Supuestos!$I$55),0)</f>
        <v>771.92742163429841</v>
      </c>
      <c r="H72" s="39">
        <f>IF(AND(H$4&gt;Supuestos!$H$55,H$4&lt;=Supuestos!$H$55+Supuestos!$K$55),PMT(Supuestos!$J$55/12,Supuestos!$K$55,-Supuestos!$I$55),0)</f>
        <v>771.92742163429841</v>
      </c>
      <c r="I72" s="39">
        <f>IF(AND(I$4&gt;Supuestos!$H$55,I$4&lt;=Supuestos!$H$55+Supuestos!$K$55),PMT(Supuestos!$J$55/12,Supuestos!$K$55,-Supuestos!$I$55),0)</f>
        <v>771.92742163429841</v>
      </c>
      <c r="J72" s="39">
        <f>IF(AND(J$4&gt;Supuestos!$H$55,J$4&lt;=Supuestos!$H$55+Supuestos!$K$55),PMT(Supuestos!$J$55/12,Supuestos!$K$55,-Supuestos!$I$55),0)</f>
        <v>771.92742163429841</v>
      </c>
      <c r="K72" s="39">
        <f>IF(AND(K$4&gt;Supuestos!$H$55,K$4&lt;=Supuestos!$H$55+Supuestos!$K$55),PMT(Supuestos!$J$55/12,Supuestos!$K$55,-Supuestos!$I$55),0)</f>
        <v>771.92742163429841</v>
      </c>
      <c r="L72" s="39">
        <f>IF(AND(L$4&gt;Supuestos!$H$55,L$4&lt;=Supuestos!$H$55+Supuestos!$K$55),PMT(Supuestos!$J$55/12,Supuestos!$K$55,-Supuestos!$I$55),0)</f>
        <v>771.92742163429841</v>
      </c>
      <c r="M72" s="39">
        <f>IF(AND(M$4&gt;Supuestos!$H$55,M$4&lt;=Supuestos!$H$55+Supuestos!$K$55),PMT(Supuestos!$J$55/12,Supuestos!$K$55,-Supuestos!$I$55),0)</f>
        <v>771.92742163429841</v>
      </c>
      <c r="N72" s="39">
        <f>IF(AND(N$4&gt;Supuestos!$H$55,N$4&lt;=Supuestos!$H$55+Supuestos!$K$55),PMT(Supuestos!$J$55/12,Supuestos!$K$55,-Supuestos!$I$55),0)</f>
        <v>771.92742163429841</v>
      </c>
      <c r="O72" s="39">
        <f>IF(AND(O$4&gt;Supuestos!$H$55,O$4&lt;=Supuestos!$H$55+Supuestos!$K$55),PMT(Supuestos!$J$55/12,Supuestos!$K$55,-Supuestos!$I$55),0)</f>
        <v>771.92742163429841</v>
      </c>
      <c r="P72" s="39">
        <f>IF(AND(P$4&gt;Supuestos!$H$55,P$4&lt;=Supuestos!$H$55+Supuestos!$K$55),PMT(Supuestos!$J$55/12,Supuestos!$K$55,-Supuestos!$I$55),0)</f>
        <v>771.92742163429841</v>
      </c>
      <c r="Q72" s="39">
        <f>IF(AND(Q$4&gt;Supuestos!$H$55,Q$4&lt;=Supuestos!$H$55+Supuestos!$K$55),PMT(Supuestos!$J$55/12,Supuestos!$K$55,-Supuestos!$I$55),0)</f>
        <v>771.92742163429841</v>
      </c>
      <c r="R72" s="39">
        <f>IF(AND(R$4&gt;Supuestos!$H$55,R$4&lt;=Supuestos!$H$55+Supuestos!$K$55),PMT(Supuestos!$J$55/12,Supuestos!$K$55,-Supuestos!$I$55),0)</f>
        <v>771.92742163429841</v>
      </c>
      <c r="S72" s="39">
        <f>IF(AND(S$4&gt;Supuestos!$H$55,S$4&lt;=Supuestos!$H$55+Supuestos!$K$55),PMT(Supuestos!$J$55/12,Supuestos!$K$55,-Supuestos!$I$55),0)</f>
        <v>771.92742163429841</v>
      </c>
      <c r="T72" s="39">
        <f>IF(AND(T$4&gt;Supuestos!$H$55,T$4&lt;=Supuestos!$H$55+Supuestos!$K$55),PMT(Supuestos!$J$55/12,Supuestos!$K$55,-Supuestos!$I$55),0)</f>
        <v>771.92742163429841</v>
      </c>
      <c r="U72" s="39">
        <f>IF(AND(U$4&gt;Supuestos!$H$55,U$4&lt;=Supuestos!$H$55+Supuestos!$K$55),PMT(Supuestos!$J$55/12,Supuestos!$K$55,-Supuestos!$I$55),0)</f>
        <v>771.92742163429841</v>
      </c>
      <c r="V72" s="39">
        <f>IF(AND(V$4&gt;Supuestos!$H$55,V$4&lt;=Supuestos!$H$55+Supuestos!$K$55),PMT(Supuestos!$J$55/12,Supuestos!$K$55,-Supuestos!$I$55),0)</f>
        <v>771.92742163429841</v>
      </c>
      <c r="W72" s="39">
        <f>IF(AND(W$4&gt;Supuestos!$H$55,W$4&lt;=Supuestos!$H$55+Supuestos!$K$55),PMT(Supuestos!$J$55/12,Supuestos!$K$55,-Supuestos!$I$55),0)</f>
        <v>771.92742163429841</v>
      </c>
      <c r="X72" s="39">
        <f>IF(AND(X$4&gt;Supuestos!$H$55,X$4&lt;=Supuestos!$H$55+Supuestos!$K$55),PMT(Supuestos!$J$55/12,Supuestos!$K$55,-Supuestos!$I$55),0)</f>
        <v>771.92742163429841</v>
      </c>
      <c r="Y72" s="39">
        <f>IF(AND(Y$4&gt;Supuestos!$H$55,Y$4&lt;=Supuestos!$H$55+Supuestos!$K$55),PMT(Supuestos!$J$55/12,Supuestos!$K$55,-Supuestos!$I$55),0)</f>
        <v>771.92742163429841</v>
      </c>
      <c r="Z72" s="39">
        <f>IF(AND(Z$4&gt;Supuestos!$H$55,Z$4&lt;=Supuestos!$H$55+Supuestos!$K$55),PMT(Supuestos!$J$55/12,Supuestos!$K$55,-Supuestos!$I$55),0)</f>
        <v>771.92742163429841</v>
      </c>
      <c r="AA72" s="39">
        <f>IF(AND(AA$4&gt;Supuestos!$H$55,AA$4&lt;=Supuestos!$H$55+Supuestos!$K$55),PMT(Supuestos!$J$55/12,Supuestos!$K$55,-Supuestos!$I$55),0)</f>
        <v>771.92742163429841</v>
      </c>
    </row>
    <row r="73" spans="2:27" x14ac:dyDescent="0.25">
      <c r="B73" s="37" t="s">
        <v>204</v>
      </c>
      <c r="C73" s="37" t="s">
        <v>213</v>
      </c>
      <c r="D73" s="39">
        <f t="shared" ref="D73:AA73" si="19">MAX(0,MIN(D70+D69,D72-D71))</f>
        <v>0</v>
      </c>
      <c r="E73" s="39">
        <f t="shared" si="19"/>
        <v>626.09408830096504</v>
      </c>
      <c r="F73" s="39">
        <f t="shared" si="19"/>
        <v>629.74630381605402</v>
      </c>
      <c r="G73" s="39">
        <f t="shared" si="19"/>
        <v>633.41982392164766</v>
      </c>
      <c r="H73" s="39">
        <f t="shared" si="19"/>
        <v>637.11477289452398</v>
      </c>
      <c r="I73" s="39">
        <f t="shared" si="19"/>
        <v>640.83127573640866</v>
      </c>
      <c r="J73" s="39">
        <f t="shared" si="19"/>
        <v>644.5694581782044</v>
      </c>
      <c r="K73" s="39">
        <f t="shared" si="19"/>
        <v>648.32944668424398</v>
      </c>
      <c r="L73" s="39">
        <f t="shared" si="19"/>
        <v>652.1113684565687</v>
      </c>
      <c r="M73" s="39">
        <f t="shared" si="19"/>
        <v>655.91535143923204</v>
      </c>
      <c r="N73" s="39">
        <f t="shared" si="19"/>
        <v>659.74152432262747</v>
      </c>
      <c r="O73" s="39">
        <f t="shared" si="19"/>
        <v>663.59001654784288</v>
      </c>
      <c r="P73" s="39">
        <f t="shared" si="19"/>
        <v>667.46095831103855</v>
      </c>
      <c r="Q73" s="39">
        <f t="shared" si="19"/>
        <v>671.35448056785299</v>
      </c>
      <c r="R73" s="39">
        <f t="shared" si="19"/>
        <v>675.27071503783213</v>
      </c>
      <c r="S73" s="39">
        <f t="shared" si="19"/>
        <v>679.20979420888614</v>
      </c>
      <c r="T73" s="39">
        <f t="shared" si="19"/>
        <v>683.17185134177134</v>
      </c>
      <c r="U73" s="39">
        <f t="shared" si="19"/>
        <v>687.15702047459831</v>
      </c>
      <c r="V73" s="39">
        <f t="shared" si="19"/>
        <v>691.16543642736679</v>
      </c>
      <c r="W73" s="39">
        <f t="shared" si="19"/>
        <v>695.19723480652647</v>
      </c>
      <c r="X73" s="39">
        <f t="shared" si="19"/>
        <v>699.25255200956451</v>
      </c>
      <c r="Y73" s="39">
        <f t="shared" si="19"/>
        <v>703.3315252296203</v>
      </c>
      <c r="Z73" s="39">
        <f t="shared" si="19"/>
        <v>707.43429246012647</v>
      </c>
      <c r="AA73" s="39">
        <f t="shared" si="19"/>
        <v>711.56099249947715</v>
      </c>
    </row>
    <row r="74" spans="2:27" x14ac:dyDescent="0.25">
      <c r="B74" s="37" t="s">
        <v>204</v>
      </c>
      <c r="C74" s="37" t="s">
        <v>214</v>
      </c>
      <c r="D74" s="39">
        <f t="shared" ref="D74:AA74" si="20">D70+D69-D73</f>
        <v>25000</v>
      </c>
      <c r="E74" s="39">
        <f t="shared" si="20"/>
        <v>24373.905911699036</v>
      </c>
      <c r="F74" s="39">
        <f t="shared" si="20"/>
        <v>23744.159607882983</v>
      </c>
      <c r="G74" s="39">
        <f t="shared" si="20"/>
        <v>23110.739783961333</v>
      </c>
      <c r="H74" s="39">
        <f t="shared" si="20"/>
        <v>22473.625011066808</v>
      </c>
      <c r="I74" s="39">
        <f t="shared" si="20"/>
        <v>21832.793735330401</v>
      </c>
      <c r="J74" s="39">
        <f t="shared" si="20"/>
        <v>21188.224277152196</v>
      </c>
      <c r="K74" s="39">
        <f t="shared" si="20"/>
        <v>20539.894830467951</v>
      </c>
      <c r="L74" s="39">
        <f t="shared" si="20"/>
        <v>19887.783462011383</v>
      </c>
      <c r="M74" s="39">
        <f t="shared" si="20"/>
        <v>19231.868110572152</v>
      </c>
      <c r="N74" s="39">
        <f t="shared" si="20"/>
        <v>18572.126586249524</v>
      </c>
      <c r="O74" s="39">
        <f t="shared" si="20"/>
        <v>17908.536569701682</v>
      </c>
      <c r="P74" s="39">
        <f t="shared" si="20"/>
        <v>17241.075611390643</v>
      </c>
      <c r="Q74" s="39">
        <f t="shared" si="20"/>
        <v>16569.721130822789</v>
      </c>
      <c r="R74" s="39">
        <f t="shared" si="20"/>
        <v>15894.450415784957</v>
      </c>
      <c r="S74" s="39">
        <f t="shared" si="20"/>
        <v>15215.240621576071</v>
      </c>
      <c r="T74" s="39">
        <f t="shared" si="20"/>
        <v>14532.0687702343</v>
      </c>
      <c r="U74" s="39">
        <f t="shared" si="20"/>
        <v>13844.911749759702</v>
      </c>
      <c r="V74" s="39">
        <f t="shared" si="20"/>
        <v>13153.746313332334</v>
      </c>
      <c r="W74" s="39">
        <f t="shared" si="20"/>
        <v>12458.549078525808</v>
      </c>
      <c r="X74" s="39">
        <f t="shared" si="20"/>
        <v>11759.296526516244</v>
      </c>
      <c r="Y74" s="39">
        <f t="shared" si="20"/>
        <v>11055.965001286624</v>
      </c>
      <c r="Z74" s="39">
        <f t="shared" si="20"/>
        <v>10348.530708826498</v>
      </c>
      <c r="AA74" s="39">
        <f t="shared" si="20"/>
        <v>9636.9697163270212</v>
      </c>
    </row>
    <row r="75" spans="2:27" x14ac:dyDescent="0.25">
      <c r="B75" s="37" t="s">
        <v>204</v>
      </c>
      <c r="C75" s="37" t="s">
        <v>215</v>
      </c>
      <c r="D75" s="39">
        <f t="shared" ref="D75:AA75" si="21">D59</f>
        <v>0</v>
      </c>
      <c r="E75" s="39">
        <f t="shared" si="21"/>
        <v>0</v>
      </c>
      <c r="F75" s="39">
        <f t="shared" si="21"/>
        <v>0</v>
      </c>
      <c r="G75" s="39">
        <f t="shared" si="21"/>
        <v>0</v>
      </c>
      <c r="H75" s="39">
        <f t="shared" si="21"/>
        <v>0</v>
      </c>
      <c r="I75" s="39">
        <f t="shared" si="21"/>
        <v>0</v>
      </c>
      <c r="J75" s="39">
        <f t="shared" si="21"/>
        <v>0</v>
      </c>
      <c r="K75" s="39">
        <f t="shared" si="21"/>
        <v>0</v>
      </c>
      <c r="L75" s="39">
        <f t="shared" si="21"/>
        <v>0</v>
      </c>
      <c r="M75" s="39">
        <f t="shared" si="21"/>
        <v>0</v>
      </c>
      <c r="N75" s="39">
        <f t="shared" si="21"/>
        <v>0</v>
      </c>
      <c r="O75" s="39">
        <f t="shared" si="21"/>
        <v>0</v>
      </c>
      <c r="P75" s="39">
        <f t="shared" si="21"/>
        <v>0</v>
      </c>
      <c r="Q75" s="39">
        <f t="shared" si="21"/>
        <v>0</v>
      </c>
      <c r="R75" s="39">
        <f t="shared" si="21"/>
        <v>0</v>
      </c>
      <c r="S75" s="39">
        <f t="shared" si="21"/>
        <v>0</v>
      </c>
      <c r="T75" s="39">
        <f t="shared" si="21"/>
        <v>0</v>
      </c>
      <c r="U75" s="39">
        <f t="shared" si="21"/>
        <v>0</v>
      </c>
      <c r="V75" s="39">
        <f t="shared" si="21"/>
        <v>0</v>
      </c>
      <c r="W75" s="39">
        <f t="shared" si="21"/>
        <v>369.40078662639127</v>
      </c>
      <c r="X75" s="39">
        <f t="shared" si="21"/>
        <v>1019.3896159271502</v>
      </c>
      <c r="Y75" s="39">
        <f t="shared" si="21"/>
        <v>0</v>
      </c>
      <c r="Z75" s="39">
        <f t="shared" si="21"/>
        <v>429.01905103979055</v>
      </c>
      <c r="AA75" s="39">
        <f t="shared" si="21"/>
        <v>990.43872604962723</v>
      </c>
    </row>
    <row r="76" spans="2:27" x14ac:dyDescent="0.25">
      <c r="B76" s="37" t="s">
        <v>204</v>
      </c>
      <c r="C76" s="9" t="s">
        <v>216</v>
      </c>
      <c r="D76" s="39">
        <f t="shared" ref="D76:AA76" si="22">D63-D64-D65-D66-D67+D68+D69-D72-D75</f>
        <v>9661</v>
      </c>
      <c r="E76" s="39">
        <f t="shared" si="22"/>
        <v>-15827.727421634298</v>
      </c>
      <c r="F76" s="39">
        <f t="shared" si="22"/>
        <v>-7270.9274216342983</v>
      </c>
      <c r="G76" s="39">
        <f t="shared" si="22"/>
        <v>-7704.3274216342979</v>
      </c>
      <c r="H76" s="39">
        <f t="shared" si="22"/>
        <v>-8299.5274216342987</v>
      </c>
      <c r="I76" s="39">
        <f t="shared" si="22"/>
        <v>-12436.127421634299</v>
      </c>
      <c r="J76" s="39">
        <f t="shared" si="22"/>
        <v>-11601.527421634299</v>
      </c>
      <c r="K76" s="39">
        <f t="shared" si="22"/>
        <v>-11006.3274216343</v>
      </c>
      <c r="L76" s="39">
        <f t="shared" si="22"/>
        <v>-10398.527421634299</v>
      </c>
      <c r="M76" s="39">
        <f t="shared" si="22"/>
        <v>-9392.9274216342983</v>
      </c>
      <c r="N76" s="39">
        <f t="shared" si="22"/>
        <v>-12191.927421634298</v>
      </c>
      <c r="O76" s="39">
        <f t="shared" si="22"/>
        <v>-10562.327421634298</v>
      </c>
      <c r="P76" s="39">
        <f t="shared" si="22"/>
        <v>-9570.8874216342974</v>
      </c>
      <c r="Q76" s="39">
        <f t="shared" si="22"/>
        <v>-8197.0314216342958</v>
      </c>
      <c r="R76" s="39">
        <f t="shared" si="22"/>
        <v>-7511.651421634293</v>
      </c>
      <c r="S76" s="39">
        <f t="shared" si="22"/>
        <v>-6045.8114216342965</v>
      </c>
      <c r="T76" s="39">
        <f t="shared" si="22"/>
        <v>-7114.7714216342993</v>
      </c>
      <c r="U76" s="39">
        <f t="shared" si="22"/>
        <v>-7392.8794216342994</v>
      </c>
      <c r="V76" s="39">
        <f t="shared" si="22"/>
        <v>-2116.8994216342962</v>
      </c>
      <c r="W76" s="39">
        <f t="shared" si="22"/>
        <v>-843.69220826068749</v>
      </c>
      <c r="X76" s="39">
        <f t="shared" si="22"/>
        <v>554.68296243855514</v>
      </c>
      <c r="Y76" s="39">
        <f t="shared" si="22"/>
        <v>4169.9725783657032</v>
      </c>
      <c r="Z76" s="39">
        <f t="shared" si="22"/>
        <v>-2228.2904726740899</v>
      </c>
      <c r="AA76" s="39">
        <f t="shared" si="22"/>
        <v>809.86985231607525</v>
      </c>
    </row>
    <row r="77" spans="2:27" x14ac:dyDescent="0.25">
      <c r="B77" s="37" t="s">
        <v>204</v>
      </c>
      <c r="C77" s="37" t="s">
        <v>217</v>
      </c>
      <c r="D77" s="39">
        <f>Inicio!$C$10</f>
        <v>15000</v>
      </c>
      <c r="E77" s="39">
        <f t="shared" ref="E77:AA77" si="23">D78</f>
        <v>24661</v>
      </c>
      <c r="F77" s="39">
        <f t="shared" si="23"/>
        <v>8833.2725783657024</v>
      </c>
      <c r="G77" s="39">
        <f t="shared" si="23"/>
        <v>1562.3451567314041</v>
      </c>
      <c r="H77" s="39">
        <f t="shared" si="23"/>
        <v>-6141.9822649028938</v>
      </c>
      <c r="I77" s="39">
        <f t="shared" si="23"/>
        <v>-14441.509686537192</v>
      </c>
      <c r="J77" s="39">
        <f t="shared" si="23"/>
        <v>-26877.63710817149</v>
      </c>
      <c r="K77" s="39">
        <f t="shared" si="23"/>
        <v>-38479.164529805785</v>
      </c>
      <c r="L77" s="39">
        <f t="shared" si="23"/>
        <v>-49485.491951440083</v>
      </c>
      <c r="M77" s="39">
        <f t="shared" si="23"/>
        <v>-59884.019373074378</v>
      </c>
      <c r="N77" s="39">
        <f t="shared" si="23"/>
        <v>-69276.946794708681</v>
      </c>
      <c r="O77" s="39">
        <f t="shared" si="23"/>
        <v>-81468.874216342985</v>
      </c>
      <c r="P77" s="39">
        <f t="shared" si="23"/>
        <v>-92031.201637977283</v>
      </c>
      <c r="Q77" s="39">
        <f t="shared" si="23"/>
        <v>-101602.08905961158</v>
      </c>
      <c r="R77" s="39">
        <f t="shared" si="23"/>
        <v>-109799.12048124587</v>
      </c>
      <c r="S77" s="39">
        <f t="shared" si="23"/>
        <v>-117310.77190288017</v>
      </c>
      <c r="T77" s="39">
        <f t="shared" si="23"/>
        <v>-123356.58332451446</v>
      </c>
      <c r="U77" s="39">
        <f t="shared" si="23"/>
        <v>-130471.35474614876</v>
      </c>
      <c r="V77" s="39">
        <f t="shared" si="23"/>
        <v>-137864.23416778306</v>
      </c>
      <c r="W77" s="39">
        <f t="shared" si="23"/>
        <v>-139981.13358941735</v>
      </c>
      <c r="X77" s="39">
        <f t="shared" si="23"/>
        <v>-140824.82579767803</v>
      </c>
      <c r="Y77" s="39">
        <f t="shared" si="23"/>
        <v>-140270.14283523947</v>
      </c>
      <c r="Z77" s="39">
        <f t="shared" si="23"/>
        <v>-136100.17025687377</v>
      </c>
      <c r="AA77" s="39">
        <f t="shared" si="23"/>
        <v>-138328.46072954786</v>
      </c>
    </row>
    <row r="78" spans="2:27" x14ac:dyDescent="0.25">
      <c r="B78" s="37" t="s">
        <v>204</v>
      </c>
      <c r="C78" s="9" t="s">
        <v>25</v>
      </c>
      <c r="D78" s="39">
        <f t="shared" ref="D78:AA78" si="24">D77+D76</f>
        <v>24661</v>
      </c>
      <c r="E78" s="39">
        <f t="shared" si="24"/>
        <v>8833.2725783657024</v>
      </c>
      <c r="F78" s="39">
        <f t="shared" si="24"/>
        <v>1562.3451567314041</v>
      </c>
      <c r="G78" s="39">
        <f t="shared" si="24"/>
        <v>-6141.9822649028938</v>
      </c>
      <c r="H78" s="39">
        <f t="shared" si="24"/>
        <v>-14441.509686537192</v>
      </c>
      <c r="I78" s="39">
        <f t="shared" si="24"/>
        <v>-26877.63710817149</v>
      </c>
      <c r="J78" s="39">
        <f t="shared" si="24"/>
        <v>-38479.164529805785</v>
      </c>
      <c r="K78" s="39">
        <f t="shared" si="24"/>
        <v>-49485.491951440083</v>
      </c>
      <c r="L78" s="39">
        <f t="shared" si="24"/>
        <v>-59884.019373074378</v>
      </c>
      <c r="M78" s="39">
        <f t="shared" si="24"/>
        <v>-69276.946794708681</v>
      </c>
      <c r="N78" s="39">
        <f t="shared" si="24"/>
        <v>-81468.874216342985</v>
      </c>
      <c r="O78" s="39">
        <f t="shared" si="24"/>
        <v>-92031.201637977283</v>
      </c>
      <c r="P78" s="39">
        <f t="shared" si="24"/>
        <v>-101602.08905961158</v>
      </c>
      <c r="Q78" s="39">
        <f t="shared" si="24"/>
        <v>-109799.12048124587</v>
      </c>
      <c r="R78" s="39">
        <f t="shared" si="24"/>
        <v>-117310.77190288017</v>
      </c>
      <c r="S78" s="39">
        <f t="shared" si="24"/>
        <v>-123356.58332451446</v>
      </c>
      <c r="T78" s="39">
        <f t="shared" si="24"/>
        <v>-130471.35474614876</v>
      </c>
      <c r="U78" s="39">
        <f t="shared" si="24"/>
        <v>-137864.23416778306</v>
      </c>
      <c r="V78" s="39">
        <f t="shared" si="24"/>
        <v>-139981.13358941735</v>
      </c>
      <c r="W78" s="39">
        <f t="shared" si="24"/>
        <v>-140824.82579767803</v>
      </c>
      <c r="X78" s="39">
        <f t="shared" si="24"/>
        <v>-140270.14283523947</v>
      </c>
      <c r="Y78" s="39">
        <f t="shared" si="24"/>
        <v>-136100.17025687377</v>
      </c>
      <c r="Z78" s="39">
        <f t="shared" si="24"/>
        <v>-138328.46072954786</v>
      </c>
      <c r="AA78" s="39">
        <f t="shared" si="24"/>
        <v>-137518.59087723179</v>
      </c>
    </row>
    <row r="79" spans="2:27" x14ac:dyDescent="0.25">
      <c r="B79" s="37" t="s">
        <v>204</v>
      </c>
      <c r="C79" s="37" t="s">
        <v>218</v>
      </c>
      <c r="D79" s="39">
        <f>D29-D63</f>
        <v>6540</v>
      </c>
      <c r="E79" s="39">
        <f t="shared" ref="E79:AA79" si="25">D79+E29-E63</f>
        <v>10758</v>
      </c>
      <c r="F79" s="39">
        <f t="shared" si="25"/>
        <v>13050</v>
      </c>
      <c r="G79" s="39">
        <f t="shared" si="25"/>
        <v>12080</v>
      </c>
      <c r="H79" s="39">
        <f t="shared" si="25"/>
        <v>11912</v>
      </c>
      <c r="I79" s="39">
        <f t="shared" si="25"/>
        <v>16612</v>
      </c>
      <c r="J79" s="39">
        <f t="shared" si="25"/>
        <v>17582</v>
      </c>
      <c r="K79" s="39">
        <f t="shared" si="25"/>
        <v>18580</v>
      </c>
      <c r="L79" s="39">
        <f t="shared" si="25"/>
        <v>20112</v>
      </c>
      <c r="M79" s="39">
        <f t="shared" si="25"/>
        <v>15934</v>
      </c>
      <c r="N79" s="39">
        <f t="shared" si="25"/>
        <v>18216</v>
      </c>
      <c r="O79" s="39">
        <f t="shared" si="25"/>
        <v>20494</v>
      </c>
      <c r="P79" s="39">
        <f t="shared" si="25"/>
        <v>22613.199999999997</v>
      </c>
      <c r="Q79" s="39">
        <f t="shared" si="25"/>
        <v>23773.02</v>
      </c>
      <c r="R79" s="39">
        <f t="shared" si="25"/>
        <v>26098.259999999995</v>
      </c>
      <c r="S79" s="39">
        <f t="shared" si="25"/>
        <v>24443.039999999994</v>
      </c>
      <c r="T79" s="39">
        <f t="shared" si="25"/>
        <v>24185.999999999993</v>
      </c>
      <c r="U79" s="39">
        <f t="shared" si="25"/>
        <v>32220.119999999995</v>
      </c>
      <c r="V79" s="39">
        <f t="shared" si="25"/>
        <v>34780.619999999988</v>
      </c>
      <c r="W79" s="39">
        <f t="shared" si="25"/>
        <v>37885.799999999981</v>
      </c>
      <c r="X79" s="39">
        <f t="shared" si="25"/>
        <v>41844.479999999981</v>
      </c>
      <c r="Y79" s="39">
        <f t="shared" si="25"/>
        <v>32842.619999999974</v>
      </c>
      <c r="Z79" s="39">
        <f t="shared" si="25"/>
        <v>38025.299999999981</v>
      </c>
      <c r="AA79" s="39">
        <f t="shared" si="25"/>
        <v>41553.539999999979</v>
      </c>
    </row>
    <row r="80" spans="2:27" x14ac:dyDescent="0.25">
      <c r="B80" s="37" t="s">
        <v>204</v>
      </c>
      <c r="C80" s="37" t="s">
        <v>219</v>
      </c>
      <c r="D80" s="39">
        <f>D30-D64</f>
        <v>1756.8</v>
      </c>
      <c r="E80" s="39">
        <f t="shared" ref="E80:AA80" si="26">D80+E30-E64</f>
        <v>3918</v>
      </c>
      <c r="F80" s="39">
        <f t="shared" si="26"/>
        <v>4547.3999999999996</v>
      </c>
      <c r="G80" s="39">
        <f t="shared" si="26"/>
        <v>4172.6000000000004</v>
      </c>
      <c r="H80" s="39">
        <f t="shared" si="26"/>
        <v>4080.2000000000007</v>
      </c>
      <c r="I80" s="39">
        <f t="shared" si="26"/>
        <v>5587.6</v>
      </c>
      <c r="J80" s="39">
        <f t="shared" si="26"/>
        <v>5962.4</v>
      </c>
      <c r="K80" s="39">
        <f t="shared" si="26"/>
        <v>6352.5999999999995</v>
      </c>
      <c r="L80" s="39">
        <f t="shared" si="26"/>
        <v>6878.9999999999982</v>
      </c>
      <c r="M80" s="39">
        <f t="shared" si="26"/>
        <v>5499.9999999999982</v>
      </c>
      <c r="N80" s="39">
        <f t="shared" si="26"/>
        <v>6152.3999999999978</v>
      </c>
      <c r="O80" s="39">
        <f t="shared" si="26"/>
        <v>6930.4</v>
      </c>
      <c r="P80" s="39">
        <f t="shared" si="26"/>
        <v>7675.7439999999997</v>
      </c>
      <c r="Q80" s="39">
        <f t="shared" si="26"/>
        <v>8150.1839999999993</v>
      </c>
      <c r="R80" s="39">
        <f t="shared" si="26"/>
        <v>8925.7439999999988</v>
      </c>
      <c r="S80" s="39">
        <f t="shared" si="26"/>
        <v>8339.4839999999986</v>
      </c>
      <c r="T80" s="39">
        <f t="shared" si="26"/>
        <v>8198.1119999999974</v>
      </c>
      <c r="U80" s="39">
        <f t="shared" si="26"/>
        <v>10861.932000000001</v>
      </c>
      <c r="V80" s="39">
        <f t="shared" si="26"/>
        <v>11779.823999999999</v>
      </c>
      <c r="W80" s="39">
        <f t="shared" si="26"/>
        <v>12836.64</v>
      </c>
      <c r="X80" s="39">
        <f t="shared" si="26"/>
        <v>14199.42</v>
      </c>
      <c r="Y80" s="39">
        <f t="shared" si="26"/>
        <v>11166.804</v>
      </c>
      <c r="Z80" s="39">
        <f t="shared" si="26"/>
        <v>12749.903999999997</v>
      </c>
      <c r="AA80" s="39">
        <f t="shared" si="26"/>
        <v>14036.591999999999</v>
      </c>
    </row>
    <row r="81" spans="2:27" x14ac:dyDescent="0.25">
      <c r="B81" s="37" t="s">
        <v>204</v>
      </c>
      <c r="C81" s="37" t="s">
        <v>220</v>
      </c>
      <c r="D81" s="39">
        <f>D67-D55</f>
        <v>21388.888888888891</v>
      </c>
      <c r="E81" s="39">
        <f t="shared" ref="E81:AA81" si="27">D81+E67-E55</f>
        <v>27097.222222222223</v>
      </c>
      <c r="F81" s="39">
        <f t="shared" si="27"/>
        <v>26305.555555555555</v>
      </c>
      <c r="G81" s="39">
        <f t="shared" si="27"/>
        <v>25513.888888888887</v>
      </c>
      <c r="H81" s="39">
        <f t="shared" si="27"/>
        <v>24722.222222222219</v>
      </c>
      <c r="I81" s="39">
        <f t="shared" si="27"/>
        <v>23930.555555555551</v>
      </c>
      <c r="J81" s="39">
        <f t="shared" si="27"/>
        <v>23138.888888888883</v>
      </c>
      <c r="K81" s="39">
        <f t="shared" si="27"/>
        <v>22347.222222222215</v>
      </c>
      <c r="L81" s="39">
        <f t="shared" si="27"/>
        <v>21555.555555555547</v>
      </c>
      <c r="M81" s="39">
        <f t="shared" si="27"/>
        <v>20763.88888888888</v>
      </c>
      <c r="N81" s="39">
        <f t="shared" si="27"/>
        <v>19972.222222222212</v>
      </c>
      <c r="O81" s="39">
        <f t="shared" si="27"/>
        <v>19180.555555555544</v>
      </c>
      <c r="P81" s="39">
        <f t="shared" si="27"/>
        <v>18388.888888888876</v>
      </c>
      <c r="Q81" s="39">
        <f t="shared" si="27"/>
        <v>17597.222222222208</v>
      </c>
      <c r="R81" s="39">
        <f t="shared" si="27"/>
        <v>16805.55555555554</v>
      </c>
      <c r="S81" s="39">
        <f t="shared" si="27"/>
        <v>16013.888888888874</v>
      </c>
      <c r="T81" s="39">
        <f t="shared" si="27"/>
        <v>15222.222222222208</v>
      </c>
      <c r="U81" s="39">
        <f t="shared" si="27"/>
        <v>14430.555555555542</v>
      </c>
      <c r="V81" s="39">
        <f t="shared" si="27"/>
        <v>13638.888888888876</v>
      </c>
      <c r="W81" s="39">
        <f t="shared" si="27"/>
        <v>12847.22222222221</v>
      </c>
      <c r="X81" s="39">
        <f t="shared" si="27"/>
        <v>12055.555555555544</v>
      </c>
      <c r="Y81" s="39">
        <f t="shared" si="27"/>
        <v>11263.888888888878</v>
      </c>
      <c r="Z81" s="39">
        <f t="shared" si="27"/>
        <v>10472.222222222212</v>
      </c>
      <c r="AA81" s="39">
        <f t="shared" si="27"/>
        <v>9680.5555555555457</v>
      </c>
    </row>
    <row r="82" spans="2:27" x14ac:dyDescent="0.25">
      <c r="B82" s="37" t="s">
        <v>204</v>
      </c>
      <c r="C82" s="37" t="s">
        <v>221</v>
      </c>
      <c r="D82" s="39">
        <f t="shared" ref="D82:AA82" si="28">D78+D79+D81-D80-D74</f>
        <v>25833.088888888888</v>
      </c>
      <c r="E82" s="39">
        <f t="shared" si="28"/>
        <v>18396.588888888891</v>
      </c>
      <c r="F82" s="39">
        <f t="shared" si="28"/>
        <v>12626.341104403975</v>
      </c>
      <c r="G82" s="39">
        <f t="shared" si="28"/>
        <v>4168.5668400246577</v>
      </c>
      <c r="H82" s="39">
        <f t="shared" si="28"/>
        <v>-4361.1124753817821</v>
      </c>
      <c r="I82" s="39">
        <f t="shared" si="28"/>
        <v>-13755.475287946339</v>
      </c>
      <c r="J82" s="39">
        <f t="shared" si="28"/>
        <v>-24908.899918069095</v>
      </c>
      <c r="K82" s="39">
        <f t="shared" si="28"/>
        <v>-35450.76455968582</v>
      </c>
      <c r="L82" s="39">
        <f t="shared" si="28"/>
        <v>-44983.247279530216</v>
      </c>
      <c r="M82" s="39">
        <f t="shared" si="28"/>
        <v>-57310.926016391953</v>
      </c>
      <c r="N82" s="39">
        <f t="shared" si="28"/>
        <v>-68005.178580370295</v>
      </c>
      <c r="O82" s="39">
        <f t="shared" si="28"/>
        <v>-77195.582652123412</v>
      </c>
      <c r="P82" s="39">
        <f t="shared" si="28"/>
        <v>-85516.819782113351</v>
      </c>
      <c r="Q82" s="39">
        <f t="shared" si="28"/>
        <v>-93148.783389846445</v>
      </c>
      <c r="R82" s="39">
        <f t="shared" si="28"/>
        <v>-99227.150763109588</v>
      </c>
      <c r="S82" s="39">
        <f t="shared" si="28"/>
        <v>-106454.37905720166</v>
      </c>
      <c r="T82" s="39">
        <f t="shared" si="28"/>
        <v>-113793.31329416086</v>
      </c>
      <c r="U82" s="39">
        <f t="shared" si="28"/>
        <v>-115920.40236198722</v>
      </c>
      <c r="V82" s="39">
        <f t="shared" si="28"/>
        <v>-116495.19501386081</v>
      </c>
      <c r="W82" s="39">
        <f t="shared" si="28"/>
        <v>-115386.99265398164</v>
      </c>
      <c r="X82" s="39">
        <f t="shared" si="28"/>
        <v>-112328.82380620019</v>
      </c>
      <c r="Y82" s="39">
        <f t="shared" si="28"/>
        <v>-114216.43036927155</v>
      </c>
      <c r="Z82" s="39">
        <f t="shared" si="28"/>
        <v>-112929.37321615215</v>
      </c>
      <c r="AA82" s="39">
        <f t="shared" si="28"/>
        <v>-109958.05703800329</v>
      </c>
    </row>
    <row r="83" spans="2:27" x14ac:dyDescent="0.25">
      <c r="B83" s="37" t="s">
        <v>204</v>
      </c>
      <c r="C83" s="9" t="s">
        <v>222</v>
      </c>
      <c r="D83" s="43">
        <f t="shared" ref="D83:AA83" si="29">D78+D79+D81-D80-D74-D82</f>
        <v>0</v>
      </c>
      <c r="E83" s="43">
        <f t="shared" si="29"/>
        <v>0</v>
      </c>
      <c r="F83" s="43">
        <f t="shared" si="29"/>
        <v>0</v>
      </c>
      <c r="G83" s="43">
        <f t="shared" si="29"/>
        <v>0</v>
      </c>
      <c r="H83" s="43">
        <f t="shared" si="29"/>
        <v>0</v>
      </c>
      <c r="I83" s="43">
        <f t="shared" si="29"/>
        <v>0</v>
      </c>
      <c r="J83" s="43">
        <f t="shared" si="29"/>
        <v>0</v>
      </c>
      <c r="K83" s="43">
        <f t="shared" si="29"/>
        <v>0</v>
      </c>
      <c r="L83" s="43">
        <f t="shared" si="29"/>
        <v>0</v>
      </c>
      <c r="M83" s="43">
        <f t="shared" si="29"/>
        <v>0</v>
      </c>
      <c r="N83" s="43">
        <f t="shared" si="29"/>
        <v>0</v>
      </c>
      <c r="O83" s="43">
        <f t="shared" si="29"/>
        <v>0</v>
      </c>
      <c r="P83" s="43">
        <f t="shared" si="29"/>
        <v>0</v>
      </c>
      <c r="Q83" s="43">
        <f t="shared" si="29"/>
        <v>0</v>
      </c>
      <c r="R83" s="43">
        <f t="shared" si="29"/>
        <v>0</v>
      </c>
      <c r="S83" s="43">
        <f t="shared" si="29"/>
        <v>0</v>
      </c>
      <c r="T83" s="43">
        <f t="shared" si="29"/>
        <v>0</v>
      </c>
      <c r="U83" s="43">
        <f t="shared" si="29"/>
        <v>0</v>
      </c>
      <c r="V83" s="43">
        <f t="shared" si="29"/>
        <v>0</v>
      </c>
      <c r="W83" s="43">
        <f t="shared" si="29"/>
        <v>0</v>
      </c>
      <c r="X83" s="43">
        <f t="shared" si="29"/>
        <v>0</v>
      </c>
      <c r="Y83" s="43">
        <f t="shared" si="29"/>
        <v>0</v>
      </c>
      <c r="Z83" s="43">
        <f t="shared" si="29"/>
        <v>0</v>
      </c>
      <c r="AA83" s="43">
        <f t="shared" si="29"/>
        <v>0</v>
      </c>
    </row>
    <row r="84" spans="2:27" x14ac:dyDescent="0.25">
      <c r="B84" s="37" t="s">
        <v>204</v>
      </c>
      <c r="C84" s="37" t="s">
        <v>223</v>
      </c>
      <c r="D84" s="39">
        <f t="shared" ref="D84:AA84" si="30">IFERROR((D41+D51+D71)/(1-(D30/D29)),0)</f>
        <v>18437.617076434188</v>
      </c>
      <c r="E84" s="39">
        <f t="shared" si="30"/>
        <v>21209.040497076025</v>
      </c>
      <c r="F84" s="39">
        <f t="shared" si="30"/>
        <v>20691.248981197292</v>
      </c>
      <c r="G84" s="39">
        <f t="shared" si="30"/>
        <v>23791.381715907733</v>
      </c>
      <c r="H84" s="39">
        <f t="shared" si="30"/>
        <v>23681.351448171325</v>
      </c>
      <c r="I84" s="39">
        <f t="shared" si="30"/>
        <v>29574.881279312776</v>
      </c>
      <c r="J84" s="39">
        <f t="shared" si="30"/>
        <v>33260.717728104675</v>
      </c>
      <c r="K84" s="39">
        <f t="shared" si="30"/>
        <v>33395.79717475277</v>
      </c>
      <c r="L84" s="39">
        <f t="shared" si="30"/>
        <v>33396.613652347201</v>
      </c>
      <c r="M84" s="39">
        <f t="shared" si="30"/>
        <v>33550.907832709236</v>
      </c>
      <c r="N84" s="39">
        <f t="shared" si="30"/>
        <v>33168.875153803958</v>
      </c>
      <c r="O84" s="39">
        <f t="shared" si="30"/>
        <v>33184.12093985681</v>
      </c>
      <c r="P84" s="39">
        <f t="shared" si="30"/>
        <v>34011.906901712151</v>
      </c>
      <c r="Q84" s="39">
        <f t="shared" si="30"/>
        <v>34181.790596190818</v>
      </c>
      <c r="R84" s="39">
        <f t="shared" si="30"/>
        <v>34132.82462541297</v>
      </c>
      <c r="S84" s="39">
        <f t="shared" si="30"/>
        <v>34211.360132623158</v>
      </c>
      <c r="T84" s="39">
        <f t="shared" si="30"/>
        <v>34090.511055812698</v>
      </c>
      <c r="U84" s="39">
        <f t="shared" si="30"/>
        <v>34234.685562212195</v>
      </c>
      <c r="V84" s="39">
        <f t="shared" si="30"/>
        <v>34452.674276017577</v>
      </c>
      <c r="W84" s="39">
        <f t="shared" si="30"/>
        <v>34453.624937527631</v>
      </c>
      <c r="X84" s="39">
        <f t="shared" si="30"/>
        <v>34474.259295704724</v>
      </c>
      <c r="Y84" s="39">
        <f t="shared" si="30"/>
        <v>34503.158987803654</v>
      </c>
      <c r="Z84" s="39">
        <f t="shared" si="30"/>
        <v>34252.552978113046</v>
      </c>
      <c r="AA84" s="39">
        <f t="shared" si="30"/>
        <v>34375.364085221627</v>
      </c>
    </row>
    <row r="85" spans="2:27" x14ac:dyDescent="0.25">
      <c r="B85" s="37" t="s">
        <v>204</v>
      </c>
      <c r="C85" s="37" t="s">
        <v>224</v>
      </c>
      <c r="D85" s="44" t="str">
        <f t="shared" ref="D85:AA85" si="31">IF(D76&lt;0,D78/ABS(D76),"")</f>
        <v/>
      </c>
      <c r="E85" s="44">
        <f t="shared" si="31"/>
        <v>0.55808849514882664</v>
      </c>
      <c r="F85" s="44">
        <f t="shared" si="31"/>
        <v>0.21487563637105228</v>
      </c>
      <c r="G85" s="44">
        <f t="shared" si="31"/>
        <v>-0.79721199901963824</v>
      </c>
      <c r="H85" s="44">
        <f t="shared" si="31"/>
        <v>-1.740039999011588</v>
      </c>
      <c r="I85" s="44">
        <f t="shared" si="31"/>
        <v>-2.1612545607577371</v>
      </c>
      <c r="J85" s="44">
        <f t="shared" si="31"/>
        <v>-3.3167326276409606</v>
      </c>
      <c r="K85" s="44">
        <f t="shared" si="31"/>
        <v>-4.4960948421514537</v>
      </c>
      <c r="L85" s="44">
        <f t="shared" si="31"/>
        <v>-5.7588942111634713</v>
      </c>
      <c r="M85" s="44">
        <f t="shared" si="31"/>
        <v>-7.375437250281129</v>
      </c>
      <c r="N85" s="44">
        <f t="shared" si="31"/>
        <v>-6.6821980970603807</v>
      </c>
      <c r="O85" s="44">
        <f t="shared" si="31"/>
        <v>-8.713155535159256</v>
      </c>
      <c r="P85" s="44">
        <f t="shared" si="31"/>
        <v>-10.61574382642381</v>
      </c>
      <c r="Q85" s="44">
        <f t="shared" si="31"/>
        <v>-13.39498592032413</v>
      </c>
      <c r="R85" s="44">
        <f t="shared" si="31"/>
        <v>-15.617174615559721</v>
      </c>
      <c r="S85" s="44">
        <f t="shared" si="31"/>
        <v>-20.4036438985007</v>
      </c>
      <c r="T85" s="44">
        <f t="shared" si="31"/>
        <v>-18.338095072094223</v>
      </c>
      <c r="U85" s="44">
        <f t="shared" si="31"/>
        <v>-18.648246008766396</v>
      </c>
      <c r="V85" s="44">
        <f t="shared" si="31"/>
        <v>-66.125547656557359</v>
      </c>
      <c r="W85" s="44">
        <f t="shared" si="31"/>
        <v>-166.91492989842263</v>
      </c>
      <c r="X85" s="44" t="str">
        <f t="shared" si="31"/>
        <v/>
      </c>
      <c r="Y85" s="44" t="str">
        <f t="shared" si="31"/>
        <v/>
      </c>
      <c r="Z85" s="44">
        <f t="shared" si="31"/>
        <v>-62.078289354953327</v>
      </c>
      <c r="AA85" s="44" t="str">
        <f t="shared" si="31"/>
        <v/>
      </c>
    </row>
  </sheetData>
  <mergeCells count="1">
    <mergeCell ref="B2:Z2"/>
  </mergeCells>
  <conditionalFormatting sqref="D78:AA78">
    <cfRule type="cellIs" dxfId="1" priority="1" operator="lessThan">
      <formula>0</formula>
    </cfRule>
  </conditionalFormatting>
  <conditionalFormatting sqref="D83:AA83">
    <cfRule type="cellIs" dxfId="0" priority="2" operator="notEqual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I26"/>
  <sheetViews>
    <sheetView showGridLines="0" workbookViewId="0"/>
  </sheetViews>
  <sheetFormatPr baseColWidth="10" defaultColWidth="9.140625" defaultRowHeight="15" x14ac:dyDescent="0.25"/>
  <cols>
    <col min="2" max="3" width="16" customWidth="1"/>
    <col min="4" max="5" width="12" customWidth="1"/>
    <col min="6" max="10" width="14" customWidth="1"/>
    <col min="11" max="11" width="14" hidden="1" customWidth="1"/>
    <col min="12" max="35" width="11" hidden="1" customWidth="1"/>
  </cols>
  <sheetData>
    <row r="2" spans="2:11" x14ac:dyDescent="0.25">
      <c r="B2" s="52" t="s">
        <v>225</v>
      </c>
      <c r="C2" s="53"/>
      <c r="D2" s="53"/>
      <c r="E2" s="53"/>
      <c r="F2" s="53"/>
      <c r="G2" s="53"/>
      <c r="H2" s="53"/>
      <c r="I2" s="53"/>
      <c r="J2" s="53"/>
    </row>
    <row r="3" spans="2:11" x14ac:dyDescent="0.25">
      <c r="B3" s="53"/>
      <c r="C3" s="53"/>
      <c r="D3" s="53"/>
      <c r="E3" s="53"/>
      <c r="F3" s="53"/>
      <c r="G3" s="53"/>
      <c r="H3" s="53"/>
      <c r="I3" s="53"/>
      <c r="J3" s="53"/>
    </row>
    <row r="6" spans="2:11" ht="27.95" customHeight="1" x14ac:dyDescent="0.25">
      <c r="B6" s="45" t="s">
        <v>23</v>
      </c>
      <c r="C6" s="46">
        <f>Proyecciones!AD9</f>
        <v>181870</v>
      </c>
      <c r="E6" s="45" t="s">
        <v>226</v>
      </c>
      <c r="F6" s="46">
        <f>Proyecciones!AE9</f>
        <v>380265.99999999994</v>
      </c>
      <c r="H6" s="45" t="s">
        <v>24</v>
      </c>
      <c r="I6" s="46">
        <f>Proyecciones!AE11</f>
        <v>-19462.66399999999</v>
      </c>
    </row>
    <row r="10" spans="2:11" ht="27.95" customHeight="1" x14ac:dyDescent="0.25">
      <c r="B10" s="45" t="s">
        <v>25</v>
      </c>
      <c r="C10" s="46">
        <f>Proyecciones!AE13</f>
        <v>-137518.59087723179</v>
      </c>
      <c r="E10" s="45" t="s">
        <v>187</v>
      </c>
      <c r="F10" s="46">
        <f>Proyecciones!AE15</f>
        <v>9636.9697163270212</v>
      </c>
      <c r="H10" s="45" t="s">
        <v>26</v>
      </c>
      <c r="I10" s="46">
        <f>Proyecciones!AE16</f>
        <v>34375.364085221627</v>
      </c>
    </row>
    <row r="15" spans="2:11" ht="17.25" x14ac:dyDescent="0.3">
      <c r="B15" s="1" t="s">
        <v>227</v>
      </c>
      <c r="F15" s="51" t="s">
        <v>228</v>
      </c>
    </row>
    <row r="16" spans="2:11" x14ac:dyDescent="0.25">
      <c r="B16" s="14" t="s">
        <v>179</v>
      </c>
      <c r="C16" s="14" t="s">
        <v>180</v>
      </c>
      <c r="D16" s="14" t="s">
        <v>181</v>
      </c>
      <c r="F16" s="47"/>
      <c r="G16" s="47"/>
      <c r="H16" s="47"/>
      <c r="I16" s="47"/>
      <c r="J16" s="47"/>
      <c r="K16" s="47"/>
    </row>
    <row r="17" spans="2:5" x14ac:dyDescent="0.25">
      <c r="B17" t="s">
        <v>178</v>
      </c>
      <c r="C17" s="13">
        <f>Proyecciones!AD9</f>
        <v>181870</v>
      </c>
      <c r="D17" s="13">
        <f>Proyecciones!AE9</f>
        <v>380265.99999999994</v>
      </c>
      <c r="E17" t="s">
        <v>178</v>
      </c>
    </row>
    <row r="18" spans="2:5" x14ac:dyDescent="0.25">
      <c r="B18" t="s">
        <v>183</v>
      </c>
      <c r="C18" s="13">
        <f>Proyecciones!AD10</f>
        <v>120030.6</v>
      </c>
      <c r="D18" s="13">
        <f>Proyecciones!AE10</f>
        <v>251345.61600000001</v>
      </c>
      <c r="E18" t="s">
        <v>184</v>
      </c>
    </row>
    <row r="19" spans="2:5" x14ac:dyDescent="0.25">
      <c r="B19" t="s">
        <v>184</v>
      </c>
      <c r="C19" s="13">
        <f>Proyecciones!AD11</f>
        <v>-101476.4</v>
      </c>
      <c r="D19" s="13">
        <f>Proyecciones!AE11</f>
        <v>-19462.66399999999</v>
      </c>
      <c r="E19" t="s">
        <v>204</v>
      </c>
    </row>
    <row r="20" spans="2:5" x14ac:dyDescent="0.25">
      <c r="B20" t="s">
        <v>185</v>
      </c>
      <c r="C20" s="13">
        <f>Proyecciones!AD12</f>
        <v>-112341.41598545674</v>
      </c>
      <c r="D20" s="13">
        <f>Proyecciones!AE12</f>
        <v>-32762.474385879868</v>
      </c>
      <c r="E20" t="s">
        <v>188</v>
      </c>
    </row>
    <row r="21" spans="2:5" x14ac:dyDescent="0.25">
      <c r="B21" t="s">
        <v>25</v>
      </c>
      <c r="C21" s="13">
        <f>Proyecciones!AD13</f>
        <v>-92031.201637977283</v>
      </c>
      <c r="D21" s="13">
        <f>Proyecciones!AE13</f>
        <v>-137518.59087723179</v>
      </c>
    </row>
    <row r="22" spans="2:5" x14ac:dyDescent="0.25">
      <c r="B22" t="s">
        <v>187</v>
      </c>
      <c r="C22" s="13">
        <f>Proyecciones!AD15</f>
        <v>17908.536569701682</v>
      </c>
      <c r="D22" s="13">
        <f>Proyecciones!AE15</f>
        <v>9636.9697163270212</v>
      </c>
    </row>
    <row r="24" spans="2:5" ht="17.25" x14ac:dyDescent="0.3">
      <c r="B24" s="1" t="s">
        <v>229</v>
      </c>
    </row>
    <row r="25" spans="2:5" ht="72" x14ac:dyDescent="0.25">
      <c r="B25" s="48" t="s">
        <v>230</v>
      </c>
    </row>
    <row r="26" spans="2:5" ht="60" x14ac:dyDescent="0.25">
      <c r="B26" s="48" t="s">
        <v>231</v>
      </c>
    </row>
  </sheetData>
  <mergeCells count="1">
    <mergeCell ref="B2:J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Inicio</vt:lpstr>
      <vt:lpstr>Estrategia</vt:lpstr>
      <vt:lpstr>Supuestos</vt:lpstr>
      <vt:lpstr>Proyecciones</vt:lpstr>
      <vt:lpstr>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2026-03-16T08:13:57Z</dcterms:modified>
</cp:coreProperties>
</file>