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pa de stakeholders\"/>
    </mc:Choice>
  </mc:AlternateContent>
  <xr:revisionPtr revIDLastSave="0" documentId="13_ncr:1_{BFE21B82-8200-49D4-BA60-14BC739AB2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pa" sheetId="1" r:id="rId1"/>
    <sheet name="Registro" sheetId="2" r:id="rId2"/>
    <sheet name="Listas" sheetId="3" r:id="rId3"/>
  </sheets>
  <definedNames>
    <definedName name="ApoyoList">Listas!$C$2:$C$6</definedName>
    <definedName name="CanalList">Listas!$F$2:$F$10</definedName>
    <definedName name="MapApoyo">Listas!$C$2:$D$6</definedName>
    <definedName name="TipoList">Listas!$A$2:$A$3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AC37" i="2" l="1"/>
  <c r="AB37" i="2"/>
  <c r="AA37" i="2"/>
  <c r="Z37" i="2"/>
  <c r="Y37" i="2"/>
  <c r="V37" i="2"/>
  <c r="U37" i="2"/>
  <c r="T37" i="2"/>
  <c r="S37" i="2"/>
  <c r="W37" i="2" s="1"/>
  <c r="R37" i="2"/>
  <c r="O37" i="2"/>
  <c r="AC36" i="2"/>
  <c r="AB36" i="2"/>
  <c r="AA36" i="2"/>
  <c r="Z36" i="2"/>
  <c r="Y36" i="2"/>
  <c r="V36" i="2" s="1"/>
  <c r="W36" i="2"/>
  <c r="U36" i="2"/>
  <c r="T36" i="2"/>
  <c r="S36" i="2"/>
  <c r="O36" i="2" s="1"/>
  <c r="R36" i="2"/>
  <c r="Z35" i="2"/>
  <c r="Y35" i="2"/>
  <c r="V35" i="2"/>
  <c r="T35" i="2"/>
  <c r="AC35" i="2" s="1"/>
  <c r="S35" i="2"/>
  <c r="AB35" i="2" s="1"/>
  <c r="R35" i="2"/>
  <c r="O35" i="2"/>
  <c r="AC34" i="2"/>
  <c r="AB34" i="2"/>
  <c r="AA34" i="2"/>
  <c r="Z34" i="2"/>
  <c r="Y34" i="2"/>
  <c r="W34" i="2"/>
  <c r="V34" i="2"/>
  <c r="T34" i="2"/>
  <c r="U34" i="2" s="1"/>
  <c r="S34" i="2"/>
  <c r="R34" i="2"/>
  <c r="O34" i="2"/>
  <c r="Z33" i="2"/>
  <c r="Y33" i="2"/>
  <c r="W33" i="2"/>
  <c r="V33" i="2"/>
  <c r="T33" i="2"/>
  <c r="AC33" i="2" s="1"/>
  <c r="S33" i="2"/>
  <c r="AB33" i="2" s="1"/>
  <c r="R33" i="2"/>
  <c r="O33" i="2"/>
  <c r="AC32" i="2"/>
  <c r="AB32" i="2"/>
  <c r="AA32" i="2"/>
  <c r="Z32" i="2"/>
  <c r="Y32" i="2"/>
  <c r="V32" i="2"/>
  <c r="U32" i="2"/>
  <c r="T32" i="2"/>
  <c r="S32" i="2"/>
  <c r="W32" i="2" s="1"/>
  <c r="R32" i="2"/>
  <c r="O32" i="2"/>
  <c r="AC31" i="2"/>
  <c r="AB31" i="2"/>
  <c r="AA31" i="2"/>
  <c r="Z31" i="2"/>
  <c r="Y31" i="2"/>
  <c r="V31" i="2" s="1"/>
  <c r="W31" i="2"/>
  <c r="U31" i="2"/>
  <c r="T31" i="2"/>
  <c r="S31" i="2"/>
  <c r="O31" i="2" s="1"/>
  <c r="R31" i="2"/>
  <c r="Z30" i="2"/>
  <c r="Y30" i="2"/>
  <c r="V30" i="2"/>
  <c r="T30" i="2"/>
  <c r="AC30" i="2" s="1"/>
  <c r="S30" i="2"/>
  <c r="AB30" i="2" s="1"/>
  <c r="R30" i="2"/>
  <c r="O30" i="2"/>
  <c r="AC29" i="2"/>
  <c r="AB29" i="2"/>
  <c r="AA29" i="2"/>
  <c r="Z29" i="2"/>
  <c r="Y29" i="2"/>
  <c r="W29" i="2"/>
  <c r="V29" i="2"/>
  <c r="T29" i="2"/>
  <c r="U29" i="2" s="1"/>
  <c r="S29" i="2"/>
  <c r="R29" i="2"/>
  <c r="O29" i="2"/>
  <c r="Z28" i="2"/>
  <c r="Y28" i="2"/>
  <c r="W28" i="2"/>
  <c r="V28" i="2"/>
  <c r="T28" i="2"/>
  <c r="AC28" i="2" s="1"/>
  <c r="S28" i="2"/>
  <c r="AB28" i="2" s="1"/>
  <c r="R28" i="2"/>
  <c r="O28" i="2"/>
  <c r="AA27" i="2"/>
  <c r="AB27" i="2" s="1"/>
  <c r="Z27" i="2"/>
  <c r="Y27" i="2"/>
  <c r="V27" i="2" s="1"/>
  <c r="S27" i="2"/>
  <c r="W27" i="2" s="1"/>
  <c r="R27" i="2"/>
  <c r="O27" i="2"/>
  <c r="AA26" i="2"/>
  <c r="AB26" i="2" s="1"/>
  <c r="Z26" i="2"/>
  <c r="Y26" i="2"/>
  <c r="T26" i="2" s="1"/>
  <c r="S26" i="2"/>
  <c r="R26" i="2"/>
  <c r="O26" i="2"/>
  <c r="Z25" i="2"/>
  <c r="Y25" i="2"/>
  <c r="V25" i="2" s="1"/>
  <c r="S25" i="2"/>
  <c r="R25" i="2"/>
  <c r="O25" i="2"/>
  <c r="AA24" i="2"/>
  <c r="AB24" i="2" s="1"/>
  <c r="Z24" i="2"/>
  <c r="Y24" i="2"/>
  <c r="W24" i="2" s="1"/>
  <c r="S24" i="2"/>
  <c r="R24" i="2"/>
  <c r="O24" i="2"/>
  <c r="Z23" i="2"/>
  <c r="Y23" i="2"/>
  <c r="V23" i="2" s="1"/>
  <c r="S23" i="2"/>
  <c r="R23" i="2"/>
  <c r="O23" i="2"/>
  <c r="AA22" i="2"/>
  <c r="AB22" i="2" s="1"/>
  <c r="Z22" i="2"/>
  <c r="T22" i="2" s="1"/>
  <c r="Y22" i="2"/>
  <c r="V22" i="2" s="1"/>
  <c r="S22" i="2"/>
  <c r="W22" i="2" s="1"/>
  <c r="R22" i="2"/>
  <c r="O22" i="2"/>
  <c r="AA21" i="2"/>
  <c r="AB21" i="2" s="1"/>
  <c r="Z21" i="2"/>
  <c r="Y21" i="2"/>
  <c r="W21" i="2" s="1"/>
  <c r="S21" i="2"/>
  <c r="R21" i="2"/>
  <c r="O21" i="2"/>
  <c r="Z20" i="2"/>
  <c r="Y20" i="2"/>
  <c r="V20" i="2" s="1"/>
  <c r="S20" i="2"/>
  <c r="R20" i="2"/>
  <c r="O20" i="2"/>
  <c r="AA19" i="2"/>
  <c r="AB19" i="2" s="1"/>
  <c r="Z19" i="2"/>
  <c r="T19" i="2" s="1"/>
  <c r="Y19" i="2"/>
  <c r="W19" i="2" s="1"/>
  <c r="S19" i="2"/>
  <c r="R19" i="2"/>
  <c r="O19" i="2"/>
  <c r="Z18" i="2"/>
  <c r="T18" i="2" s="1"/>
  <c r="Y18" i="2"/>
  <c r="V18" i="2" s="1"/>
  <c r="S18" i="2"/>
  <c r="R18" i="2"/>
  <c r="O18" i="2"/>
  <c r="AA17" i="2"/>
  <c r="AB17" i="2" s="1"/>
  <c r="Z17" i="2"/>
  <c r="T17" i="2" s="1"/>
  <c r="Y17" i="2"/>
  <c r="V17" i="2" s="1"/>
  <c r="S17" i="2"/>
  <c r="W17" i="2" s="1"/>
  <c r="R17" i="2"/>
  <c r="O17" i="2"/>
  <c r="AA16" i="2"/>
  <c r="AB16" i="2" s="1"/>
  <c r="Z16" i="2"/>
  <c r="Y16" i="2"/>
  <c r="W16" i="2" s="1"/>
  <c r="S16" i="2"/>
  <c r="R16" i="2"/>
  <c r="O16" i="2"/>
  <c r="Z15" i="2"/>
  <c r="Y15" i="2"/>
  <c r="V15" i="2" s="1"/>
  <c r="S15" i="2"/>
  <c r="R15" i="2"/>
  <c r="O15" i="2"/>
  <c r="AA14" i="2"/>
  <c r="AB14" i="2" s="1"/>
  <c r="Z14" i="2"/>
  <c r="Y14" i="2"/>
  <c r="W14" i="2" s="1"/>
  <c r="T14" i="2"/>
  <c r="U14" i="2" s="1"/>
  <c r="S14" i="2"/>
  <c r="R14" i="2"/>
  <c r="O14" i="2"/>
  <c r="Z13" i="2"/>
  <c r="Y13" i="2"/>
  <c r="V13" i="2" s="1"/>
  <c r="T13" i="2"/>
  <c r="S13" i="2"/>
  <c r="R13" i="2"/>
  <c r="O13" i="2"/>
  <c r="N20" i="1"/>
  <c r="H27" i="1" s="1"/>
  <c r="G20" i="1"/>
  <c r="A27" i="1" s="1"/>
  <c r="N11" i="1"/>
  <c r="H18" i="1" s="1"/>
  <c r="G11" i="1"/>
  <c r="A18" i="1" s="1"/>
  <c r="B8" i="1"/>
  <c r="K5" i="1"/>
  <c r="G5" i="1"/>
  <c r="M5" i="1" l="1"/>
  <c r="U17" i="2"/>
  <c r="U22" i="2"/>
  <c r="U26" i="2"/>
  <c r="U18" i="2"/>
  <c r="U19" i="2"/>
  <c r="T23" i="2"/>
  <c r="U13" i="2"/>
  <c r="T16" i="2"/>
  <c r="T21" i="2"/>
  <c r="V16" i="2"/>
  <c r="V21" i="2"/>
  <c r="V26" i="2"/>
  <c r="W26" i="2"/>
  <c r="U28" i="2"/>
  <c r="U33" i="2"/>
  <c r="W13" i="2"/>
  <c r="W18" i="2"/>
  <c r="W23" i="2"/>
  <c r="T25" i="2"/>
  <c r="U30" i="2"/>
  <c r="U35" i="2"/>
  <c r="T15" i="2"/>
  <c r="AC17" i="2" s="1"/>
  <c r="T20" i="2"/>
  <c r="AA13" i="2"/>
  <c r="AB13" i="2" s="1"/>
  <c r="AA18" i="2"/>
  <c r="AB18" i="2" s="1"/>
  <c r="AA23" i="2"/>
  <c r="AB23" i="2" s="1"/>
  <c r="AA28" i="2"/>
  <c r="AA33" i="2"/>
  <c r="W15" i="2"/>
  <c r="W20" i="2"/>
  <c r="W25" i="2"/>
  <c r="W30" i="2"/>
  <c r="W35" i="2"/>
  <c r="T27" i="2"/>
  <c r="AA15" i="2"/>
  <c r="AB15" i="2" s="1"/>
  <c r="AA20" i="2"/>
  <c r="AB20" i="2" s="1"/>
  <c r="AA25" i="2"/>
  <c r="AB25" i="2" s="1"/>
  <c r="AA30" i="2"/>
  <c r="AA35" i="2"/>
  <c r="T24" i="2"/>
  <c r="V14" i="2"/>
  <c r="V19" i="2"/>
  <c r="V24" i="2"/>
  <c r="H17" i="1" l="1"/>
  <c r="A17" i="1"/>
  <c r="A16" i="1"/>
  <c r="H26" i="1"/>
  <c r="A14" i="1"/>
  <c r="A22" i="1"/>
  <c r="H15" i="1"/>
  <c r="H25" i="1"/>
  <c r="H13" i="1"/>
  <c r="A25" i="1"/>
  <c r="A13" i="1"/>
  <c r="H24" i="1"/>
  <c r="A24" i="1"/>
  <c r="H23" i="1"/>
  <c r="A23" i="1"/>
  <c r="H16" i="1"/>
  <c r="H14" i="1"/>
  <c r="A26" i="1"/>
  <c r="H22" i="1"/>
  <c r="AC16" i="2"/>
  <c r="U16" i="2"/>
  <c r="AC20" i="2"/>
  <c r="U20" i="2"/>
  <c r="AC13" i="2"/>
  <c r="AC26" i="2"/>
  <c r="AC19" i="2"/>
  <c r="AC25" i="2"/>
  <c r="U25" i="2"/>
  <c r="AC27" i="2"/>
  <c r="U27" i="2"/>
  <c r="AC14" i="2"/>
  <c r="AC15" i="2"/>
  <c r="U15" i="2"/>
  <c r="A15" i="1" s="1"/>
  <c r="AC22" i="2"/>
  <c r="I5" i="1"/>
  <c r="AC23" i="2"/>
  <c r="U23" i="2"/>
  <c r="AC18" i="2"/>
  <c r="AC24" i="2"/>
  <c r="U24" i="2"/>
  <c r="AC21" i="2"/>
  <c r="U21" i="2"/>
  <c r="K37" i="1" l="1"/>
  <c r="K33" i="1"/>
  <c r="I37" i="1"/>
  <c r="I33" i="1"/>
  <c r="H37" i="1"/>
  <c r="H33" i="1"/>
  <c r="B37" i="1"/>
  <c r="I36" i="1"/>
  <c r="H36" i="1"/>
  <c r="L34" i="1"/>
  <c r="L36" i="1"/>
  <c r="K36" i="1"/>
  <c r="B36" i="1"/>
  <c r="L35" i="1"/>
  <c r="K35" i="1"/>
  <c r="I35" i="1"/>
  <c r="H35" i="1"/>
  <c r="B35" i="1"/>
  <c r="I34" i="1"/>
  <c r="H34" i="1"/>
  <c r="B34" i="1"/>
  <c r="L37" i="1"/>
  <c r="L33" i="1"/>
  <c r="B33" i="1"/>
  <c r="K3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G12" authorId="0" shapeId="0" xr:uid="{00000000-0006-0000-0100-000001000000}">
      <text>
        <r>
          <rPr>
            <sz val="10"/>
            <rFont val="Arial"/>
            <family val="2"/>
          </rPr>
          <t>Poder para influir en el resultado del proyecto. 1 = muy bajo, 5 = muy alto.</t>
        </r>
      </text>
    </comment>
    <comment ref="H12" authorId="0" shapeId="0" xr:uid="{00000000-0006-0000-0100-000002000000}">
      <text>
        <r>
          <rPr>
            <sz val="10"/>
            <rFont val="Arial"/>
            <family val="2"/>
          </rPr>
          <t>Interés o nivel de atención que dedica este stakeholder. 1 = bajo, 5 = alto.</t>
        </r>
      </text>
    </comment>
    <comment ref="J12" authorId="0" shapeId="0" xr:uid="{00000000-0006-0000-0100-000003000000}">
      <text>
        <r>
          <rPr>
            <sz val="10"/>
            <rFont val="Arial"/>
            <family val="2"/>
          </rPr>
          <t>Posición actual frente al proyecto.</t>
        </r>
      </text>
    </comment>
    <comment ref="K12" authorId="0" shapeId="0" xr:uid="{00000000-0006-0000-0100-000004000000}">
      <text>
        <r>
          <rPr>
            <sz val="10"/>
            <rFont val="Arial"/>
            <family val="2"/>
          </rPr>
          <t>Posición que querrías alcanzar.</t>
        </r>
      </text>
    </comment>
    <comment ref="T12" authorId="0" shapeId="0" xr:uid="{00000000-0006-0000-0100-000005000000}">
      <text>
        <r>
          <rPr>
            <sz val="10"/>
            <rFont val="Arial"/>
            <family val="2"/>
          </rPr>
          <t>Score 0-100 basado en poder, interés, impacto, riesgo y apoyo.</t>
        </r>
      </text>
    </comment>
    <comment ref="W12" authorId="0" shapeId="0" xr:uid="{00000000-0006-0000-0100-000006000000}">
      <text>
        <r>
          <rPr>
            <sz val="10"/>
            <rFont val="Arial"/>
            <family val="2"/>
          </rPr>
          <t>Recomendación automática; úsala como punto de partida.</t>
        </r>
      </text>
    </comment>
  </commentList>
</comments>
</file>

<file path=xl/sharedStrings.xml><?xml version="1.0" encoding="utf-8"?>
<sst xmlns="http://schemas.openxmlformats.org/spreadsheetml/2006/main" count="255" uniqueCount="183">
  <si>
    <t>Mapa de stakeholders</t>
  </si>
  <si>
    <t>Ficha del proyecto</t>
  </si>
  <si>
    <t>Total stakeholders</t>
  </si>
  <si>
    <t>Prioridad crítica</t>
  </si>
  <si>
    <t>Bloqueadores</t>
  </si>
  <si>
    <t>Seguimientos vencidos</t>
  </si>
  <si>
    <t>Proyecto</t>
  </si>
  <si>
    <t>Proyecto Faro - kioscos de autocobro + app de fidelización para una red de librerías</t>
  </si>
  <si>
    <t>Objetivo</t>
  </si>
  <si>
    <t>Reducir colas en caja, captar datos útiles y elevar la recurrencia sin deteriorar la experiencia en tienda.</t>
  </si>
  <si>
    <t>Sponsor</t>
  </si>
  <si>
    <t>Dirección General</t>
  </si>
  <si>
    <t>Fase</t>
  </si>
  <si>
    <t>Piloto en 8 tiendas</t>
  </si>
  <si>
    <t>Última revisión</t>
  </si>
  <si>
    <t>Capacidad actual</t>
  </si>
  <si>
    <t>25 stakeholders</t>
  </si>
  <si>
    <t>PODER / Influencia</t>
  </si>
  <si>
    <t>Gestionar de cerca</t>
  </si>
  <si>
    <t>Mantener satisfecho</t>
  </si>
  <si>
    <t>Alta influencia + alto interés. Atención frecuente, validación y gestión directa.</t>
  </si>
  <si>
    <t>Alta influencia + interés más bajo. Mantén confianza sin saturar.</t>
  </si>
  <si>
    <t>Mayor interés</t>
  </si>
  <si>
    <t>Menor interés</t>
  </si>
  <si>
    <t>Mantener informado</t>
  </si>
  <si>
    <t>Monitorear</t>
  </si>
  <si>
    <t>Interés alto + menor poder. Clave para adopción, feedback y señales tempranas.</t>
  </si>
  <si>
    <t>Baja influencia + menor interés. Seguimiento ligero y escucha pasiva.</t>
  </si>
  <si>
    <t>Menor poder</t>
  </si>
  <si>
    <t>Radar de atención</t>
  </si>
  <si>
    <t>Rank</t>
  </si>
  <si>
    <t>Stakeholder</t>
  </si>
  <si>
    <t>Score</t>
  </si>
  <si>
    <t>Cuadrante</t>
  </si>
  <si>
    <t>Estado</t>
  </si>
  <si>
    <t>Próxima acción</t>
  </si>
  <si>
    <t>Cómo usarla</t>
  </si>
  <si>
    <t>1) Edita la hoja Registro y ajusta Poder / Interés / Impacto / Riesgo en escala 1-5.</t>
  </si>
  <si>
    <t>2) El mapa se recoloca solo por cuadrante y el radar prioriza automáticamente los casos más sensibles.</t>
  </si>
  <si>
    <t>3) La brecha de apoyo compara la posición actual con la posición objetivo para orientar el esfuerzo de engagement.</t>
  </si>
  <si>
    <t>Referencias consultadas para la lógica de la plantilla</t>
  </si>
  <si>
    <t>https://es.smartsheet.com/free-stakeholder-analysis-templates</t>
  </si>
  <si>
    <t>https://www.smartsheet.com/content/stakeholder-mapping-template</t>
  </si>
  <si>
    <t>https://www.projectmanager.com/templates/stakeholder-map-template</t>
  </si>
  <si>
    <t>https://asana.com/es/templates/stakeholder-register</t>
  </si>
  <si>
    <t>https://phii.org/wp-content/uploads/2021/07/MT-Stakeholder-Analysis-Workbook.xlsx</t>
  </si>
  <si>
    <t>https://www.treasury.govt.nz/sites/default/files/2020-09/stakeholder-analysis-tool.xlsx</t>
  </si>
  <si>
    <t>Registro de stakeholders</t>
  </si>
  <si>
    <t>Completa o sustituye las filas 13-37. Los campos calculados se actualizan solos. Escala 1-5: 1 = bajo, 5 = alto. Filtra y ordena desde esta hoja.</t>
  </si>
  <si>
    <t>1-5</t>
  </si>
  <si>
    <t>Poder / interés / impacto / riesgo</t>
  </si>
  <si>
    <t>Apoyo</t>
  </si>
  <si>
    <t>Muy en contra -&gt; Patrocinador</t>
  </si>
  <si>
    <t>Uso</t>
  </si>
  <si>
    <t>Filtra por prioridad, owner o cuadrante</t>
  </si>
  <si>
    <t>ID</t>
  </si>
  <si>
    <t>Tipo</t>
  </si>
  <si>
    <t>Grupo</t>
  </si>
  <si>
    <t>Rol / relación</t>
  </si>
  <si>
    <t>Qué le importa</t>
  </si>
  <si>
    <t>Poder (1-5)</t>
  </si>
  <si>
    <t>Interés (1-5)</t>
  </si>
  <si>
    <t>Impacto (1-5)</t>
  </si>
  <si>
    <t>Apoyo actual</t>
  </si>
  <si>
    <t>Apoyo objetivo</t>
  </si>
  <si>
    <t>Riesgo resistencia (1-5)</t>
  </si>
  <si>
    <t>Owner interno</t>
  </si>
  <si>
    <t>Canal preferente</t>
  </si>
  <si>
    <t>Cadencia sugerida</t>
  </si>
  <si>
    <t>Fecha próxima acción</t>
  </si>
  <si>
    <t>Estado seguimiento</t>
  </si>
  <si>
    <t>Score prioridad</t>
  </si>
  <si>
    <t>Prioridad</t>
  </si>
  <si>
    <t>Brecha apoyo</t>
  </si>
  <si>
    <t>Estrategia recomendada</t>
  </si>
  <si>
    <t>Notas</t>
  </si>
  <si>
    <t>_apoyo_actual_num</t>
  </si>
  <si>
    <t>_apoyo_objetivo_num</t>
  </si>
  <si>
    <t>_orden_cuadrante</t>
  </si>
  <si>
    <t>_clave_cuadrante</t>
  </si>
  <si>
    <t>_rank_global</t>
  </si>
  <si>
    <t>Interno</t>
  </si>
  <si>
    <t>Comité ejecutivo</t>
  </si>
  <si>
    <t>Sponsor del piloto</t>
  </si>
  <si>
    <t>ROI, velocidad de implantación y reputación de marca</t>
  </si>
  <si>
    <t>Patrocinador</t>
  </si>
  <si>
    <t>PMO Transformación</t>
  </si>
  <si>
    <t>Comité</t>
  </si>
  <si>
    <t>Validar criterios de éxito del piloto</t>
  </si>
  <si>
    <t>Franquiciados / propietarios</t>
  </si>
  <si>
    <t>Externo</t>
  </si>
  <si>
    <t>Red de tiendas</t>
  </si>
  <si>
    <t>Deciden adopción y ritmo real de despliegue</t>
  </si>
  <si>
    <t>Rentabilidad por tienda, complejidad operativa y tiempo de formación</t>
  </si>
  <si>
    <t>Neutral</t>
  </si>
  <si>
    <t>A favor</t>
  </si>
  <si>
    <t>Dirección de Expansión</t>
  </si>
  <si>
    <t>Reunión 1:1</t>
  </si>
  <si>
    <t>Alinear modelo económico por tienda</t>
  </si>
  <si>
    <t>Dirección de Operaciones</t>
  </si>
  <si>
    <t>Operaciones</t>
  </si>
  <si>
    <t>Responsable de procesos en tienda</t>
  </si>
  <si>
    <t>Colas, productividad, incidencias y cumplimiento de SLA</t>
  </si>
  <si>
    <t>Cerrar flujo operativo final</t>
  </si>
  <si>
    <t>Equipos de tienda</t>
  </si>
  <si>
    <t>Retail</t>
  </si>
  <si>
    <t>Usan el sistema cada día</t>
  </si>
  <si>
    <t>Carga de trabajo, errores de cobro y atención al cliente</t>
  </si>
  <si>
    <t>En contra</t>
  </si>
  <si>
    <t>Operaciones Retail</t>
  </si>
  <si>
    <t>Taller</t>
  </si>
  <si>
    <t>Sesión de escucha + demo en tienda piloto</t>
  </si>
  <si>
    <t>Clientes frecuentes</t>
  </si>
  <si>
    <t>Clientes</t>
  </si>
  <si>
    <t>Usuarios intensivos del programa de fidelización</t>
  </si>
  <si>
    <t>Rapidez, privacidad y facilidad de uso</t>
  </si>
  <si>
    <t>Marketing CRM</t>
  </si>
  <si>
    <t>Encuesta / feedback</t>
  </si>
  <si>
    <t>Probar prototipo de app con 20 usuarios</t>
  </si>
  <si>
    <t>Departamento TI</t>
  </si>
  <si>
    <t>Tecnología</t>
  </si>
  <si>
    <t>Integra kioscos, TPV y CRM</t>
  </si>
  <si>
    <t>Arquitectura, seguridad, deuda técnica y soporte</t>
  </si>
  <si>
    <t>CTO Office</t>
  </si>
  <si>
    <t>Aprobar plan de integración con TPV</t>
  </si>
  <si>
    <t>Proveedor de kioscos</t>
  </si>
  <si>
    <t>Proveedor</t>
  </si>
  <si>
    <t>Suministra hardware y mantenimiento</t>
  </si>
  <si>
    <t>Volumen, alcance contractual y estabilidad del piloto</t>
  </si>
  <si>
    <t>Compras + TI</t>
  </si>
  <si>
    <t>Llamada</t>
  </si>
  <si>
    <t>Confirmar calendario de instalación</t>
  </si>
  <si>
    <t>Marketing</t>
  </si>
  <si>
    <t>Define journeys y activaciones</t>
  </si>
  <si>
    <t>Captación de datos, recurrencia y segmentación</t>
  </si>
  <si>
    <t>CMO Office</t>
  </si>
  <si>
    <t>Dashboard</t>
  </si>
  <si>
    <t>Diseñar campaña de onboarding</t>
  </si>
  <si>
    <t>Finanzas</t>
  </si>
  <si>
    <t>Valida CAPEX / OPEX y payback</t>
  </si>
  <si>
    <t>Margen, amortización y costes ocultos</t>
  </si>
  <si>
    <t>Email ejecutivo</t>
  </si>
  <si>
    <t>Revisar business case tienda a tienda</t>
  </si>
  <si>
    <t>Protección de datos (DPO)</t>
  </si>
  <si>
    <t>Legal</t>
  </si>
  <si>
    <t>Supervisa tratamiento de datos de clientes</t>
  </si>
  <si>
    <t>Consentimiento, minimización de datos y trazabilidad</t>
  </si>
  <si>
    <t>Legal &amp; Compliance</t>
  </si>
  <si>
    <t>Revisar base legal y textos de consentimiento</t>
  </si>
  <si>
    <t>Editoriales clave</t>
  </si>
  <si>
    <t>Partners</t>
  </si>
  <si>
    <t>Aportan campañas y novedades exclusivas</t>
  </si>
  <si>
    <t>Visibilidad de catálogo y promociones</t>
  </si>
  <si>
    <t>Marketing Trade</t>
  </si>
  <si>
    <t>Compartir propuesta de campañas conjuntas</t>
  </si>
  <si>
    <t>Comité de empresa</t>
  </si>
  <si>
    <t>Relaciones laborales</t>
  </si>
  <si>
    <t>Puede amplificar resistencia o facilitar acuerdo</t>
  </si>
  <si>
    <t>Impacto en puestos, formación y cambios de tareas</t>
  </si>
  <si>
    <t>RR. HH.</t>
  </si>
  <si>
    <t>Abrir mesa específica de impacto laboral</t>
  </si>
  <si>
    <t>Agencia de accesibilidad digital</t>
  </si>
  <si>
    <t>Compliance UX</t>
  </si>
  <si>
    <t>Evalúa la accesibilidad de app y kioscos</t>
  </si>
  <si>
    <t>Cumplimiento, inclusividad y correcciones tempranas</t>
  </si>
  <si>
    <t>UX Lead</t>
  </si>
  <si>
    <t>Demo / visita</t>
  </si>
  <si>
    <t>Test de accesibilidad del flujo completo</t>
  </si>
  <si>
    <t>Soporte técnico tiendas</t>
  </si>
  <si>
    <t>Soporte</t>
  </si>
  <si>
    <t>Absorbe incidencias de primera línea</t>
  </si>
  <si>
    <t>Carga de tickets, documentación y troubleshooting</t>
  </si>
  <si>
    <t>Service Desk</t>
  </si>
  <si>
    <t>Crear guía rápida de resolución</t>
  </si>
  <si>
    <t>Club de lectura premium</t>
  </si>
  <si>
    <t>Comunidad</t>
  </si>
  <si>
    <t>Embajadores naturales si la experiencia funciona</t>
  </si>
  <si>
    <t>Beneficios exclusivos y experiencia fluida</t>
  </si>
  <si>
    <t>Piloto de beneficios exclusivos en app</t>
  </si>
  <si>
    <t>Valor</t>
  </si>
  <si>
    <t>Canal</t>
  </si>
  <si>
    <t>Muy en contra</t>
  </si>
  <si>
    <t>Newsletter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</si>
</sst>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b/>
      <sz val="16"/>
      <color rgb="FFFFFFFF"/>
      <name val="Cambria"/>
      <charset val="1"/>
    </font>
    <font>
      <b/>
      <sz val="11"/>
      <color rgb="FF121528"/>
      <name val="Cambria"/>
      <charset val="1"/>
    </font>
    <font>
      <b/>
      <sz val="9"/>
      <color rgb="FF666666"/>
      <name val="Cambria"/>
      <charset val="1"/>
    </font>
    <font>
      <sz val="10"/>
      <color rgb="FF1F2430"/>
      <name val="Cambria"/>
      <charset val="1"/>
    </font>
    <font>
      <b/>
      <sz val="18"/>
      <color rgb="FF121528"/>
      <name val="Cambria"/>
      <charset val="1"/>
    </font>
    <font>
      <sz val="9"/>
      <color rgb="FF666666"/>
      <name val="Cambria"/>
      <charset val="1"/>
    </font>
    <font>
      <sz val="9"/>
      <color rgb="FF1F2430"/>
      <name val="Cambria"/>
      <charset val="1"/>
    </font>
    <font>
      <b/>
      <sz val="11"/>
      <color rgb="FFFFFFFF"/>
      <name val="Cambria"/>
      <charset val="1"/>
    </font>
    <font>
      <u/>
      <sz val="9"/>
      <color rgb="FF1F4E79"/>
      <name val="Cambria"/>
      <charset val="1"/>
    </font>
    <font>
      <b/>
      <sz val="10"/>
      <color rgb="FFFFFFFF"/>
      <name val="Cambria"/>
      <charset val="1"/>
    </font>
    <font>
      <b/>
      <sz val="8"/>
      <color rgb="FFFFFFFF"/>
      <name val="Cambria"/>
      <charset val="1"/>
    </font>
  </fonts>
  <fills count="18">
    <fill>
      <patternFill patternType="none"/>
    </fill>
    <fill>
      <patternFill patternType="gray125"/>
    </fill>
    <fill>
      <patternFill patternType="solid">
        <fgColor rgb="FF121528"/>
        <bgColor rgb="FF1F2430"/>
      </patternFill>
    </fill>
    <fill>
      <patternFill patternType="solid">
        <fgColor rgb="FFEEECE1"/>
        <bgColor rgb="FFEAF1DD"/>
      </patternFill>
    </fill>
    <fill>
      <patternFill patternType="solid">
        <fgColor rgb="FFF7F5EF"/>
        <bgColor rgb="FFF5F4F0"/>
      </patternFill>
    </fill>
    <fill>
      <patternFill patternType="solid">
        <fgColor rgb="FFFFFFFF"/>
        <bgColor rgb="FFFCFCFC"/>
      </patternFill>
    </fill>
    <fill>
      <patternFill patternType="solid">
        <fgColor rgb="FFFDE9D9"/>
        <bgColor rgb="FFFCE4D6"/>
      </patternFill>
    </fill>
    <fill>
      <patternFill patternType="solid">
        <fgColor rgb="FFEAF1DD"/>
        <bgColor rgb="FFEEECE1"/>
      </patternFill>
    </fill>
    <fill>
      <patternFill patternType="solid">
        <fgColor rgb="FFFCFCFC"/>
        <bgColor rgb="FFFBFBFC"/>
      </patternFill>
    </fill>
    <fill>
      <patternFill patternType="solid">
        <fgColor rgb="FFF8F8F8"/>
        <bgColor rgb="FFF5F6F8"/>
      </patternFill>
    </fill>
    <fill>
      <patternFill patternType="solid">
        <fgColor rgb="FFDCE6F1"/>
        <bgColor rgb="FFD9EAD3"/>
      </patternFill>
    </fill>
    <fill>
      <patternFill patternType="solid">
        <fgColor rgb="FFF2F2F2"/>
        <bgColor rgb="FFF3F4F7"/>
      </patternFill>
    </fill>
    <fill>
      <patternFill patternType="solid">
        <fgColor rgb="FFF5F6F8"/>
        <bgColor rgb="FFF3F4F7"/>
      </patternFill>
    </fill>
    <fill>
      <patternFill patternType="solid">
        <fgColor rgb="FF2B314F"/>
        <bgColor rgb="FF1F2430"/>
      </patternFill>
    </fill>
    <fill>
      <patternFill patternType="solid">
        <fgColor rgb="FFFBFBFC"/>
        <bgColor rgb="FFFCFCFC"/>
      </patternFill>
    </fill>
    <fill>
      <patternFill patternType="solid">
        <fgColor rgb="FFF3F4F7"/>
        <bgColor rgb="FFF5F6F8"/>
      </patternFill>
    </fill>
    <fill>
      <patternFill patternType="solid">
        <fgColor rgb="FFF5F4F0"/>
        <bgColor rgb="FFF7F5EF"/>
      </patternFill>
    </fill>
    <fill>
      <patternFill patternType="solid">
        <fgColor theme="8" tint="0.79998168889431442"/>
        <bgColor rgb="FFFCFCFC"/>
      </patternFill>
    </fill>
  </fills>
  <borders count="14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thin">
        <color rgb="FFD0D0D0"/>
      </bottom>
      <diagonal/>
    </border>
    <border>
      <left style="medium">
        <color rgb="FF121528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rgb="FFD0D0D0"/>
      </left>
      <right style="medium">
        <color rgb="FF121528"/>
      </right>
      <top style="thin">
        <color rgb="FFD0D0D0"/>
      </top>
      <bottom style="thin">
        <color rgb="FFD0D0D0"/>
      </bottom>
      <diagonal/>
    </border>
    <border>
      <left style="medium">
        <color rgb="FF121528"/>
      </left>
      <right style="medium">
        <color rgb="FF121528"/>
      </right>
      <top style="thin">
        <color rgb="FFD0D0D0"/>
      </top>
      <bottom style="medium">
        <color rgb="FF121528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medium">
        <color rgb="FF121528"/>
      </left>
      <right style="thin">
        <color rgb="FFD0D0D0"/>
      </right>
      <top style="thin">
        <color rgb="FFD0D0D0"/>
      </top>
      <bottom style="medium">
        <color rgb="FF121528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medium">
        <color rgb="FF121528"/>
      </bottom>
      <diagonal/>
    </border>
    <border>
      <left style="thin">
        <color rgb="FFD0D0D0"/>
      </left>
      <right style="medium">
        <color rgb="FF121528"/>
      </right>
      <top style="thin">
        <color rgb="FFD0D0D0"/>
      </top>
      <bottom style="medium">
        <color rgb="FF121528"/>
      </bottom>
      <diagonal/>
    </border>
    <border>
      <left style="medium">
        <color rgb="FF121528"/>
      </left>
      <right style="thin">
        <color rgb="FFD0D0D0"/>
      </right>
      <top style="medium">
        <color rgb="FF121528"/>
      </top>
      <bottom style="thin">
        <color rgb="FFD0D0D0"/>
      </bottom>
      <diagonal/>
    </border>
    <border>
      <left style="thin">
        <color rgb="FFD0D0D0"/>
      </left>
      <right style="medium">
        <color rgb="FF121528"/>
      </right>
      <top style="medium">
        <color rgb="FF121528"/>
      </top>
      <bottom style="thin">
        <color rgb="FFD0D0D0"/>
      </bottom>
      <diagonal/>
    </border>
    <border>
      <left style="medium">
        <color rgb="FF121528"/>
      </left>
      <right style="medium">
        <color rgb="FF121528"/>
      </right>
      <top style="thin">
        <color rgb="FFD0D0D0"/>
      </top>
      <bottom style="thin">
        <color rgb="FFD0D0D0"/>
      </bottom>
      <diagonal/>
    </border>
    <border>
      <left/>
      <right/>
      <top/>
      <bottom style="thin">
        <color rgb="FFD0D0D0"/>
      </bottom>
      <diagonal/>
    </border>
    <border>
      <left/>
      <right/>
      <top/>
      <bottom style="medium">
        <color rgb="FF121528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3" fillId="10" borderId="9" xfId="1" applyFont="1" applyFill="1" applyBorder="1" applyAlignment="1">
      <alignment horizontal="left" vertical="center" wrapText="1"/>
    </xf>
    <xf numFmtId="0" fontId="8" fillId="9" borderId="4" xfId="1" applyFont="1" applyFill="1" applyBorder="1" applyAlignment="1">
      <alignment horizontal="center" vertical="center" wrapText="1"/>
    </xf>
    <xf numFmtId="0" fontId="5" fillId="5" borderId="11" xfId="1" applyFont="1" applyFill="1" applyBorder="1" applyAlignment="1">
      <alignment horizontal="left" vertical="center" wrapText="1"/>
    </xf>
    <xf numFmtId="0" fontId="7" fillId="8" borderId="11" xfId="1" applyFont="1" applyFill="1" applyBorder="1" applyAlignment="1">
      <alignment horizontal="left" vertical="center" wrapText="1"/>
    </xf>
    <xf numFmtId="0" fontId="3" fillId="7" borderId="9" xfId="1" applyFont="1" applyFill="1" applyBorder="1" applyAlignment="1">
      <alignment horizontal="left" vertical="center" wrapText="1"/>
    </xf>
    <xf numFmtId="0" fontId="3" fillId="6" borderId="9" xfId="1" applyFont="1" applyFill="1" applyBorder="1" applyAlignment="1">
      <alignment horizontal="left" vertical="center" wrapText="1"/>
    </xf>
    <xf numFmtId="0" fontId="5" fillId="5" borderId="8" xfId="1" applyFont="1" applyFill="1" applyBorder="1" applyAlignment="1">
      <alignment horizontal="left" vertical="center" wrapText="1"/>
    </xf>
    <xf numFmtId="14" fontId="5" fillId="5" borderId="7" xfId="1" applyNumberFormat="1" applyFont="1" applyFill="1" applyBorder="1" applyAlignment="1">
      <alignment horizontal="left" vertical="center" wrapText="1"/>
    </xf>
    <xf numFmtId="0" fontId="5" fillId="5" borderId="5" xfId="1" applyFont="1" applyFill="1" applyBorder="1" applyAlignment="1">
      <alignment horizontal="left" vertical="center" wrapText="1"/>
    </xf>
    <xf numFmtId="0" fontId="5" fillId="5" borderId="3" xfId="1" applyFont="1" applyFill="1" applyBorder="1" applyAlignment="1">
      <alignment horizontal="lef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center" wrapText="1"/>
    </xf>
    <xf numFmtId="0" fontId="3" fillId="4" borderId="2" xfId="1" applyFont="1" applyFill="1" applyBorder="1" applyAlignment="1">
      <alignment horizontal="left" vertical="center" wrapText="1"/>
    </xf>
    <xf numFmtId="0" fontId="3" fillId="4" borderId="5" xfId="1" applyFont="1" applyFill="1" applyBorder="1" applyAlignment="1">
      <alignment horizontal="left" vertical="center" wrapText="1"/>
    </xf>
    <xf numFmtId="0" fontId="3" fillId="4" borderId="6" xfId="1" applyFont="1" applyFill="1" applyBorder="1" applyAlignment="1">
      <alignment horizontal="left" vertical="center" wrapText="1"/>
    </xf>
    <xf numFmtId="0" fontId="3" fillId="4" borderId="7" xfId="1" applyFont="1" applyFill="1" applyBorder="1" applyAlignment="1">
      <alignment horizontal="left" vertical="center" wrapText="1"/>
    </xf>
    <xf numFmtId="0" fontId="3" fillId="0" borderId="0" xfId="1" applyFont="1"/>
    <xf numFmtId="0" fontId="3" fillId="6" borderId="10" xfId="1" applyFont="1" applyFill="1" applyBorder="1" applyAlignment="1">
      <alignment horizontal="center" vertical="center" wrapText="1"/>
    </xf>
    <xf numFmtId="0" fontId="3" fillId="7" borderId="10" xfId="1" applyFont="1" applyFill="1" applyBorder="1" applyAlignment="1">
      <alignment horizontal="center" vertical="center" wrapText="1"/>
    </xf>
    <xf numFmtId="0" fontId="7" fillId="0" borderId="0" xfId="1" applyFont="1"/>
    <xf numFmtId="0" fontId="3" fillId="10" borderId="10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3" fillId="12" borderId="0" xfId="1" applyFont="1" applyFill="1" applyAlignment="1">
      <alignment horizontal="left" vertical="center" wrapText="1"/>
    </xf>
    <xf numFmtId="0" fontId="1" fillId="12" borderId="0" xfId="1" applyFill="1" applyAlignment="1">
      <alignment horizontal="left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12" fillId="13" borderId="13" xfId="1" applyFont="1" applyFill="1" applyBorder="1" applyAlignment="1">
      <alignment horizontal="center" vertical="center" wrapText="1"/>
    </xf>
    <xf numFmtId="0" fontId="5" fillId="14" borderId="12" xfId="1" applyFont="1" applyFill="1" applyBorder="1" applyAlignment="1">
      <alignment horizontal="center" vertical="center" wrapText="1"/>
    </xf>
    <xf numFmtId="0" fontId="5" fillId="4" borderId="12" xfId="1" applyFont="1" applyFill="1" applyBorder="1" applyAlignment="1">
      <alignment horizontal="left" vertical="center" wrapText="1"/>
    </xf>
    <xf numFmtId="0" fontId="5" fillId="4" borderId="12" xfId="1" applyFont="1" applyFill="1" applyBorder="1" applyAlignment="1">
      <alignment horizontal="center" vertical="center" wrapText="1"/>
    </xf>
    <xf numFmtId="0" fontId="5" fillId="5" borderId="12" xfId="1" applyFont="1" applyFill="1" applyBorder="1" applyAlignment="1">
      <alignment horizontal="left" vertical="center" wrapText="1"/>
    </xf>
    <xf numFmtId="14" fontId="5" fillId="4" borderId="12" xfId="1" applyNumberFormat="1" applyFont="1" applyFill="1" applyBorder="1" applyAlignment="1">
      <alignment horizontal="center" vertical="center" wrapText="1"/>
    </xf>
    <xf numFmtId="0" fontId="5" fillId="5" borderId="12" xfId="1" applyFont="1" applyFill="1" applyBorder="1" applyAlignment="1">
      <alignment horizontal="center" vertical="center" wrapText="1"/>
    </xf>
    <xf numFmtId="1" fontId="5" fillId="5" borderId="12" xfId="1" applyNumberFormat="1" applyFont="1" applyFill="1" applyBorder="1" applyAlignment="1">
      <alignment horizontal="center" vertical="center" wrapText="1"/>
    </xf>
    <xf numFmtId="0" fontId="8" fillId="15" borderId="0" xfId="1" applyFont="1" applyFill="1"/>
    <xf numFmtId="0" fontId="5" fillId="16" borderId="12" xfId="1" applyFont="1" applyFill="1" applyBorder="1" applyAlignment="1">
      <alignment horizontal="center" vertical="center" wrapText="1"/>
    </xf>
    <xf numFmtId="0" fontId="3" fillId="11" borderId="9" xfId="1" applyFont="1" applyFill="1" applyBorder="1" applyAlignment="1">
      <alignment horizontal="left" vertical="center" wrapText="1"/>
    </xf>
    <xf numFmtId="0" fontId="9" fillId="2" borderId="0" xfId="1" applyFont="1" applyFill="1" applyAlignment="1">
      <alignment horizontal="left" vertical="center" wrapText="1"/>
    </xf>
    <xf numFmtId="0" fontId="3" fillId="3" borderId="0" xfId="1" applyFont="1" applyFill="1" applyAlignment="1">
      <alignment horizontal="center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3" fillId="0" borderId="0" xfId="1" applyFont="1"/>
    <xf numFmtId="0" fontId="10" fillId="0" borderId="0" xfId="1" applyFont="1" applyAlignment="1">
      <alignment horizontal="left" vertical="center" wrapText="1"/>
    </xf>
    <xf numFmtId="0" fontId="5" fillId="3" borderId="0" xfId="1" applyFont="1" applyFill="1" applyAlignment="1">
      <alignment horizontal="left" vertical="top" wrapText="1"/>
    </xf>
    <xf numFmtId="0" fontId="6" fillId="17" borderId="4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6000000}"/>
  </cellStyles>
  <dxfs count="17">
    <dxf>
      <fill>
        <patternFill>
          <bgColor rgb="FFE2F0D9"/>
        </patternFill>
      </fill>
    </dxf>
    <dxf>
      <fill>
        <patternFill>
          <bgColor rgb="FFFFF2CC"/>
        </patternFill>
      </fill>
    </dxf>
    <dxf>
      <font>
        <b/>
        <color rgb="FF9C5700"/>
      </font>
      <fill>
        <patternFill>
          <bgColor rgb="FFFCE4D6"/>
        </patternFill>
      </fill>
    </dxf>
    <dxf>
      <font>
        <b/>
        <color rgb="FF9C0006"/>
      </font>
      <fill>
        <patternFill>
          <bgColor rgb="FFF4CCCC"/>
        </patternFill>
      </fill>
    </dxf>
    <dxf>
      <fill>
        <patternFill>
          <bgColor rgb="FFD9EAD3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F4CCCC"/>
        </patternFill>
      </fill>
    </dxf>
    <dxf>
      <fill>
        <patternFill>
          <bgColor rgb="FFF8D7DA"/>
        </patternFill>
      </fill>
    </dxf>
    <dxf>
      <fill>
        <patternFill>
          <bgColor rgb="FFFCE5CD"/>
        </patternFill>
      </fill>
    </dxf>
    <dxf>
      <fill>
        <patternFill>
          <bgColor rgb="FFE2F0D9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8D7DA"/>
        </patternFill>
      </fill>
    </dxf>
    <dxf>
      <fill>
        <patternFill>
          <bgColor rgb="FFFCE5CD"/>
        </patternFill>
      </fill>
    </dxf>
    <dxf>
      <fill>
        <patternFill>
          <bgColor rgb="FFE2F0D9"/>
        </patternFill>
      </fill>
    </dxf>
    <dxf>
      <fill>
        <patternFill>
          <bgColor rgb="FFD9EAD3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DE9D9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D9EAD3"/>
      <rgbColor rgb="FF808080"/>
      <rgbColor rgb="FFF2F2F2"/>
      <rgbColor rgb="FF993366"/>
      <rgbColor rgb="FFFFF2CC"/>
      <rgbColor rgb="FFDCE6F1"/>
      <rgbColor rgb="FF660066"/>
      <rgbColor rgb="FFF5F6F8"/>
      <rgbColor rgb="FF0066CC"/>
      <rgbColor rgb="FFD0D0D0"/>
      <rgbColor rgb="FF000080"/>
      <rgbColor rgb="FFFF00FF"/>
      <rgbColor rgb="FFF7F5EF"/>
      <rgbColor rgb="FF00FFFF"/>
      <rgbColor rgb="FF800080"/>
      <rgbColor rgb="FF800000"/>
      <rgbColor rgb="FF008080"/>
      <rgbColor rgb="FF0000FF"/>
      <rgbColor rgb="FF00CCFF"/>
      <rgbColor rgb="FFEAF1DD"/>
      <rgbColor rgb="FFE2F0D9"/>
      <rgbColor rgb="FFFCE5CD"/>
      <rgbColor rgb="FFEEECE1"/>
      <rgbColor rgb="FFF8D7DA"/>
      <rgbColor rgb="FFFCE4D6"/>
      <rgbColor rgb="FFF4CCCC"/>
      <rgbColor rgb="FF3366FF"/>
      <rgbColor rgb="FFFCFCFC"/>
      <rgbColor rgb="FFF8F8F8"/>
      <rgbColor rgb="FFF5F4F0"/>
      <rgbColor rgb="FFFBFBFC"/>
      <rgbColor rgb="FFFF6600"/>
      <rgbColor rgb="FF666666"/>
      <rgbColor rgb="FFF3F4F7"/>
      <rgbColor rgb="FF003366"/>
      <rgbColor rgb="FF339966"/>
      <rgbColor rgb="FF121528"/>
      <rgbColor rgb="FF1F2430"/>
      <rgbColor rgb="FF9C5700"/>
      <rgbColor rgb="FF993366"/>
      <rgbColor rgb="FF1F4E79"/>
      <rgbColor rgb="FF2B314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showGridLines="0" tabSelected="1" zoomScaleNormal="100" workbookViewId="0">
      <selection activeCell="V27" sqref="V27"/>
    </sheetView>
  </sheetViews>
  <sheetFormatPr baseColWidth="10" defaultColWidth="8.7109375" defaultRowHeight="12.75" x14ac:dyDescent="0.2"/>
  <cols>
    <col min="1" max="1" width="20.42578125" bestFit="1" customWidth="1"/>
    <col min="2" max="3" width="14" customWidth="1"/>
    <col min="4" max="4" width="11.5703125" bestFit="1" customWidth="1"/>
    <col min="5" max="6" width="14" customWidth="1"/>
    <col min="7" max="7" width="2.5703125" bestFit="1" customWidth="1"/>
    <col min="8" max="8" width="11.42578125" bestFit="1" customWidth="1"/>
    <col min="9" max="10" width="14" customWidth="1"/>
    <col min="11" max="11" width="8" bestFit="1" customWidth="1"/>
    <col min="12" max="12" width="14.7109375" customWidth="1"/>
    <col min="13" max="13" width="19.42578125" customWidth="1"/>
    <col min="14" max="14" width="2.5703125" bestFit="1" customWidth="1"/>
  </cols>
  <sheetData>
    <row r="1" spans="1:14" x14ac:dyDescent="0.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4" spans="1:14" ht="23.25" customHeight="1" x14ac:dyDescent="0.2">
      <c r="A4" s="12" t="s">
        <v>1</v>
      </c>
      <c r="B4" s="12"/>
      <c r="C4" s="12"/>
      <c r="D4" s="12"/>
      <c r="E4" s="12"/>
      <c r="F4" s="12"/>
      <c r="G4" s="11" t="s">
        <v>2</v>
      </c>
      <c r="H4" s="11"/>
      <c r="I4" s="11" t="s">
        <v>3</v>
      </c>
      <c r="J4" s="11"/>
      <c r="K4" s="11" t="s">
        <v>4</v>
      </c>
      <c r="L4" s="11"/>
      <c r="M4" s="11" t="s">
        <v>5</v>
      </c>
      <c r="N4" s="11"/>
    </row>
    <row r="5" spans="1:14" ht="14.25" x14ac:dyDescent="0.2">
      <c r="A5" s="14" t="s">
        <v>6</v>
      </c>
      <c r="B5" s="10" t="s">
        <v>7</v>
      </c>
      <c r="C5" s="10"/>
      <c r="D5" s="10"/>
      <c r="E5" s="10"/>
      <c r="F5" s="10"/>
      <c r="G5" s="47">
        <f>COUNTA(Registro!$B$13:$B$37)</f>
        <v>15</v>
      </c>
      <c r="H5" s="47"/>
      <c r="I5" s="47">
        <f>COUNTIF(Registro!$U$13:$U$37,"Crítica")</f>
        <v>3</v>
      </c>
      <c r="J5" s="47"/>
      <c r="K5" s="47">
        <f>COUNTIF(Registro!$J$13:$J$37,"En contra")+COUNTIF(Registro!$J$13:$J$37,"Muy en contra")</f>
        <v>2</v>
      </c>
      <c r="L5" s="47"/>
      <c r="M5" s="47">
        <f ca="1">COUNTIF(Registro!$R$13:$R$37,"Vencido")</f>
        <v>1</v>
      </c>
      <c r="N5" s="47"/>
    </row>
    <row r="6" spans="1:14" ht="23.25" customHeight="1" x14ac:dyDescent="0.2">
      <c r="A6" s="14" t="s">
        <v>8</v>
      </c>
      <c r="B6" s="10" t="s">
        <v>9</v>
      </c>
      <c r="C6" s="10"/>
      <c r="D6" s="10"/>
      <c r="E6" s="10"/>
      <c r="F6" s="10"/>
      <c r="G6" s="47"/>
      <c r="H6" s="47"/>
      <c r="I6" s="47"/>
      <c r="J6" s="47"/>
      <c r="K6" s="47"/>
      <c r="L6" s="47"/>
      <c r="M6" s="47"/>
      <c r="N6" s="47"/>
    </row>
    <row r="7" spans="1:14" ht="14.25" x14ac:dyDescent="0.2">
      <c r="A7" s="14" t="s">
        <v>10</v>
      </c>
      <c r="B7" s="9" t="s">
        <v>11</v>
      </c>
      <c r="C7" s="9"/>
      <c r="D7" s="15" t="s">
        <v>12</v>
      </c>
      <c r="E7" s="10" t="s">
        <v>13</v>
      </c>
      <c r="F7" s="10"/>
      <c r="G7" s="47"/>
      <c r="H7" s="47"/>
      <c r="I7" s="47"/>
      <c r="J7" s="47"/>
      <c r="K7" s="47"/>
      <c r="L7" s="47"/>
      <c r="M7" s="47"/>
      <c r="N7" s="47"/>
    </row>
    <row r="8" spans="1:14" ht="28.5" x14ac:dyDescent="0.2">
      <c r="A8" s="16" t="s">
        <v>14</v>
      </c>
      <c r="B8" s="8">
        <f ca="1">TODAY()</f>
        <v>46097</v>
      </c>
      <c r="C8" s="8"/>
      <c r="D8" s="17" t="s">
        <v>15</v>
      </c>
      <c r="E8" s="7" t="s">
        <v>16</v>
      </c>
      <c r="F8" s="7"/>
    </row>
    <row r="10" spans="1:14" ht="14.25" x14ac:dyDescent="0.2">
      <c r="A10" s="18" t="s">
        <v>17</v>
      </c>
    </row>
    <row r="11" spans="1:14" ht="20.25" customHeight="1" x14ac:dyDescent="0.2">
      <c r="A11" s="6" t="s">
        <v>18</v>
      </c>
      <c r="B11" s="6"/>
      <c r="C11" s="6"/>
      <c r="D11" s="6"/>
      <c r="E11" s="6"/>
      <c r="F11" s="6"/>
      <c r="G11" s="19">
        <f>COUNTIF(Registro!$S$13:$S$37,"Gestionar de cerca")</f>
        <v>7</v>
      </c>
      <c r="H11" s="5" t="s">
        <v>19</v>
      </c>
      <c r="I11" s="5"/>
      <c r="J11" s="5"/>
      <c r="K11" s="5"/>
      <c r="L11" s="5"/>
      <c r="M11" s="5"/>
      <c r="N11" s="20">
        <f>COUNTIF(Registro!$S$13:$S$37,"Mantener satisfecho")</f>
        <v>1</v>
      </c>
    </row>
    <row r="12" spans="1:14" ht="20.25" customHeight="1" x14ac:dyDescent="0.2">
      <c r="A12" s="4" t="s">
        <v>20</v>
      </c>
      <c r="B12" s="4"/>
      <c r="C12" s="4"/>
      <c r="D12" s="4"/>
      <c r="E12" s="4"/>
      <c r="F12" s="4"/>
      <c r="G12" s="4"/>
      <c r="H12" s="4" t="s">
        <v>21</v>
      </c>
      <c r="I12" s="4"/>
      <c r="J12" s="4"/>
      <c r="K12" s="4"/>
      <c r="L12" s="4"/>
      <c r="M12" s="4"/>
      <c r="N12" s="4"/>
    </row>
    <row r="13" spans="1:14" ht="20.25" customHeight="1" x14ac:dyDescent="0.2">
      <c r="A13" s="3" t="str">
        <f>IFERROR(INDEX(Registro!$A$13:$A$37,MATCH("Gestionar de cerca|1",Registro!$AB$13:$AB$37,0))&amp;". "&amp;INDEX(Registro!$B$13:$B$37,MATCH("Gestionar de cerca|1",Registro!$AB$13:$AB$37,0))&amp;" - "&amp;INDEX(Registro!$U$13:$U$37,MATCH("Gestionar de cerca|1",Registro!$AB$13:$AB$37,0)),"")</f>
        <v>1. Dirección General - Alta</v>
      </c>
      <c r="B13" s="3"/>
      <c r="C13" s="3"/>
      <c r="D13" s="3"/>
      <c r="E13" s="3"/>
      <c r="F13" s="3"/>
      <c r="G13" s="3"/>
      <c r="H13" s="3" t="str">
        <f>IFERROR(INDEX(Registro!$A$13:$A$37,MATCH("Mantener satisfecho|1",Registro!$AB$13:$AB$37,0))&amp;". "&amp;INDEX(Registro!$B$13:$B$37,MATCH("Mantener satisfecho|1",Registro!$AB$13:$AB$37,0))&amp;" - "&amp;INDEX(Registro!$U$13:$U$37,MATCH("Mantener satisfecho|1",Registro!$AB$13:$AB$37,0)),"")</f>
        <v>9. Finanzas - Alta</v>
      </c>
      <c r="I13" s="3"/>
      <c r="J13" s="3"/>
      <c r="K13" s="3"/>
      <c r="L13" s="3"/>
      <c r="M13" s="3"/>
      <c r="N13" s="3"/>
    </row>
    <row r="14" spans="1:14" ht="20.25" customHeight="1" x14ac:dyDescent="0.2">
      <c r="A14" s="3" t="str">
        <f>IFERROR(INDEX(Registro!$A$13:$A$37,MATCH("Gestionar de cerca|2",Registro!$AB$13:$AB$37,0))&amp;". "&amp;INDEX(Registro!$B$13:$B$37,MATCH("Gestionar de cerca|2",Registro!$AB$13:$AB$37,0))&amp;" - "&amp;INDEX(Registro!$U$13:$U$37,MATCH("Gestionar de cerca|2",Registro!$AB$13:$AB$37,0)),"")</f>
        <v>2. Franquiciados / propietarios - Crítica</v>
      </c>
      <c r="B14" s="3"/>
      <c r="C14" s="3"/>
      <c r="D14" s="3"/>
      <c r="E14" s="3"/>
      <c r="F14" s="3"/>
      <c r="G14" s="3"/>
      <c r="H14" s="3" t="str">
        <f>IFERROR(INDEX(Registro!$A$13:$A$37,MATCH("Mantener satisfecho|2",Registro!$AB$13:$AB$37,0))&amp;". "&amp;INDEX(Registro!$B$13:$B$37,MATCH("Mantener satisfecho|2",Registro!$AB$13:$AB$37,0))&amp;" - "&amp;INDEX(Registro!$U$13:$U$37,MATCH("Mantener satisfecho|2",Registro!$AB$13:$AB$37,0)),"")</f>
        <v/>
      </c>
      <c r="I14" s="3"/>
      <c r="J14" s="3"/>
      <c r="K14" s="3"/>
      <c r="L14" s="3"/>
      <c r="M14" s="3"/>
      <c r="N14" s="3"/>
    </row>
    <row r="15" spans="1:14" ht="20.25" customHeight="1" x14ac:dyDescent="0.2">
      <c r="A15" s="3" t="str">
        <f>IFERROR(INDEX(Registro!$A$13:$A$37,MATCH("Gestionar de cerca|3",Registro!$AB$13:$AB$37,0))&amp;". "&amp;INDEX(Registro!$B$13:$B$37,MATCH("Gestionar de cerca|3",Registro!$AB$13:$AB$37,0))&amp;" - "&amp;INDEX(Registro!$U$13:$U$37,MATCH("Gestionar de cerca|3",Registro!$AB$13:$AB$37,0)),"")</f>
        <v>3. Dirección de Operaciones - Alta</v>
      </c>
      <c r="B15" s="3"/>
      <c r="C15" s="3"/>
      <c r="D15" s="3"/>
      <c r="E15" s="3"/>
      <c r="F15" s="3"/>
      <c r="G15" s="3"/>
      <c r="H15" s="3" t="str">
        <f>IFERROR(INDEX(Registro!$A$13:$A$37,MATCH("Mantener satisfecho|3",Registro!$AB$13:$AB$37,0))&amp;". "&amp;INDEX(Registro!$B$13:$B$37,MATCH("Mantener satisfecho|3",Registro!$AB$13:$AB$37,0))&amp;" - "&amp;INDEX(Registro!$U$13:$U$37,MATCH("Mantener satisfecho|3",Registro!$AB$13:$AB$37,0)),"")</f>
        <v/>
      </c>
      <c r="I15" s="3"/>
      <c r="J15" s="3"/>
      <c r="K15" s="3"/>
      <c r="L15" s="3"/>
      <c r="M15" s="3"/>
      <c r="N15" s="3"/>
    </row>
    <row r="16" spans="1:14" ht="20.25" customHeight="1" x14ac:dyDescent="0.2">
      <c r="A16" s="3" t="str">
        <f>IFERROR(INDEX(Registro!$A$13:$A$37,MATCH("Gestionar de cerca|4",Registro!$AB$13:$AB$37,0))&amp;". "&amp;INDEX(Registro!$B$13:$B$37,MATCH("Gestionar de cerca|4",Registro!$AB$13:$AB$37,0))&amp;" - "&amp;INDEX(Registro!$U$13:$U$37,MATCH("Gestionar de cerca|4",Registro!$AB$13:$AB$37,0)),"")</f>
        <v>6. Departamento TI - Alta</v>
      </c>
      <c r="B16" s="3"/>
      <c r="C16" s="3"/>
      <c r="D16" s="3"/>
      <c r="E16" s="3"/>
      <c r="F16" s="3"/>
      <c r="G16" s="3"/>
      <c r="H16" s="3" t="str">
        <f>IFERROR(INDEX(Registro!$A$13:$A$37,MATCH("Mantener satisfecho|4",Registro!$AB$13:$AB$37,0))&amp;". "&amp;INDEX(Registro!$B$13:$B$37,MATCH("Mantener satisfecho|4",Registro!$AB$13:$AB$37,0))&amp;" - "&amp;INDEX(Registro!$U$13:$U$37,MATCH("Mantener satisfecho|4",Registro!$AB$13:$AB$37,0)),"")</f>
        <v/>
      </c>
      <c r="I16" s="3"/>
      <c r="J16" s="3"/>
      <c r="K16" s="3"/>
      <c r="L16" s="3"/>
      <c r="M16" s="3"/>
      <c r="N16" s="3"/>
    </row>
    <row r="17" spans="1:14" ht="20.25" customHeight="1" x14ac:dyDescent="0.2">
      <c r="A17" s="3" t="str">
        <f>IFERROR(INDEX(Registro!$A$13:$A$37,MATCH("Gestionar de cerca|5",Registro!$AB$13:$AB$37,0))&amp;". "&amp;INDEX(Registro!$B$13:$B$37,MATCH("Gestionar de cerca|5",Registro!$AB$13:$AB$37,0))&amp;" - "&amp;INDEX(Registro!$U$13:$U$37,MATCH("Gestionar de cerca|5",Registro!$AB$13:$AB$37,0)),"")</f>
        <v>7. Proveedor de kioscos - Media</v>
      </c>
      <c r="B17" s="3"/>
      <c r="C17" s="3"/>
      <c r="D17" s="3"/>
      <c r="E17" s="3"/>
      <c r="F17" s="3"/>
      <c r="G17" s="3"/>
      <c r="H17" s="3" t="str">
        <f>IFERROR(INDEX(Registro!$A$13:$A$37,MATCH("Mantener satisfecho|5",Registro!$AB$13:$AB$37,0))&amp;". "&amp;INDEX(Registro!$B$13:$B$37,MATCH("Mantener satisfecho|5",Registro!$AB$13:$AB$37,0))&amp;" - "&amp;INDEX(Registro!$U$13:$U$37,MATCH("Mantener satisfecho|5",Registro!$AB$13:$AB$37,0)),"")</f>
        <v/>
      </c>
      <c r="I17" s="3"/>
      <c r="J17" s="3"/>
      <c r="K17" s="3"/>
      <c r="L17" s="3"/>
      <c r="M17" s="3"/>
      <c r="N17" s="3"/>
    </row>
    <row r="18" spans="1:14" ht="20.25" customHeight="1" x14ac:dyDescent="0.2">
      <c r="A18" s="2" t="str">
        <f>IF(G11&gt;5,"+"&amp;(G11-5)&amp;" más en Registro","")</f>
        <v>+2 más en Registro</v>
      </c>
      <c r="B18" s="2"/>
      <c r="C18" s="2"/>
      <c r="D18" s="2"/>
      <c r="E18" s="2"/>
      <c r="F18" s="2"/>
      <c r="G18" s="2"/>
      <c r="H18" s="2" t="str">
        <f>IF(N11&gt;5,"+"&amp;(N11-5)&amp;" más en Registro","")</f>
        <v/>
      </c>
      <c r="I18" s="2"/>
      <c r="J18" s="2"/>
      <c r="K18" s="2"/>
      <c r="L18" s="2"/>
      <c r="M18" s="2"/>
      <c r="N18" s="2"/>
    </row>
    <row r="19" spans="1:14" ht="20.25" customHeight="1" x14ac:dyDescent="0.2">
      <c r="A19" s="21" t="s">
        <v>22</v>
      </c>
      <c r="H19" s="21" t="s">
        <v>23</v>
      </c>
    </row>
    <row r="20" spans="1:14" ht="20.25" customHeight="1" x14ac:dyDescent="0.2">
      <c r="A20" s="1" t="s">
        <v>24</v>
      </c>
      <c r="B20" s="1"/>
      <c r="C20" s="1"/>
      <c r="D20" s="1"/>
      <c r="E20" s="1"/>
      <c r="F20" s="1"/>
      <c r="G20" s="22">
        <f>COUNTIF(Registro!$S$13:$S$37,"Mantener informado")</f>
        <v>6</v>
      </c>
      <c r="H20" s="39" t="s">
        <v>25</v>
      </c>
      <c r="I20" s="39"/>
      <c r="J20" s="39"/>
      <c r="K20" s="39"/>
      <c r="L20" s="39"/>
      <c r="M20" s="39"/>
      <c r="N20" s="23">
        <f>COUNTIF(Registro!$S$13:$S$37,"Monitorear")</f>
        <v>1</v>
      </c>
    </row>
    <row r="21" spans="1:14" ht="20.25" customHeight="1" x14ac:dyDescent="0.2">
      <c r="A21" s="4" t="s">
        <v>26</v>
      </c>
      <c r="B21" s="4"/>
      <c r="C21" s="4"/>
      <c r="D21" s="4"/>
      <c r="E21" s="4"/>
      <c r="F21" s="4"/>
      <c r="G21" s="4"/>
      <c r="H21" s="4" t="s">
        <v>27</v>
      </c>
      <c r="I21" s="4"/>
      <c r="J21" s="4"/>
      <c r="K21" s="4"/>
      <c r="L21" s="4"/>
      <c r="M21" s="4"/>
      <c r="N21" s="4"/>
    </row>
    <row r="22" spans="1:14" ht="20.25" customHeight="1" x14ac:dyDescent="0.2">
      <c r="A22" s="3" t="str">
        <f>IFERROR(INDEX(Registro!$A$13:$A$37,MATCH("Mantener informado|1",Registro!$AB$13:$AB$37,0))&amp;". "&amp;INDEX(Registro!$B$13:$B$37,MATCH("Mantener informado|1",Registro!$AB$13:$AB$37,0))&amp;" - "&amp;INDEX(Registro!$U$13:$U$37,MATCH("Mantener informado|1",Registro!$AB$13:$AB$37,0)),"")</f>
        <v>4. Equipos de tienda - Crítica</v>
      </c>
      <c r="B22" s="3"/>
      <c r="C22" s="3"/>
      <c r="D22" s="3"/>
      <c r="E22" s="3"/>
      <c r="F22" s="3"/>
      <c r="G22" s="3"/>
      <c r="H22" s="3" t="str">
        <f>IFERROR(INDEX(Registro!$A$13:$A$37,MATCH("Monitorear|1",Registro!$AB$13:$AB$37,0))&amp;". "&amp;INDEX(Registro!$B$13:$B$37,MATCH("Monitorear|1",Registro!$AB$13:$AB$37,0))&amp;" - "&amp;INDEX(Registro!$U$13:$U$37,MATCH("Monitorear|1",Registro!$AB$13:$AB$37,0)),"")</f>
        <v>11. Editoriales clave - Baja</v>
      </c>
      <c r="I22" s="3"/>
      <c r="J22" s="3"/>
      <c r="K22" s="3"/>
      <c r="L22" s="3"/>
      <c r="M22" s="3"/>
      <c r="N22" s="3"/>
    </row>
    <row r="23" spans="1:14" ht="20.25" customHeight="1" x14ac:dyDescent="0.2">
      <c r="A23" s="3" t="str">
        <f>IFERROR(INDEX(Registro!$A$13:$A$37,MATCH("Mantener informado|2",Registro!$AB$13:$AB$37,0))&amp;". "&amp;INDEX(Registro!$B$13:$B$37,MATCH("Mantener informado|2",Registro!$AB$13:$AB$37,0))&amp;" - "&amp;INDEX(Registro!$U$13:$U$37,MATCH("Mantener informado|2",Registro!$AB$13:$AB$37,0)),"")</f>
        <v>5. Clientes frecuentes - Media</v>
      </c>
      <c r="B23" s="3"/>
      <c r="C23" s="3"/>
      <c r="D23" s="3"/>
      <c r="E23" s="3"/>
      <c r="F23" s="3"/>
      <c r="G23" s="3"/>
      <c r="H23" s="3" t="str">
        <f>IFERROR(INDEX(Registro!$A$13:$A$37,MATCH("Monitorear|2",Registro!$AB$13:$AB$37,0))&amp;". "&amp;INDEX(Registro!$B$13:$B$37,MATCH("Monitorear|2",Registro!$AB$13:$AB$37,0))&amp;" - "&amp;INDEX(Registro!$U$13:$U$37,MATCH("Monitorear|2",Registro!$AB$13:$AB$37,0)),"")</f>
        <v/>
      </c>
      <c r="I23" s="3"/>
      <c r="J23" s="3"/>
      <c r="K23" s="3"/>
      <c r="L23" s="3"/>
      <c r="M23" s="3"/>
      <c r="N23" s="3"/>
    </row>
    <row r="24" spans="1:14" ht="20.25" customHeight="1" x14ac:dyDescent="0.2">
      <c r="A24" s="3" t="str">
        <f>IFERROR(INDEX(Registro!$A$13:$A$37,MATCH("Mantener informado|3",Registro!$AB$13:$AB$37,0))&amp;". "&amp;INDEX(Registro!$B$13:$B$37,MATCH("Mantener informado|3",Registro!$AB$13:$AB$37,0))&amp;" - "&amp;INDEX(Registro!$U$13:$U$37,MATCH("Mantener informado|3",Registro!$AB$13:$AB$37,0)),"")</f>
        <v>8. Marketing CRM - Media</v>
      </c>
      <c r="B24" s="3"/>
      <c r="C24" s="3"/>
      <c r="D24" s="3"/>
      <c r="E24" s="3"/>
      <c r="F24" s="3"/>
      <c r="G24" s="3"/>
      <c r="H24" s="3" t="str">
        <f>IFERROR(INDEX(Registro!$A$13:$A$37,MATCH("Monitorear|3",Registro!$AB$13:$AB$37,0))&amp;". "&amp;INDEX(Registro!$B$13:$B$37,MATCH("Monitorear|3",Registro!$AB$13:$AB$37,0))&amp;" - "&amp;INDEX(Registro!$U$13:$U$37,MATCH("Monitorear|3",Registro!$AB$13:$AB$37,0)),"")</f>
        <v/>
      </c>
      <c r="I24" s="3"/>
      <c r="J24" s="3"/>
      <c r="K24" s="3"/>
      <c r="L24" s="3"/>
      <c r="M24" s="3"/>
      <c r="N24" s="3"/>
    </row>
    <row r="25" spans="1:14" ht="20.25" customHeight="1" x14ac:dyDescent="0.2">
      <c r="A25" s="3" t="str">
        <f>IFERROR(INDEX(Registro!$A$13:$A$37,MATCH("Mantener informado|4",Registro!$AB$13:$AB$37,0))&amp;". "&amp;INDEX(Registro!$B$13:$B$37,MATCH("Mantener informado|4",Registro!$AB$13:$AB$37,0))&amp;" - "&amp;INDEX(Registro!$U$13:$U$37,MATCH("Mantener informado|4",Registro!$AB$13:$AB$37,0)),"")</f>
        <v>13. Agencia de accesibilidad digital - Baja</v>
      </c>
      <c r="B25" s="3"/>
      <c r="C25" s="3"/>
      <c r="D25" s="3"/>
      <c r="E25" s="3"/>
      <c r="F25" s="3"/>
      <c r="G25" s="3"/>
      <c r="H25" s="3" t="str">
        <f>IFERROR(INDEX(Registro!$A$13:$A$37,MATCH("Monitorear|4",Registro!$AB$13:$AB$37,0))&amp;". "&amp;INDEX(Registro!$B$13:$B$37,MATCH("Monitorear|4",Registro!$AB$13:$AB$37,0))&amp;" - "&amp;INDEX(Registro!$U$13:$U$37,MATCH("Monitorear|4",Registro!$AB$13:$AB$37,0)),"")</f>
        <v/>
      </c>
      <c r="I25" s="3"/>
      <c r="J25" s="3"/>
      <c r="K25" s="3"/>
      <c r="L25" s="3"/>
      <c r="M25" s="3"/>
      <c r="N25" s="3"/>
    </row>
    <row r="26" spans="1:14" ht="20.25" customHeight="1" x14ac:dyDescent="0.2">
      <c r="A26" s="3" t="str">
        <f>IFERROR(INDEX(Registro!$A$13:$A$37,MATCH("Mantener informado|5",Registro!$AB$13:$AB$37,0))&amp;". "&amp;INDEX(Registro!$B$13:$B$37,MATCH("Mantener informado|5",Registro!$AB$13:$AB$37,0))&amp;" - "&amp;INDEX(Registro!$U$13:$U$37,MATCH("Mantener informado|5",Registro!$AB$13:$AB$37,0)),"")</f>
        <v>14. Soporte técnico tiendas - Media</v>
      </c>
      <c r="B26" s="3"/>
      <c r="C26" s="3"/>
      <c r="D26" s="3"/>
      <c r="E26" s="3"/>
      <c r="F26" s="3"/>
      <c r="G26" s="3"/>
      <c r="H26" s="3" t="str">
        <f>IFERROR(INDEX(Registro!$A$13:$A$37,MATCH("Monitorear|5",Registro!$AB$13:$AB$37,0))&amp;". "&amp;INDEX(Registro!$B$13:$B$37,MATCH("Monitorear|5",Registro!$AB$13:$AB$37,0))&amp;" - "&amp;INDEX(Registro!$U$13:$U$37,MATCH("Monitorear|5",Registro!$AB$13:$AB$37,0)),"")</f>
        <v/>
      </c>
      <c r="I26" s="3"/>
      <c r="J26" s="3"/>
      <c r="K26" s="3"/>
      <c r="L26" s="3"/>
      <c r="M26" s="3"/>
      <c r="N26" s="3"/>
    </row>
    <row r="27" spans="1:14" ht="20.25" customHeight="1" x14ac:dyDescent="0.2">
      <c r="A27" s="2" t="str">
        <f>IF(G20&gt;5,"+"&amp;(G20-5)&amp;" más en Registro","")</f>
        <v>+1 más en Registro</v>
      </c>
      <c r="B27" s="2"/>
      <c r="C27" s="2"/>
      <c r="D27" s="2"/>
      <c r="E27" s="2"/>
      <c r="F27" s="2"/>
      <c r="G27" s="2"/>
      <c r="H27" s="2" t="str">
        <f>IF(N20&gt;5,"+"&amp;(N20-5)&amp;" más en Registro","")</f>
        <v/>
      </c>
      <c r="I27" s="2"/>
      <c r="J27" s="2"/>
      <c r="K27" s="2"/>
      <c r="L27" s="2"/>
      <c r="M27" s="2"/>
      <c r="N27" s="2"/>
    </row>
    <row r="28" spans="1:14" x14ac:dyDescent="0.2">
      <c r="A28" s="21" t="s">
        <v>28</v>
      </c>
      <c r="H28" s="21" t="s">
        <v>28</v>
      </c>
    </row>
    <row r="31" spans="1:14" ht="14.25" x14ac:dyDescent="0.2">
      <c r="A31" s="40" t="s">
        <v>29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</row>
    <row r="32" spans="1:14" ht="14.25" x14ac:dyDescent="0.2">
      <c r="A32" s="24" t="s">
        <v>30</v>
      </c>
      <c r="B32" s="41" t="s">
        <v>31</v>
      </c>
      <c r="C32" s="41"/>
      <c r="D32" s="41"/>
      <c r="E32" s="41"/>
      <c r="F32" s="41"/>
      <c r="G32" s="41"/>
      <c r="H32" s="24" t="s">
        <v>32</v>
      </c>
      <c r="I32" s="41" t="s">
        <v>33</v>
      </c>
      <c r="J32" s="41"/>
      <c r="K32" s="24" t="s">
        <v>34</v>
      </c>
      <c r="L32" s="41" t="s">
        <v>35</v>
      </c>
      <c r="M32" s="41"/>
      <c r="N32" s="41"/>
    </row>
    <row r="33" spans="1:14" x14ac:dyDescent="0.2">
      <c r="A33" s="25">
        <v>1</v>
      </c>
      <c r="B33" s="42" t="str">
        <f>IFERROR(INDEX(Registro!$B$13:$B$37,MATCH($A33,Registro!$AC$13:$AC$37,0)),"")</f>
        <v>Comité de empresa</v>
      </c>
      <c r="C33" s="42"/>
      <c r="D33" s="42"/>
      <c r="E33" s="42"/>
      <c r="F33" s="42"/>
      <c r="G33" s="42"/>
      <c r="H33" s="25">
        <f>IFERROR(INDEX(Registro!$T$13:$T$37,MATCH($A33,Registro!$AC$13:$AC$37,0)),"")</f>
        <v>86</v>
      </c>
      <c r="I33" s="42" t="str">
        <f>IFERROR(INDEX(Registro!$S$13:$S$37,MATCH($A33,Registro!$AC$13:$AC$37,0)),"")</f>
        <v>Gestionar de cerca</v>
      </c>
      <c r="J33" s="42"/>
      <c r="K33" s="25" t="str">
        <f ca="1">IFERROR(INDEX(Registro!$R$13:$R$37,MATCH($A33,Registro!$AC$13:$AC$37,0)),"")</f>
        <v>Próxima</v>
      </c>
      <c r="L33" s="42" t="str">
        <f>IFERROR(INDEX(Registro!$P$13:$P$37,MATCH($A33,Registro!$AC$13:$AC$37,0)),"")</f>
        <v>Abrir mesa específica de impacto laboral</v>
      </c>
      <c r="M33" s="42"/>
      <c r="N33" s="42"/>
    </row>
    <row r="34" spans="1:14" x14ac:dyDescent="0.2">
      <c r="A34" s="25">
        <v>2</v>
      </c>
      <c r="B34" s="42" t="str">
        <f>IFERROR(INDEX(Registro!$B$13:$B$37,MATCH($A34,Registro!$AC$13:$AC$37,0)),"")</f>
        <v>Franquiciados / propietarios</v>
      </c>
      <c r="C34" s="42"/>
      <c r="D34" s="42"/>
      <c r="E34" s="42"/>
      <c r="F34" s="42"/>
      <c r="G34" s="42"/>
      <c r="H34" s="25">
        <f>IFERROR(INDEX(Registro!$T$13:$T$37,MATCH($A34,Registro!$AC$13:$AC$37,0)),"")</f>
        <v>82</v>
      </c>
      <c r="I34" s="42" t="str">
        <f>IFERROR(INDEX(Registro!$S$13:$S$37,MATCH($A34,Registro!$AC$13:$AC$37,0)),"")</f>
        <v>Gestionar de cerca</v>
      </c>
      <c r="J34" s="42"/>
      <c r="K34" s="25" t="str">
        <f ca="1">IFERROR(INDEX(Registro!$R$13:$R$37,MATCH($A34,Registro!$AC$13:$AC$37,0)),"")</f>
        <v>Próxima</v>
      </c>
      <c r="L34" s="42" t="str">
        <f>IFERROR(INDEX(Registro!$P$13:$P$37,MATCH($A34,Registro!$AC$13:$AC$37,0)),"")</f>
        <v>Alinear modelo económico por tienda</v>
      </c>
      <c r="M34" s="42"/>
      <c r="N34" s="42"/>
    </row>
    <row r="35" spans="1:14" x14ac:dyDescent="0.2">
      <c r="A35" s="25">
        <v>3</v>
      </c>
      <c r="B35" s="42" t="str">
        <f>IFERROR(INDEX(Registro!$B$13:$B$37,MATCH($A35,Registro!$AC$13:$AC$37,0)),"")</f>
        <v>Equipos de tienda</v>
      </c>
      <c r="C35" s="42"/>
      <c r="D35" s="42"/>
      <c r="E35" s="42"/>
      <c r="F35" s="42"/>
      <c r="G35" s="42"/>
      <c r="H35" s="25">
        <f>IFERROR(INDEX(Registro!$T$13:$T$37,MATCH($A35,Registro!$AC$13:$AC$37,0)),"")</f>
        <v>82</v>
      </c>
      <c r="I35" s="42" t="str">
        <f>IFERROR(INDEX(Registro!$S$13:$S$37,MATCH($A35,Registro!$AC$13:$AC$37,0)),"")</f>
        <v>Mantener informado</v>
      </c>
      <c r="J35" s="42"/>
      <c r="K35" s="25" t="str">
        <f ca="1">IFERROR(INDEX(Registro!$R$13:$R$37,MATCH($A35,Registro!$AC$13:$AC$37,0)),"")</f>
        <v>Próxima</v>
      </c>
      <c r="L35" s="42" t="str">
        <f>IFERROR(INDEX(Registro!$P$13:$P$37,MATCH($A35,Registro!$AC$13:$AC$37,0)),"")</f>
        <v>Sesión de escucha + demo en tienda piloto</v>
      </c>
      <c r="M35" s="42"/>
      <c r="N35" s="42"/>
    </row>
    <row r="36" spans="1:14" x14ac:dyDescent="0.2">
      <c r="A36" s="25">
        <v>4</v>
      </c>
      <c r="B36" s="42" t="str">
        <f>IFERROR(INDEX(Registro!$B$13:$B$37,MATCH($A36,Registro!$AC$13:$AC$37,0)),"")</f>
        <v>Dirección de Operaciones</v>
      </c>
      <c r="C36" s="42"/>
      <c r="D36" s="42"/>
      <c r="E36" s="42"/>
      <c r="F36" s="42"/>
      <c r="G36" s="42"/>
      <c r="H36" s="25">
        <f>IFERROR(INDEX(Registro!$T$13:$T$37,MATCH($A36,Registro!$AC$13:$AC$37,0)),"")</f>
        <v>78</v>
      </c>
      <c r="I36" s="42" t="str">
        <f>IFERROR(INDEX(Registro!$S$13:$S$37,MATCH($A36,Registro!$AC$13:$AC$37,0)),"")</f>
        <v>Gestionar de cerca</v>
      </c>
      <c r="J36" s="42"/>
      <c r="K36" s="25" t="str">
        <f ca="1">IFERROR(INDEX(Registro!$R$13:$R$37,MATCH($A36,Registro!$AC$13:$AC$37,0)),"")</f>
        <v>Próxima</v>
      </c>
      <c r="L36" s="42" t="str">
        <f>IFERROR(INDEX(Registro!$P$13:$P$37,MATCH($A36,Registro!$AC$13:$AC$37,0)),"")</f>
        <v>Cerrar flujo operativo final</v>
      </c>
      <c r="M36" s="42"/>
      <c r="N36" s="42"/>
    </row>
    <row r="37" spans="1:14" x14ac:dyDescent="0.2">
      <c r="A37" s="25">
        <v>5</v>
      </c>
      <c r="B37" s="42" t="str">
        <f>IFERROR(INDEX(Registro!$B$13:$B$37,MATCH($A37,Registro!$AC$13:$AC$37,0)),"")</f>
        <v>Protección de datos (DPO)</v>
      </c>
      <c r="C37" s="42"/>
      <c r="D37" s="42"/>
      <c r="E37" s="42"/>
      <c r="F37" s="42"/>
      <c r="G37" s="42"/>
      <c r="H37" s="25">
        <f>IFERROR(INDEX(Registro!$T$13:$T$37,MATCH($A37,Registro!$AC$13:$AC$37,0)),"")</f>
        <v>74</v>
      </c>
      <c r="I37" s="42" t="str">
        <f>IFERROR(INDEX(Registro!$S$13:$S$37,MATCH($A37,Registro!$AC$13:$AC$37,0)),"")</f>
        <v>Gestionar de cerca</v>
      </c>
      <c r="J37" s="42"/>
      <c r="K37" s="25" t="str">
        <f ca="1">IFERROR(INDEX(Registro!$R$13:$R$37,MATCH($A37,Registro!$AC$13:$AC$37,0)),"")</f>
        <v>Próxima</v>
      </c>
      <c r="L37" s="42" t="str">
        <f>IFERROR(INDEX(Registro!$P$13:$P$37,MATCH($A37,Registro!$AC$13:$AC$37,0)),"")</f>
        <v>Revisar base legal y textos de consentimiento</v>
      </c>
      <c r="M37" s="42"/>
      <c r="N37" s="42"/>
    </row>
    <row r="40" spans="1:14" ht="14.25" x14ac:dyDescent="0.2">
      <c r="A40" s="40" t="s">
        <v>36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1:14" x14ac:dyDescent="0.2">
      <c r="A41" s="43" t="s">
        <v>37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</row>
    <row r="42" spans="1:14" x14ac:dyDescent="0.2">
      <c r="A42" s="43" t="s">
        <v>38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</row>
    <row r="43" spans="1:14" x14ac:dyDescent="0.2">
      <c r="A43" s="43" t="s">
        <v>39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</row>
    <row r="45" spans="1:14" ht="14.25" x14ac:dyDescent="0.2">
      <c r="A45" s="44" t="s">
        <v>40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</row>
    <row r="46" spans="1:14" x14ac:dyDescent="0.2">
      <c r="A46" s="45" t="s">
        <v>41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</row>
    <row r="47" spans="1:14" x14ac:dyDescent="0.2">
      <c r="A47" s="45" t="s">
        <v>42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</row>
    <row r="48" spans="1:14" x14ac:dyDescent="0.2">
      <c r="A48" s="45" t="s">
        <v>43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</row>
    <row r="49" spans="1:14" x14ac:dyDescent="0.2">
      <c r="A49" s="45" t="s">
        <v>44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</row>
    <row r="50" spans="1:14" x14ac:dyDescent="0.2">
      <c r="A50" s="45" t="s">
        <v>45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</row>
    <row r="51" spans="1:14" x14ac:dyDescent="0.2">
      <c r="A51" s="45" t="s">
        <v>46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</row>
  </sheetData>
  <mergeCells count="78">
    <mergeCell ref="A51:N51"/>
    <mergeCell ref="A46:N46"/>
    <mergeCell ref="A47:N47"/>
    <mergeCell ref="A48:N48"/>
    <mergeCell ref="A49:N49"/>
    <mergeCell ref="A50:N50"/>
    <mergeCell ref="A40:N40"/>
    <mergeCell ref="A41:N41"/>
    <mergeCell ref="A42:N42"/>
    <mergeCell ref="A43:N43"/>
    <mergeCell ref="A45:N45"/>
    <mergeCell ref="B36:G36"/>
    <mergeCell ref="I36:J36"/>
    <mergeCell ref="L36:N36"/>
    <mergeCell ref="B37:G37"/>
    <mergeCell ref="I37:J37"/>
    <mergeCell ref="L37:N37"/>
    <mergeCell ref="B34:G34"/>
    <mergeCell ref="I34:J34"/>
    <mergeCell ref="L34:N34"/>
    <mergeCell ref="B35:G35"/>
    <mergeCell ref="I35:J35"/>
    <mergeCell ref="L35:N35"/>
    <mergeCell ref="B32:G32"/>
    <mergeCell ref="I32:J32"/>
    <mergeCell ref="L32:N32"/>
    <mergeCell ref="B33:G33"/>
    <mergeCell ref="I33:J33"/>
    <mergeCell ref="L33:N33"/>
    <mergeCell ref="A26:G26"/>
    <mergeCell ref="H26:N26"/>
    <mergeCell ref="A27:G27"/>
    <mergeCell ref="H27:N27"/>
    <mergeCell ref="A31:N31"/>
    <mergeCell ref="A23:G23"/>
    <mergeCell ref="H23:N23"/>
    <mergeCell ref="A24:G24"/>
    <mergeCell ref="H24:N24"/>
    <mergeCell ref="A25:G25"/>
    <mergeCell ref="H25:N25"/>
    <mergeCell ref="A20:F20"/>
    <mergeCell ref="H20:M20"/>
    <mergeCell ref="A21:G21"/>
    <mergeCell ref="H21:N21"/>
    <mergeCell ref="A22:G22"/>
    <mergeCell ref="H22:N22"/>
    <mergeCell ref="A16:G16"/>
    <mergeCell ref="H16:N16"/>
    <mergeCell ref="A17:G17"/>
    <mergeCell ref="H17:N17"/>
    <mergeCell ref="A18:G18"/>
    <mergeCell ref="H18:N18"/>
    <mergeCell ref="A13:G13"/>
    <mergeCell ref="H13:N13"/>
    <mergeCell ref="A14:G14"/>
    <mergeCell ref="H14:N14"/>
    <mergeCell ref="A15:G15"/>
    <mergeCell ref="H15:N15"/>
    <mergeCell ref="B8:C8"/>
    <mergeCell ref="E8:F8"/>
    <mergeCell ref="A11:F11"/>
    <mergeCell ref="H11:M11"/>
    <mergeCell ref="A12:G12"/>
    <mergeCell ref="H12:N12"/>
    <mergeCell ref="B5:F5"/>
    <mergeCell ref="G5:H7"/>
    <mergeCell ref="I5:J7"/>
    <mergeCell ref="K5:L7"/>
    <mergeCell ref="M5:N7"/>
    <mergeCell ref="B6:F6"/>
    <mergeCell ref="B7:C7"/>
    <mergeCell ref="E7:F7"/>
    <mergeCell ref="A1:N2"/>
    <mergeCell ref="A4:F4"/>
    <mergeCell ref="G4:H4"/>
    <mergeCell ref="I4:J4"/>
    <mergeCell ref="K4:L4"/>
    <mergeCell ref="M4:N4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7"/>
  <sheetViews>
    <sheetView showGridLines="0" zoomScaleNormal="100" workbookViewId="0"/>
  </sheetViews>
  <sheetFormatPr baseColWidth="10" defaultColWidth="8.7109375" defaultRowHeight="15" customHeight="1" x14ac:dyDescent="0.2"/>
  <cols>
    <col min="1" max="1" width="5" customWidth="1"/>
    <col min="2" max="2" width="28" customWidth="1"/>
    <col min="3" max="3" width="10" customWidth="1"/>
    <col min="4" max="4" width="15" customWidth="1"/>
    <col min="5" max="5" width="22" customWidth="1"/>
    <col min="6" max="6" width="28" customWidth="1"/>
    <col min="7" max="9" width="9" customWidth="1"/>
    <col min="10" max="11" width="15" customWidth="1"/>
    <col min="12" max="12" width="10" customWidth="1"/>
    <col min="13" max="15" width="16" customWidth="1"/>
    <col min="16" max="16" width="28" customWidth="1"/>
    <col min="17" max="17" width="13" customWidth="1"/>
    <col min="18" max="18" width="14" customWidth="1"/>
    <col min="19" max="19" width="20" customWidth="1"/>
    <col min="20" max="20" width="12" customWidth="1"/>
    <col min="21" max="22" width="10" customWidth="1"/>
    <col min="23" max="23" width="30" customWidth="1"/>
    <col min="24" max="24" width="22" customWidth="1"/>
    <col min="25" max="27" width="8" hidden="1" customWidth="1"/>
    <col min="28" max="28" width="15" hidden="1" customWidth="1"/>
    <col min="29" max="29" width="10" hidden="1" customWidth="1"/>
  </cols>
  <sheetData>
    <row r="1" spans="1:29" ht="15" customHeight="1" x14ac:dyDescent="0.2">
      <c r="A1" s="13" t="s">
        <v>47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9" ht="12.75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4" spans="1:29" ht="26.1" customHeight="1" x14ac:dyDescent="0.2">
      <c r="A4" s="46" t="s">
        <v>48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</row>
    <row r="5" spans="1:29" ht="26.1" customHeight="1" x14ac:dyDescent="0.2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7" spans="1:29" ht="60" x14ac:dyDescent="0.2">
      <c r="S7" s="26" t="s">
        <v>49</v>
      </c>
      <c r="T7" s="27" t="s">
        <v>50</v>
      </c>
    </row>
    <row r="8" spans="1:29" ht="60" x14ac:dyDescent="0.2">
      <c r="S8" s="26" t="s">
        <v>51</v>
      </c>
      <c r="T8" s="27" t="s">
        <v>52</v>
      </c>
    </row>
    <row r="9" spans="1:29" ht="60" x14ac:dyDescent="0.2">
      <c r="S9" s="26" t="s">
        <v>53</v>
      </c>
      <c r="T9" s="27" t="s">
        <v>54</v>
      </c>
    </row>
    <row r="12" spans="1:29" ht="38.25" x14ac:dyDescent="0.2">
      <c r="A12" s="28" t="s">
        <v>55</v>
      </c>
      <c r="B12" s="28" t="s">
        <v>31</v>
      </c>
      <c r="C12" s="28" t="s">
        <v>56</v>
      </c>
      <c r="D12" s="28" t="s">
        <v>57</v>
      </c>
      <c r="E12" s="28" t="s">
        <v>58</v>
      </c>
      <c r="F12" s="28" t="s">
        <v>59</v>
      </c>
      <c r="G12" s="28" t="s">
        <v>60</v>
      </c>
      <c r="H12" s="28" t="s">
        <v>61</v>
      </c>
      <c r="I12" s="28" t="s">
        <v>62</v>
      </c>
      <c r="J12" s="28" t="s">
        <v>63</v>
      </c>
      <c r="K12" s="28" t="s">
        <v>64</v>
      </c>
      <c r="L12" s="28" t="s">
        <v>65</v>
      </c>
      <c r="M12" s="28" t="s">
        <v>66</v>
      </c>
      <c r="N12" s="28" t="s">
        <v>67</v>
      </c>
      <c r="O12" s="28" t="s">
        <v>68</v>
      </c>
      <c r="P12" s="28" t="s">
        <v>35</v>
      </c>
      <c r="Q12" s="28" t="s">
        <v>69</v>
      </c>
      <c r="R12" s="28" t="s">
        <v>70</v>
      </c>
      <c r="S12" s="28" t="s">
        <v>33</v>
      </c>
      <c r="T12" s="28" t="s">
        <v>71</v>
      </c>
      <c r="U12" s="28" t="s">
        <v>72</v>
      </c>
      <c r="V12" s="28" t="s">
        <v>73</v>
      </c>
      <c r="W12" s="28" t="s">
        <v>74</v>
      </c>
      <c r="X12" s="28" t="s">
        <v>75</v>
      </c>
      <c r="Y12" s="29" t="s">
        <v>76</v>
      </c>
      <c r="Z12" s="29" t="s">
        <v>77</v>
      </c>
      <c r="AA12" s="29" t="s">
        <v>78</v>
      </c>
      <c r="AB12" s="29" t="s">
        <v>79</v>
      </c>
      <c r="AC12" s="29" t="s">
        <v>80</v>
      </c>
    </row>
    <row r="13" spans="1:29" ht="25.5" x14ac:dyDescent="0.2">
      <c r="A13" s="30">
        <v>1</v>
      </c>
      <c r="B13" s="31" t="s">
        <v>11</v>
      </c>
      <c r="C13" s="31" t="s">
        <v>81</v>
      </c>
      <c r="D13" s="31" t="s">
        <v>82</v>
      </c>
      <c r="E13" s="31" t="s">
        <v>83</v>
      </c>
      <c r="F13" s="31" t="s">
        <v>84</v>
      </c>
      <c r="G13" s="32">
        <v>5</v>
      </c>
      <c r="H13" s="32">
        <v>5</v>
      </c>
      <c r="I13" s="32">
        <v>5</v>
      </c>
      <c r="J13" s="31" t="s">
        <v>85</v>
      </c>
      <c r="K13" s="31" t="s">
        <v>85</v>
      </c>
      <c r="L13" s="32">
        <v>1</v>
      </c>
      <c r="M13" s="31" t="s">
        <v>86</v>
      </c>
      <c r="N13" s="31" t="s">
        <v>87</v>
      </c>
      <c r="O13" s="33" t="str">
        <f t="shared" ref="O13:O37" si="0">IF(S13="","",IF(S13="Gestionar de cerca","Semanal",IF(S13="Mantener satisfecho","Mensual",IF(S13="Mantener informado","Quincenal","Mensual ligero"))))</f>
        <v>Semanal</v>
      </c>
      <c r="P13" s="31" t="s">
        <v>88</v>
      </c>
      <c r="Q13" s="34">
        <v>46099</v>
      </c>
      <c r="R13" s="35" t="str">
        <f t="shared" ref="R13:R37" ca="1" si="1">IF(Q13="","Sin fecha",IF(Q13&lt;TODAY(),"Vencido",IF(Q13&lt;=TODAY()+7,"Próxima","Al día")))</f>
        <v>Próxima</v>
      </c>
      <c r="S13" s="33" t="str">
        <f t="shared" ref="S13:S37" si="2">IF(OR(G13="",H13=""),"",IF(AND(G13&gt;=4,H13&gt;=4),"Gestionar de cerca",IF(AND(G13&gt;=4,H13&lt;4),"Mantener satisfecho",IF(AND(G13&lt;4,H13&gt;=4),"Mantener informado","Monitorear"))))</f>
        <v>Gestionar de cerca</v>
      </c>
      <c r="T13" s="36">
        <f t="shared" ref="T13:T37" si="3">IF(B13="","",ROUND((G13*0.28 + H13*0.2 + I13*0.18 + L13*0.16 + (6-Y13)*0.1 + MAX(0,Z13-Y13)*0.08)*20,0))</f>
        <v>71</v>
      </c>
      <c r="U13" s="33" t="str">
        <f t="shared" ref="U13:U37" si="4">IF(T13="","",IF(T13&gt;=80,"Crítica",IF(T13&gt;=65,"Alta",IF(T13&gt;=50,"Media","Baja"))))</f>
        <v>Alta</v>
      </c>
      <c r="V13" s="35">
        <f t="shared" ref="V13:V37" si="5">IF(OR(Y13="",Z13=""),"",Z13-Y13)</f>
        <v>0</v>
      </c>
      <c r="W13" s="33" t="str">
        <f t="shared" ref="W13:W37" si="6">IF(S13="","",IF(S13="Gestionar de cerca",IF(Y13&lt;=2,"Sponsor + reunión 1:1 + plan de objeciones",IF(Y13=3,"Alinear beneficios y pedir validación quincenal","Usarlo como embajador y copatrocinar hitos")),IF(S13="Mantener satisfecho",IF(Y13&lt;=3,"Resumen ejecutivo + gestión de riesgos clave","Checkpoint ejecutivo mensual"),IF(S13="Mantener informado",IF(Y13&lt;=2,"Escucha activa + demo + FAQ","Actualizar y recoger feedback operativo"),"Seguimiento ligero y escucha pasiva"))))</f>
        <v>Usarlo como embajador y copatrocinar hitos</v>
      </c>
      <c r="X13" s="31"/>
      <c r="Y13" s="37">
        <f t="shared" ref="Y13:Y37" si="7">IF(J13="","",VLOOKUP(J13,MapApoyo,2,FALSE()))</f>
        <v>5</v>
      </c>
      <c r="Z13" s="37">
        <f t="shared" ref="Z13:Z37" si="8">IF(K13="","",VLOOKUP(K13,MapApoyo,2,FALSE()))</f>
        <v>5</v>
      </c>
      <c r="AA13" s="37">
        <f>IF(S13="","",COUNTIF($S$13:S13,S13))</f>
        <v>1</v>
      </c>
      <c r="AB13" s="37" t="str">
        <f t="shared" ref="AB13:AB37" si="9">IF(S13="","",S13&amp;"|"&amp;AA13)</f>
        <v>Gestionar de cerca|1</v>
      </c>
      <c r="AC13">
        <f>IF(T13="","",COUNTIF($T$13:$T$37,"&gt;"&amp;T13)+COUNTIF($T$13:T13,T13))</f>
        <v>7</v>
      </c>
    </row>
    <row r="14" spans="1:29" ht="38.25" x14ac:dyDescent="0.2">
      <c r="A14" s="38">
        <v>2</v>
      </c>
      <c r="B14" s="31" t="s">
        <v>89</v>
      </c>
      <c r="C14" s="31" t="s">
        <v>90</v>
      </c>
      <c r="D14" s="31" t="s">
        <v>91</v>
      </c>
      <c r="E14" s="31" t="s">
        <v>92</v>
      </c>
      <c r="F14" s="31" t="s">
        <v>93</v>
      </c>
      <c r="G14" s="32">
        <v>5</v>
      </c>
      <c r="H14" s="32">
        <v>4</v>
      </c>
      <c r="I14" s="32">
        <v>5</v>
      </c>
      <c r="J14" s="31" t="s">
        <v>94</v>
      </c>
      <c r="K14" s="31" t="s">
        <v>95</v>
      </c>
      <c r="L14" s="32">
        <v>4</v>
      </c>
      <c r="M14" s="31" t="s">
        <v>96</v>
      </c>
      <c r="N14" s="31" t="s">
        <v>97</v>
      </c>
      <c r="O14" s="33" t="str">
        <f t="shared" si="0"/>
        <v>Semanal</v>
      </c>
      <c r="P14" s="31" t="s">
        <v>98</v>
      </c>
      <c r="Q14" s="34">
        <v>46101</v>
      </c>
      <c r="R14" s="35" t="str">
        <f t="shared" ca="1" si="1"/>
        <v>Próxima</v>
      </c>
      <c r="S14" s="33" t="str">
        <f t="shared" si="2"/>
        <v>Gestionar de cerca</v>
      </c>
      <c r="T14" s="36">
        <f t="shared" si="3"/>
        <v>82</v>
      </c>
      <c r="U14" s="33" t="str">
        <f t="shared" si="4"/>
        <v>Crítica</v>
      </c>
      <c r="V14" s="35">
        <f t="shared" si="5"/>
        <v>1</v>
      </c>
      <c r="W14" s="33" t="str">
        <f t="shared" si="6"/>
        <v>Alinear beneficios y pedir validación quincenal</v>
      </c>
      <c r="X14" s="31"/>
      <c r="Y14" s="37">
        <f t="shared" si="7"/>
        <v>3</v>
      </c>
      <c r="Z14" s="37">
        <f t="shared" si="8"/>
        <v>4</v>
      </c>
      <c r="AA14" s="37">
        <f>IF(S14="","",COUNTIF($S$13:S14,S14))</f>
        <v>2</v>
      </c>
      <c r="AB14" s="37" t="str">
        <f t="shared" si="9"/>
        <v>Gestionar de cerca|2</v>
      </c>
      <c r="AC14">
        <f>IF(T14="","",COUNTIF($T$13:$T$37,"&gt;"&amp;T14)+COUNTIF($T$13:T14,T14))</f>
        <v>2</v>
      </c>
    </row>
    <row r="15" spans="1:29" ht="25.5" x14ac:dyDescent="0.2">
      <c r="A15" s="30">
        <v>3</v>
      </c>
      <c r="B15" s="31" t="s">
        <v>99</v>
      </c>
      <c r="C15" s="31" t="s">
        <v>81</v>
      </c>
      <c r="D15" s="31" t="s">
        <v>100</v>
      </c>
      <c r="E15" s="31" t="s">
        <v>101</v>
      </c>
      <c r="F15" s="31" t="s">
        <v>102</v>
      </c>
      <c r="G15" s="32">
        <v>5</v>
      </c>
      <c r="H15" s="32">
        <v>5</v>
      </c>
      <c r="I15" s="32">
        <v>5</v>
      </c>
      <c r="J15" s="31" t="s">
        <v>95</v>
      </c>
      <c r="K15" s="31" t="s">
        <v>85</v>
      </c>
      <c r="L15" s="32">
        <v>2</v>
      </c>
      <c r="M15" s="31" t="s">
        <v>86</v>
      </c>
      <c r="N15" s="31" t="s">
        <v>87</v>
      </c>
      <c r="O15" s="33" t="str">
        <f t="shared" si="0"/>
        <v>Semanal</v>
      </c>
      <c r="P15" s="31" t="s">
        <v>103</v>
      </c>
      <c r="Q15" s="34">
        <v>46098</v>
      </c>
      <c r="R15" s="35" t="str">
        <f t="shared" ca="1" si="1"/>
        <v>Próxima</v>
      </c>
      <c r="S15" s="33" t="str">
        <f t="shared" si="2"/>
        <v>Gestionar de cerca</v>
      </c>
      <c r="T15" s="36">
        <f t="shared" si="3"/>
        <v>78</v>
      </c>
      <c r="U15" s="33" t="str">
        <f t="shared" si="4"/>
        <v>Alta</v>
      </c>
      <c r="V15" s="35">
        <f t="shared" si="5"/>
        <v>1</v>
      </c>
      <c r="W15" s="33" t="str">
        <f t="shared" si="6"/>
        <v>Usarlo como embajador y copatrocinar hitos</v>
      </c>
      <c r="X15" s="31"/>
      <c r="Y15" s="37">
        <f t="shared" si="7"/>
        <v>4</v>
      </c>
      <c r="Z15" s="37">
        <f t="shared" si="8"/>
        <v>5</v>
      </c>
      <c r="AA15" s="37">
        <f>IF(S15="","",COUNTIF($S$13:S15,S15))</f>
        <v>3</v>
      </c>
      <c r="AB15" s="37" t="str">
        <f t="shared" si="9"/>
        <v>Gestionar de cerca|3</v>
      </c>
      <c r="AC15">
        <f>IF(T15="","",COUNTIF($T$13:$T$37,"&gt;"&amp;T15)+COUNTIF($T$13:T15,T15))</f>
        <v>4</v>
      </c>
    </row>
    <row r="16" spans="1:29" ht="25.5" x14ac:dyDescent="0.2">
      <c r="A16" s="38">
        <v>4</v>
      </c>
      <c r="B16" s="31" t="s">
        <v>104</v>
      </c>
      <c r="C16" s="31" t="s">
        <v>81</v>
      </c>
      <c r="D16" s="31" t="s">
        <v>105</v>
      </c>
      <c r="E16" s="31" t="s">
        <v>106</v>
      </c>
      <c r="F16" s="31" t="s">
        <v>107</v>
      </c>
      <c r="G16" s="32">
        <v>3</v>
      </c>
      <c r="H16" s="32">
        <v>5</v>
      </c>
      <c r="I16" s="32">
        <v>5</v>
      </c>
      <c r="J16" s="31" t="s">
        <v>108</v>
      </c>
      <c r="K16" s="31" t="s">
        <v>95</v>
      </c>
      <c r="L16" s="32">
        <v>5</v>
      </c>
      <c r="M16" s="31" t="s">
        <v>109</v>
      </c>
      <c r="N16" s="31" t="s">
        <v>110</v>
      </c>
      <c r="O16" s="33" t="str">
        <f t="shared" si="0"/>
        <v>Quincenal</v>
      </c>
      <c r="P16" s="31" t="s">
        <v>111</v>
      </c>
      <c r="Q16" s="34">
        <v>46100</v>
      </c>
      <c r="R16" s="35" t="str">
        <f t="shared" ca="1" si="1"/>
        <v>Próxima</v>
      </c>
      <c r="S16" s="33" t="str">
        <f t="shared" si="2"/>
        <v>Mantener informado</v>
      </c>
      <c r="T16" s="36">
        <f t="shared" si="3"/>
        <v>82</v>
      </c>
      <c r="U16" s="33" t="str">
        <f t="shared" si="4"/>
        <v>Crítica</v>
      </c>
      <c r="V16" s="35">
        <f t="shared" si="5"/>
        <v>2</v>
      </c>
      <c r="W16" s="33" t="str">
        <f t="shared" si="6"/>
        <v>Escucha activa + demo + FAQ</v>
      </c>
      <c r="X16" s="31"/>
      <c r="Y16" s="37">
        <f t="shared" si="7"/>
        <v>2</v>
      </c>
      <c r="Z16" s="37">
        <f t="shared" si="8"/>
        <v>4</v>
      </c>
      <c r="AA16" s="37">
        <f>IF(S16="","",COUNTIF($S$13:S16,S16))</f>
        <v>1</v>
      </c>
      <c r="AB16" s="37" t="str">
        <f t="shared" si="9"/>
        <v>Mantener informado|1</v>
      </c>
      <c r="AC16">
        <f>IF(T16="","",COUNTIF($T$13:$T$37,"&gt;"&amp;T16)+COUNTIF($T$13:T16,T16))</f>
        <v>3</v>
      </c>
    </row>
    <row r="17" spans="1:29" ht="25.5" x14ac:dyDescent="0.2">
      <c r="A17" s="30">
        <v>5</v>
      </c>
      <c r="B17" s="31" t="s">
        <v>112</v>
      </c>
      <c r="C17" s="31" t="s">
        <v>90</v>
      </c>
      <c r="D17" s="31" t="s">
        <v>113</v>
      </c>
      <c r="E17" s="31" t="s">
        <v>114</v>
      </c>
      <c r="F17" s="31" t="s">
        <v>115</v>
      </c>
      <c r="G17" s="32">
        <v>2</v>
      </c>
      <c r="H17" s="32">
        <v>4</v>
      </c>
      <c r="I17" s="32">
        <v>4</v>
      </c>
      <c r="J17" s="31" t="s">
        <v>95</v>
      </c>
      <c r="K17" s="31" t="s">
        <v>95</v>
      </c>
      <c r="L17" s="32">
        <v>2</v>
      </c>
      <c r="M17" s="31" t="s">
        <v>116</v>
      </c>
      <c r="N17" s="31" t="s">
        <v>117</v>
      </c>
      <c r="O17" s="33" t="str">
        <f t="shared" si="0"/>
        <v>Quincenal</v>
      </c>
      <c r="P17" s="31" t="s">
        <v>118</v>
      </c>
      <c r="Q17" s="34">
        <v>46105</v>
      </c>
      <c r="R17" s="35" t="str">
        <f t="shared" ca="1" si="1"/>
        <v>Al día</v>
      </c>
      <c r="S17" s="33" t="str">
        <f t="shared" si="2"/>
        <v>Mantener informado</v>
      </c>
      <c r="T17" s="36">
        <f t="shared" si="3"/>
        <v>52</v>
      </c>
      <c r="U17" s="33" t="str">
        <f t="shared" si="4"/>
        <v>Media</v>
      </c>
      <c r="V17" s="35">
        <f t="shared" si="5"/>
        <v>0</v>
      </c>
      <c r="W17" s="33" t="str">
        <f t="shared" si="6"/>
        <v>Actualizar y recoger feedback operativo</v>
      </c>
      <c r="X17" s="31"/>
      <c r="Y17" s="37">
        <f t="shared" si="7"/>
        <v>4</v>
      </c>
      <c r="Z17" s="37">
        <f t="shared" si="8"/>
        <v>4</v>
      </c>
      <c r="AA17" s="37">
        <f>IF(S17="","",COUNTIF($S$13:S17,S17))</f>
        <v>2</v>
      </c>
      <c r="AB17" s="37" t="str">
        <f t="shared" si="9"/>
        <v>Mantener informado|2</v>
      </c>
      <c r="AC17">
        <f>IF(T17="","",COUNTIF($T$13:$T$37,"&gt;"&amp;T17)+COUNTIF($T$13:T17,T17))</f>
        <v>12</v>
      </c>
    </row>
    <row r="18" spans="1:29" ht="25.5" x14ac:dyDescent="0.2">
      <c r="A18" s="38">
        <v>6</v>
      </c>
      <c r="B18" s="31" t="s">
        <v>119</v>
      </c>
      <c r="C18" s="31" t="s">
        <v>81</v>
      </c>
      <c r="D18" s="31" t="s">
        <v>120</v>
      </c>
      <c r="E18" s="31" t="s">
        <v>121</v>
      </c>
      <c r="F18" s="31" t="s">
        <v>122</v>
      </c>
      <c r="G18" s="32">
        <v>4</v>
      </c>
      <c r="H18" s="32">
        <v>5</v>
      </c>
      <c r="I18" s="32">
        <v>5</v>
      </c>
      <c r="J18" s="31" t="s">
        <v>95</v>
      </c>
      <c r="K18" s="31" t="s">
        <v>85</v>
      </c>
      <c r="L18" s="32">
        <v>2</v>
      </c>
      <c r="M18" s="31" t="s">
        <v>123</v>
      </c>
      <c r="N18" s="31" t="s">
        <v>87</v>
      </c>
      <c r="O18" s="33" t="str">
        <f t="shared" si="0"/>
        <v>Semanal</v>
      </c>
      <c r="P18" s="31" t="s">
        <v>124</v>
      </c>
      <c r="Q18" s="34">
        <v>46102</v>
      </c>
      <c r="R18" s="35" t="str">
        <f t="shared" ca="1" si="1"/>
        <v>Próxima</v>
      </c>
      <c r="S18" s="33" t="str">
        <f t="shared" si="2"/>
        <v>Gestionar de cerca</v>
      </c>
      <c r="T18" s="36">
        <f t="shared" si="3"/>
        <v>72</v>
      </c>
      <c r="U18" s="33" t="str">
        <f t="shared" si="4"/>
        <v>Alta</v>
      </c>
      <c r="V18" s="35">
        <f t="shared" si="5"/>
        <v>1</v>
      </c>
      <c r="W18" s="33" t="str">
        <f t="shared" si="6"/>
        <v>Usarlo como embajador y copatrocinar hitos</v>
      </c>
      <c r="X18" s="31"/>
      <c r="Y18" s="37">
        <f t="shared" si="7"/>
        <v>4</v>
      </c>
      <c r="Z18" s="37">
        <f t="shared" si="8"/>
        <v>5</v>
      </c>
      <c r="AA18" s="37">
        <f>IF(S18="","",COUNTIF($S$13:S18,S18))</f>
        <v>4</v>
      </c>
      <c r="AB18" s="37" t="str">
        <f t="shared" si="9"/>
        <v>Gestionar de cerca|4</v>
      </c>
      <c r="AC18">
        <f>IF(T18="","",COUNTIF($T$13:$T$37,"&gt;"&amp;T18)+COUNTIF($T$13:T18,T18))</f>
        <v>6</v>
      </c>
    </row>
    <row r="19" spans="1:29" ht="25.5" x14ac:dyDescent="0.2">
      <c r="A19" s="30">
        <v>7</v>
      </c>
      <c r="B19" s="31" t="s">
        <v>125</v>
      </c>
      <c r="C19" s="31" t="s">
        <v>90</v>
      </c>
      <c r="D19" s="31" t="s">
        <v>126</v>
      </c>
      <c r="E19" s="31" t="s">
        <v>127</v>
      </c>
      <c r="F19" s="31" t="s">
        <v>128</v>
      </c>
      <c r="G19" s="32">
        <v>4</v>
      </c>
      <c r="H19" s="32">
        <v>4</v>
      </c>
      <c r="I19" s="32">
        <v>4</v>
      </c>
      <c r="J19" s="31" t="s">
        <v>95</v>
      </c>
      <c r="K19" s="31" t="s">
        <v>95</v>
      </c>
      <c r="L19" s="32">
        <v>2</v>
      </c>
      <c r="M19" s="31" t="s">
        <v>129</v>
      </c>
      <c r="N19" s="31" t="s">
        <v>130</v>
      </c>
      <c r="O19" s="33" t="str">
        <f t="shared" si="0"/>
        <v>Semanal</v>
      </c>
      <c r="P19" s="31" t="s">
        <v>131</v>
      </c>
      <c r="Q19" s="34">
        <v>46107</v>
      </c>
      <c r="R19" s="35" t="str">
        <f t="shared" ca="1" si="1"/>
        <v>Al día</v>
      </c>
      <c r="S19" s="33" t="str">
        <f t="shared" si="2"/>
        <v>Gestionar de cerca</v>
      </c>
      <c r="T19" s="36">
        <f t="shared" si="3"/>
        <v>63</v>
      </c>
      <c r="U19" s="33" t="str">
        <f t="shared" si="4"/>
        <v>Media</v>
      </c>
      <c r="V19" s="35">
        <f t="shared" si="5"/>
        <v>0</v>
      </c>
      <c r="W19" s="33" t="str">
        <f t="shared" si="6"/>
        <v>Usarlo como embajador y copatrocinar hitos</v>
      </c>
      <c r="X19" s="31"/>
      <c r="Y19" s="37">
        <f t="shared" si="7"/>
        <v>4</v>
      </c>
      <c r="Z19" s="37">
        <f t="shared" si="8"/>
        <v>4</v>
      </c>
      <c r="AA19" s="37">
        <f>IF(S19="","",COUNTIF($S$13:S19,S19))</f>
        <v>5</v>
      </c>
      <c r="AB19" s="37" t="str">
        <f t="shared" si="9"/>
        <v>Gestionar de cerca|5</v>
      </c>
      <c r="AC19">
        <f>IF(T19="","",COUNTIF($T$13:$T$37,"&gt;"&amp;T19)+COUNTIF($T$13:T19,T19))</f>
        <v>10</v>
      </c>
    </row>
    <row r="20" spans="1:29" ht="25.5" x14ac:dyDescent="0.2">
      <c r="A20" s="38">
        <v>8</v>
      </c>
      <c r="B20" s="31" t="s">
        <v>116</v>
      </c>
      <c r="C20" s="31" t="s">
        <v>81</v>
      </c>
      <c r="D20" s="31" t="s">
        <v>132</v>
      </c>
      <c r="E20" s="31" t="s">
        <v>133</v>
      </c>
      <c r="F20" s="31" t="s">
        <v>134</v>
      </c>
      <c r="G20" s="32">
        <v>3</v>
      </c>
      <c r="H20" s="32">
        <v>4</v>
      </c>
      <c r="I20" s="32">
        <v>4</v>
      </c>
      <c r="J20" s="31" t="s">
        <v>95</v>
      </c>
      <c r="K20" s="31" t="s">
        <v>95</v>
      </c>
      <c r="L20" s="32">
        <v>2</v>
      </c>
      <c r="M20" s="31" t="s">
        <v>135</v>
      </c>
      <c r="N20" s="31" t="s">
        <v>136</v>
      </c>
      <c r="O20" s="33" t="str">
        <f t="shared" si="0"/>
        <v>Quincenal</v>
      </c>
      <c r="P20" s="31" t="s">
        <v>137</v>
      </c>
      <c r="Q20" s="34">
        <v>46109</v>
      </c>
      <c r="R20" s="35" t="str">
        <f t="shared" ca="1" si="1"/>
        <v>Al día</v>
      </c>
      <c r="S20" s="33" t="str">
        <f t="shared" si="2"/>
        <v>Mantener informado</v>
      </c>
      <c r="T20" s="36">
        <f t="shared" si="3"/>
        <v>58</v>
      </c>
      <c r="U20" s="33" t="str">
        <f t="shared" si="4"/>
        <v>Media</v>
      </c>
      <c r="V20" s="35">
        <f t="shared" si="5"/>
        <v>0</v>
      </c>
      <c r="W20" s="33" t="str">
        <f t="shared" si="6"/>
        <v>Actualizar y recoger feedback operativo</v>
      </c>
      <c r="X20" s="31"/>
      <c r="Y20" s="37">
        <f t="shared" si="7"/>
        <v>4</v>
      </c>
      <c r="Z20" s="37">
        <f t="shared" si="8"/>
        <v>4</v>
      </c>
      <c r="AA20" s="37">
        <f>IF(S20="","",COUNTIF($S$13:S20,S20))</f>
        <v>3</v>
      </c>
      <c r="AB20" s="37" t="str">
        <f t="shared" si="9"/>
        <v>Mantener informado|3</v>
      </c>
      <c r="AC20">
        <f>IF(T20="","",COUNTIF($T$13:$T$37,"&gt;"&amp;T20)+COUNTIF($T$13:T20,T20))</f>
        <v>11</v>
      </c>
    </row>
    <row r="21" spans="1:29" ht="25.5" x14ac:dyDescent="0.2">
      <c r="A21" s="30">
        <v>9</v>
      </c>
      <c r="B21" s="31" t="s">
        <v>138</v>
      </c>
      <c r="C21" s="31" t="s">
        <v>81</v>
      </c>
      <c r="D21" s="31" t="s">
        <v>138</v>
      </c>
      <c r="E21" s="31" t="s">
        <v>139</v>
      </c>
      <c r="F21" s="31" t="s">
        <v>140</v>
      </c>
      <c r="G21" s="32">
        <v>4</v>
      </c>
      <c r="H21" s="32">
        <v>3</v>
      </c>
      <c r="I21" s="32">
        <v>4</v>
      </c>
      <c r="J21" s="31" t="s">
        <v>94</v>
      </c>
      <c r="K21" s="31" t="s">
        <v>95</v>
      </c>
      <c r="L21" s="32">
        <v>3</v>
      </c>
      <c r="M21" s="31" t="s">
        <v>86</v>
      </c>
      <c r="N21" s="31" t="s">
        <v>141</v>
      </c>
      <c r="O21" s="33" t="str">
        <f t="shared" si="0"/>
        <v>Mensual</v>
      </c>
      <c r="P21" s="31" t="s">
        <v>142</v>
      </c>
      <c r="Q21" s="34">
        <v>46093</v>
      </c>
      <c r="R21" s="35" t="str">
        <f t="shared" ca="1" si="1"/>
        <v>Vencido</v>
      </c>
      <c r="S21" s="33" t="str">
        <f t="shared" si="2"/>
        <v>Mantener satisfecho</v>
      </c>
      <c r="T21" s="36">
        <f t="shared" si="3"/>
        <v>66</v>
      </c>
      <c r="U21" s="33" t="str">
        <f t="shared" si="4"/>
        <v>Alta</v>
      </c>
      <c r="V21" s="35">
        <f t="shared" si="5"/>
        <v>1</v>
      </c>
      <c r="W21" s="33" t="str">
        <f t="shared" si="6"/>
        <v>Resumen ejecutivo + gestión de riesgos clave</v>
      </c>
      <c r="X21" s="31"/>
      <c r="Y21" s="37">
        <f t="shared" si="7"/>
        <v>3</v>
      </c>
      <c r="Z21" s="37">
        <f t="shared" si="8"/>
        <v>4</v>
      </c>
      <c r="AA21" s="37">
        <f>IF(S21="","",COUNTIF($S$13:S21,S21))</f>
        <v>1</v>
      </c>
      <c r="AB21" s="37" t="str">
        <f t="shared" si="9"/>
        <v>Mantener satisfecho|1</v>
      </c>
      <c r="AC21">
        <f>IF(T21="","",COUNTIF($T$13:$T$37,"&gt;"&amp;T21)+COUNTIF($T$13:T21,T21))</f>
        <v>8</v>
      </c>
    </row>
    <row r="22" spans="1:29" ht="25.5" x14ac:dyDescent="0.2">
      <c r="A22" s="38">
        <v>10</v>
      </c>
      <c r="B22" s="31" t="s">
        <v>143</v>
      </c>
      <c r="C22" s="31" t="s">
        <v>81</v>
      </c>
      <c r="D22" s="31" t="s">
        <v>144</v>
      </c>
      <c r="E22" s="31" t="s">
        <v>145</v>
      </c>
      <c r="F22" s="31" t="s">
        <v>146</v>
      </c>
      <c r="G22" s="32">
        <v>4</v>
      </c>
      <c r="H22" s="32">
        <v>4</v>
      </c>
      <c r="I22" s="32">
        <v>5</v>
      </c>
      <c r="J22" s="31" t="s">
        <v>94</v>
      </c>
      <c r="K22" s="31" t="s">
        <v>95</v>
      </c>
      <c r="L22" s="32">
        <v>3</v>
      </c>
      <c r="M22" s="31" t="s">
        <v>147</v>
      </c>
      <c r="N22" s="31" t="s">
        <v>97</v>
      </c>
      <c r="O22" s="33" t="str">
        <f t="shared" si="0"/>
        <v>Semanal</v>
      </c>
      <c r="P22" s="31" t="s">
        <v>148</v>
      </c>
      <c r="Q22" s="34">
        <v>46103</v>
      </c>
      <c r="R22" s="35" t="str">
        <f t="shared" ca="1" si="1"/>
        <v>Próxima</v>
      </c>
      <c r="S22" s="33" t="str">
        <f t="shared" si="2"/>
        <v>Gestionar de cerca</v>
      </c>
      <c r="T22" s="36">
        <f t="shared" si="3"/>
        <v>74</v>
      </c>
      <c r="U22" s="33" t="str">
        <f t="shared" si="4"/>
        <v>Alta</v>
      </c>
      <c r="V22" s="35">
        <f t="shared" si="5"/>
        <v>1</v>
      </c>
      <c r="W22" s="33" t="str">
        <f t="shared" si="6"/>
        <v>Alinear beneficios y pedir validación quincenal</v>
      </c>
      <c r="X22" s="31"/>
      <c r="Y22" s="37">
        <f t="shared" si="7"/>
        <v>3</v>
      </c>
      <c r="Z22" s="37">
        <f t="shared" si="8"/>
        <v>4</v>
      </c>
      <c r="AA22" s="37">
        <f>IF(S22="","",COUNTIF($S$13:S22,S22))</f>
        <v>6</v>
      </c>
      <c r="AB22" s="37" t="str">
        <f t="shared" si="9"/>
        <v>Gestionar de cerca|6</v>
      </c>
      <c r="AC22">
        <f>IF(T22="","",COUNTIF($T$13:$T$37,"&gt;"&amp;T22)+COUNTIF($T$13:T22,T22))</f>
        <v>5</v>
      </c>
    </row>
    <row r="23" spans="1:29" ht="25.5" x14ac:dyDescent="0.2">
      <c r="A23" s="30">
        <v>11</v>
      </c>
      <c r="B23" s="31" t="s">
        <v>149</v>
      </c>
      <c r="C23" s="31" t="s">
        <v>90</v>
      </c>
      <c r="D23" s="31" t="s">
        <v>150</v>
      </c>
      <c r="E23" s="31" t="s">
        <v>151</v>
      </c>
      <c r="F23" s="31" t="s">
        <v>152</v>
      </c>
      <c r="G23" s="32">
        <v>2</v>
      </c>
      <c r="H23" s="32">
        <v>3</v>
      </c>
      <c r="I23" s="32">
        <v>2</v>
      </c>
      <c r="J23" s="31" t="s">
        <v>94</v>
      </c>
      <c r="K23" s="31" t="s">
        <v>94</v>
      </c>
      <c r="L23" s="32">
        <v>2</v>
      </c>
      <c r="M23" s="31" t="s">
        <v>153</v>
      </c>
      <c r="N23" s="31" t="s">
        <v>141</v>
      </c>
      <c r="O23" s="33" t="str">
        <f t="shared" si="0"/>
        <v>Mensual ligero</v>
      </c>
      <c r="P23" s="31" t="s">
        <v>154</v>
      </c>
      <c r="Q23" s="34">
        <v>46114</v>
      </c>
      <c r="R23" s="35" t="str">
        <f t="shared" ca="1" si="1"/>
        <v>Al día</v>
      </c>
      <c r="S23" s="33" t="str">
        <f t="shared" si="2"/>
        <v>Monitorear</v>
      </c>
      <c r="T23" s="36">
        <f t="shared" si="3"/>
        <v>43</v>
      </c>
      <c r="U23" s="33" t="str">
        <f t="shared" si="4"/>
        <v>Baja</v>
      </c>
      <c r="V23" s="35">
        <f t="shared" si="5"/>
        <v>0</v>
      </c>
      <c r="W23" s="33" t="str">
        <f t="shared" si="6"/>
        <v>Seguimiento ligero y escucha pasiva</v>
      </c>
      <c r="X23" s="31"/>
      <c r="Y23" s="37">
        <f t="shared" si="7"/>
        <v>3</v>
      </c>
      <c r="Z23" s="37">
        <f t="shared" si="8"/>
        <v>3</v>
      </c>
      <c r="AA23" s="37">
        <f>IF(S23="","",COUNTIF($S$13:S23,S23))</f>
        <v>1</v>
      </c>
      <c r="AB23" s="37" t="str">
        <f t="shared" si="9"/>
        <v>Monitorear|1</v>
      </c>
      <c r="AC23">
        <f>IF(T23="","",COUNTIF($T$13:$T$37,"&gt;"&amp;T23)+COUNTIF($T$13:T23,T23))</f>
        <v>15</v>
      </c>
    </row>
    <row r="24" spans="1:29" ht="38.25" x14ac:dyDescent="0.2">
      <c r="A24" s="38">
        <v>12</v>
      </c>
      <c r="B24" s="31" t="s">
        <v>155</v>
      </c>
      <c r="C24" s="31" t="s">
        <v>81</v>
      </c>
      <c r="D24" s="31" t="s">
        <v>156</v>
      </c>
      <c r="E24" s="31" t="s">
        <v>157</v>
      </c>
      <c r="F24" s="31" t="s">
        <v>158</v>
      </c>
      <c r="G24" s="32">
        <v>4</v>
      </c>
      <c r="H24" s="32">
        <v>5</v>
      </c>
      <c r="I24" s="32">
        <v>5</v>
      </c>
      <c r="J24" s="31" t="s">
        <v>108</v>
      </c>
      <c r="K24" s="31" t="s">
        <v>94</v>
      </c>
      <c r="L24" s="32">
        <v>5</v>
      </c>
      <c r="M24" s="31" t="s">
        <v>159</v>
      </c>
      <c r="N24" s="31" t="s">
        <v>97</v>
      </c>
      <c r="O24" s="33" t="str">
        <f t="shared" si="0"/>
        <v>Semanal</v>
      </c>
      <c r="P24" s="31" t="s">
        <v>160</v>
      </c>
      <c r="Q24" s="34">
        <v>46097</v>
      </c>
      <c r="R24" s="35" t="str">
        <f t="shared" ca="1" si="1"/>
        <v>Próxima</v>
      </c>
      <c r="S24" s="33" t="str">
        <f t="shared" si="2"/>
        <v>Gestionar de cerca</v>
      </c>
      <c r="T24" s="36">
        <f t="shared" si="3"/>
        <v>86</v>
      </c>
      <c r="U24" s="33" t="str">
        <f t="shared" si="4"/>
        <v>Crítica</v>
      </c>
      <c r="V24" s="35">
        <f t="shared" si="5"/>
        <v>1</v>
      </c>
      <c r="W24" s="33" t="str">
        <f t="shared" si="6"/>
        <v>Sponsor + reunión 1:1 + plan de objeciones</v>
      </c>
      <c r="X24" s="31"/>
      <c r="Y24" s="37">
        <f t="shared" si="7"/>
        <v>2</v>
      </c>
      <c r="Z24" s="37">
        <f t="shared" si="8"/>
        <v>3</v>
      </c>
      <c r="AA24" s="37">
        <f>IF(S24="","",COUNTIF($S$13:S24,S24))</f>
        <v>7</v>
      </c>
      <c r="AB24" s="37" t="str">
        <f t="shared" si="9"/>
        <v>Gestionar de cerca|7</v>
      </c>
      <c r="AC24">
        <f>IF(T24="","",COUNTIF($T$13:$T$37,"&gt;"&amp;T24)+COUNTIF($T$13:T24,T24))</f>
        <v>1</v>
      </c>
    </row>
    <row r="25" spans="1:29" ht="25.5" x14ac:dyDescent="0.2">
      <c r="A25" s="30">
        <v>13</v>
      </c>
      <c r="B25" s="31" t="s">
        <v>161</v>
      </c>
      <c r="C25" s="31" t="s">
        <v>90</v>
      </c>
      <c r="D25" s="31" t="s">
        <v>162</v>
      </c>
      <c r="E25" s="31" t="s">
        <v>163</v>
      </c>
      <c r="F25" s="31" t="s">
        <v>164</v>
      </c>
      <c r="G25" s="32">
        <v>2</v>
      </c>
      <c r="H25" s="32">
        <v>4</v>
      </c>
      <c r="I25" s="32">
        <v>3</v>
      </c>
      <c r="J25" s="31" t="s">
        <v>95</v>
      </c>
      <c r="K25" s="31" t="s">
        <v>95</v>
      </c>
      <c r="L25" s="32">
        <v>1</v>
      </c>
      <c r="M25" s="31" t="s">
        <v>165</v>
      </c>
      <c r="N25" s="31" t="s">
        <v>166</v>
      </c>
      <c r="O25" s="33" t="str">
        <f t="shared" si="0"/>
        <v>Quincenal</v>
      </c>
      <c r="P25" s="31" t="s">
        <v>167</v>
      </c>
      <c r="Q25" s="34">
        <v>46112</v>
      </c>
      <c r="R25" s="35" t="str">
        <f t="shared" ca="1" si="1"/>
        <v>Al día</v>
      </c>
      <c r="S25" s="33" t="str">
        <f t="shared" si="2"/>
        <v>Mantener informado</v>
      </c>
      <c r="T25" s="36">
        <f t="shared" si="3"/>
        <v>45</v>
      </c>
      <c r="U25" s="33" t="str">
        <f t="shared" si="4"/>
        <v>Baja</v>
      </c>
      <c r="V25" s="35">
        <f t="shared" si="5"/>
        <v>0</v>
      </c>
      <c r="W25" s="33" t="str">
        <f t="shared" si="6"/>
        <v>Actualizar y recoger feedback operativo</v>
      </c>
      <c r="X25" s="31"/>
      <c r="Y25" s="37">
        <f t="shared" si="7"/>
        <v>4</v>
      </c>
      <c r="Z25" s="37">
        <f t="shared" si="8"/>
        <v>4</v>
      </c>
      <c r="AA25" s="37">
        <f>IF(S25="","",COUNTIF($S$13:S25,S25))</f>
        <v>4</v>
      </c>
      <c r="AB25" s="37" t="str">
        <f t="shared" si="9"/>
        <v>Mantener informado|4</v>
      </c>
      <c r="AC25">
        <f>IF(T25="","",COUNTIF($T$13:$T$37,"&gt;"&amp;T25)+COUNTIF($T$13:T25,T25))</f>
        <v>14</v>
      </c>
    </row>
    <row r="26" spans="1:29" ht="25.5" x14ac:dyDescent="0.2">
      <c r="A26" s="38">
        <v>14</v>
      </c>
      <c r="B26" s="31" t="s">
        <v>168</v>
      </c>
      <c r="C26" s="31" t="s">
        <v>81</v>
      </c>
      <c r="D26" s="31" t="s">
        <v>169</v>
      </c>
      <c r="E26" s="31" t="s">
        <v>170</v>
      </c>
      <c r="F26" s="31" t="s">
        <v>171</v>
      </c>
      <c r="G26" s="32">
        <v>3</v>
      </c>
      <c r="H26" s="32">
        <v>4</v>
      </c>
      <c r="I26" s="32">
        <v>4</v>
      </c>
      <c r="J26" s="31" t="s">
        <v>94</v>
      </c>
      <c r="K26" s="31" t="s">
        <v>95</v>
      </c>
      <c r="L26" s="32">
        <v>3</v>
      </c>
      <c r="M26" s="31" t="s">
        <v>172</v>
      </c>
      <c r="N26" s="31" t="s">
        <v>110</v>
      </c>
      <c r="O26" s="33" t="str">
        <f t="shared" si="0"/>
        <v>Quincenal</v>
      </c>
      <c r="P26" s="31" t="s">
        <v>173</v>
      </c>
      <c r="Q26" s="34">
        <v>46108</v>
      </c>
      <c r="R26" s="35" t="str">
        <f t="shared" ca="1" si="1"/>
        <v>Al día</v>
      </c>
      <c r="S26" s="33" t="str">
        <f t="shared" si="2"/>
        <v>Mantener informado</v>
      </c>
      <c r="T26" s="36">
        <f t="shared" si="3"/>
        <v>64</v>
      </c>
      <c r="U26" s="33" t="str">
        <f t="shared" si="4"/>
        <v>Media</v>
      </c>
      <c r="V26" s="35">
        <f t="shared" si="5"/>
        <v>1</v>
      </c>
      <c r="W26" s="33" t="str">
        <f t="shared" si="6"/>
        <v>Actualizar y recoger feedback operativo</v>
      </c>
      <c r="X26" s="31"/>
      <c r="Y26" s="37">
        <f t="shared" si="7"/>
        <v>3</v>
      </c>
      <c r="Z26" s="37">
        <f t="shared" si="8"/>
        <v>4</v>
      </c>
      <c r="AA26" s="37">
        <f>IF(S26="","",COUNTIF($S$13:S26,S26))</f>
        <v>5</v>
      </c>
      <c r="AB26" s="37" t="str">
        <f t="shared" si="9"/>
        <v>Mantener informado|5</v>
      </c>
      <c r="AC26">
        <f>IF(T26="","",COUNTIF($T$13:$T$37,"&gt;"&amp;T26)+COUNTIF($T$13:T26,T26))</f>
        <v>9</v>
      </c>
    </row>
    <row r="27" spans="1:29" ht="25.5" x14ac:dyDescent="0.2">
      <c r="A27" s="30">
        <v>15</v>
      </c>
      <c r="B27" s="31" t="s">
        <v>174</v>
      </c>
      <c r="C27" s="31" t="s">
        <v>90</v>
      </c>
      <c r="D27" s="31" t="s">
        <v>175</v>
      </c>
      <c r="E27" s="31" t="s">
        <v>176</v>
      </c>
      <c r="F27" s="31" t="s">
        <v>177</v>
      </c>
      <c r="G27" s="32">
        <v>2</v>
      </c>
      <c r="H27" s="32">
        <v>5</v>
      </c>
      <c r="I27" s="32">
        <v>3</v>
      </c>
      <c r="J27" s="31" t="s">
        <v>95</v>
      </c>
      <c r="K27" s="31" t="s">
        <v>85</v>
      </c>
      <c r="L27" s="32">
        <v>1</v>
      </c>
      <c r="M27" s="31" t="s">
        <v>116</v>
      </c>
      <c r="N27" s="31" t="s">
        <v>117</v>
      </c>
      <c r="O27" s="33" t="str">
        <f t="shared" si="0"/>
        <v>Quincenal</v>
      </c>
      <c r="P27" s="31" t="s">
        <v>178</v>
      </c>
      <c r="Q27" s="34">
        <v>46116</v>
      </c>
      <c r="R27" s="35" t="str">
        <f t="shared" ca="1" si="1"/>
        <v>Al día</v>
      </c>
      <c r="S27" s="33" t="str">
        <f t="shared" si="2"/>
        <v>Mantener informado</v>
      </c>
      <c r="T27" s="36">
        <f t="shared" si="3"/>
        <v>51</v>
      </c>
      <c r="U27" s="33" t="str">
        <f t="shared" si="4"/>
        <v>Media</v>
      </c>
      <c r="V27" s="35">
        <f t="shared" si="5"/>
        <v>1</v>
      </c>
      <c r="W27" s="33" t="str">
        <f t="shared" si="6"/>
        <v>Actualizar y recoger feedback operativo</v>
      </c>
      <c r="X27" s="31"/>
      <c r="Y27" s="37">
        <f t="shared" si="7"/>
        <v>4</v>
      </c>
      <c r="Z27" s="37">
        <f t="shared" si="8"/>
        <v>5</v>
      </c>
      <c r="AA27" s="37">
        <f>IF(S27="","",COUNTIF($S$13:S27,S27))</f>
        <v>6</v>
      </c>
      <c r="AB27" s="37" t="str">
        <f t="shared" si="9"/>
        <v>Mantener informado|6</v>
      </c>
      <c r="AC27">
        <f>IF(T27="","",COUNTIF($T$13:$T$37,"&gt;"&amp;T27)+COUNTIF($T$13:T27,T27))</f>
        <v>13</v>
      </c>
    </row>
    <row r="28" spans="1:29" ht="12.75" x14ac:dyDescent="0.2">
      <c r="A28" s="38">
        <v>16</v>
      </c>
      <c r="B28" s="31"/>
      <c r="C28" s="31"/>
      <c r="D28" s="31"/>
      <c r="E28" s="31"/>
      <c r="F28" s="31"/>
      <c r="G28" s="32"/>
      <c r="H28" s="32"/>
      <c r="I28" s="32"/>
      <c r="J28" s="31"/>
      <c r="K28" s="31"/>
      <c r="L28" s="32"/>
      <c r="M28" s="31"/>
      <c r="N28" s="31"/>
      <c r="O28" s="33" t="str">
        <f t="shared" si="0"/>
        <v/>
      </c>
      <c r="P28" s="31"/>
      <c r="Q28" s="34"/>
      <c r="R28" s="35" t="str">
        <f t="shared" ca="1" si="1"/>
        <v>Sin fecha</v>
      </c>
      <c r="S28" s="33" t="str">
        <f t="shared" si="2"/>
        <v/>
      </c>
      <c r="T28" s="36" t="str">
        <f t="shared" si="3"/>
        <v/>
      </c>
      <c r="U28" s="33" t="str">
        <f t="shared" si="4"/>
        <v/>
      </c>
      <c r="V28" s="35" t="str">
        <f t="shared" si="5"/>
        <v/>
      </c>
      <c r="W28" s="33" t="str">
        <f t="shared" si="6"/>
        <v/>
      </c>
      <c r="X28" s="31"/>
      <c r="Y28" s="37" t="str">
        <f t="shared" si="7"/>
        <v/>
      </c>
      <c r="Z28" s="37" t="str">
        <f t="shared" si="8"/>
        <v/>
      </c>
      <c r="AA28" s="37" t="str">
        <f>IF(S28="","",COUNTIF($S$13:S28,S28))</f>
        <v/>
      </c>
      <c r="AB28" s="37" t="str">
        <f t="shared" si="9"/>
        <v/>
      </c>
      <c r="AC28" t="str">
        <f>IF(T28="","",COUNTIF($T$13:$T$37,"&gt;"&amp;T28)+COUNTIF($T$13:T28,T28))</f>
        <v/>
      </c>
    </row>
    <row r="29" spans="1:29" ht="12.75" x14ac:dyDescent="0.2">
      <c r="A29" s="30">
        <v>17</v>
      </c>
      <c r="B29" s="31"/>
      <c r="C29" s="31"/>
      <c r="D29" s="31"/>
      <c r="E29" s="31"/>
      <c r="F29" s="31"/>
      <c r="G29" s="32"/>
      <c r="H29" s="32"/>
      <c r="I29" s="32"/>
      <c r="J29" s="31"/>
      <c r="K29" s="31"/>
      <c r="L29" s="32"/>
      <c r="M29" s="31"/>
      <c r="N29" s="31"/>
      <c r="O29" s="33" t="str">
        <f t="shared" si="0"/>
        <v/>
      </c>
      <c r="P29" s="31"/>
      <c r="Q29" s="34"/>
      <c r="R29" s="35" t="str">
        <f t="shared" ca="1" si="1"/>
        <v>Sin fecha</v>
      </c>
      <c r="S29" s="33" t="str">
        <f t="shared" si="2"/>
        <v/>
      </c>
      <c r="T29" s="36" t="str">
        <f t="shared" si="3"/>
        <v/>
      </c>
      <c r="U29" s="33" t="str">
        <f t="shared" si="4"/>
        <v/>
      </c>
      <c r="V29" s="35" t="str">
        <f t="shared" si="5"/>
        <v/>
      </c>
      <c r="W29" s="33" t="str">
        <f t="shared" si="6"/>
        <v/>
      </c>
      <c r="X29" s="31"/>
      <c r="Y29" s="37" t="str">
        <f t="shared" si="7"/>
        <v/>
      </c>
      <c r="Z29" s="37" t="str">
        <f t="shared" si="8"/>
        <v/>
      </c>
      <c r="AA29" s="37" t="str">
        <f>IF(S29="","",COUNTIF($S$13:S29,S29))</f>
        <v/>
      </c>
      <c r="AB29" s="37" t="str">
        <f t="shared" si="9"/>
        <v/>
      </c>
      <c r="AC29" t="str">
        <f>IF(T29="","",COUNTIF($T$13:$T$37,"&gt;"&amp;T29)+COUNTIF($T$13:T29,T29))</f>
        <v/>
      </c>
    </row>
    <row r="30" spans="1:29" ht="12.75" x14ac:dyDescent="0.2">
      <c r="A30" s="38">
        <v>18</v>
      </c>
      <c r="B30" s="31"/>
      <c r="C30" s="31"/>
      <c r="D30" s="31"/>
      <c r="E30" s="31"/>
      <c r="F30" s="31"/>
      <c r="G30" s="32"/>
      <c r="H30" s="32"/>
      <c r="I30" s="32"/>
      <c r="J30" s="31"/>
      <c r="K30" s="31"/>
      <c r="L30" s="32"/>
      <c r="M30" s="31"/>
      <c r="N30" s="31"/>
      <c r="O30" s="33" t="str">
        <f t="shared" si="0"/>
        <v/>
      </c>
      <c r="P30" s="31"/>
      <c r="Q30" s="34"/>
      <c r="R30" s="35" t="str">
        <f t="shared" ca="1" si="1"/>
        <v>Sin fecha</v>
      </c>
      <c r="S30" s="33" t="str">
        <f t="shared" si="2"/>
        <v/>
      </c>
      <c r="T30" s="36" t="str">
        <f t="shared" si="3"/>
        <v/>
      </c>
      <c r="U30" s="33" t="str">
        <f t="shared" si="4"/>
        <v/>
      </c>
      <c r="V30" s="35" t="str">
        <f t="shared" si="5"/>
        <v/>
      </c>
      <c r="W30" s="33" t="str">
        <f t="shared" si="6"/>
        <v/>
      </c>
      <c r="X30" s="31"/>
      <c r="Y30" s="37" t="str">
        <f t="shared" si="7"/>
        <v/>
      </c>
      <c r="Z30" s="37" t="str">
        <f t="shared" si="8"/>
        <v/>
      </c>
      <c r="AA30" s="37" t="str">
        <f>IF(S30="","",COUNTIF($S$13:S30,S30))</f>
        <v/>
      </c>
      <c r="AB30" s="37" t="str">
        <f t="shared" si="9"/>
        <v/>
      </c>
      <c r="AC30" t="str">
        <f>IF(T30="","",COUNTIF($T$13:$T$37,"&gt;"&amp;T30)+COUNTIF($T$13:T30,T30))</f>
        <v/>
      </c>
    </row>
    <row r="31" spans="1:29" ht="12.75" x14ac:dyDescent="0.2">
      <c r="A31" s="30">
        <v>19</v>
      </c>
      <c r="B31" s="31"/>
      <c r="C31" s="31"/>
      <c r="D31" s="31"/>
      <c r="E31" s="31"/>
      <c r="F31" s="31"/>
      <c r="G31" s="32"/>
      <c r="H31" s="32"/>
      <c r="I31" s="32"/>
      <c r="J31" s="31"/>
      <c r="K31" s="31"/>
      <c r="L31" s="32"/>
      <c r="M31" s="31"/>
      <c r="N31" s="31"/>
      <c r="O31" s="33" t="str">
        <f t="shared" si="0"/>
        <v/>
      </c>
      <c r="P31" s="31"/>
      <c r="Q31" s="34"/>
      <c r="R31" s="35" t="str">
        <f t="shared" ca="1" si="1"/>
        <v>Sin fecha</v>
      </c>
      <c r="S31" s="33" t="str">
        <f t="shared" si="2"/>
        <v/>
      </c>
      <c r="T31" s="36" t="str">
        <f t="shared" si="3"/>
        <v/>
      </c>
      <c r="U31" s="33" t="str">
        <f t="shared" si="4"/>
        <v/>
      </c>
      <c r="V31" s="35" t="str">
        <f t="shared" si="5"/>
        <v/>
      </c>
      <c r="W31" s="33" t="str">
        <f t="shared" si="6"/>
        <v/>
      </c>
      <c r="X31" s="31"/>
      <c r="Y31" s="37" t="str">
        <f t="shared" si="7"/>
        <v/>
      </c>
      <c r="Z31" s="37" t="str">
        <f t="shared" si="8"/>
        <v/>
      </c>
      <c r="AA31" s="37" t="str">
        <f>IF(S31="","",COUNTIF($S$13:S31,S31))</f>
        <v/>
      </c>
      <c r="AB31" s="37" t="str">
        <f t="shared" si="9"/>
        <v/>
      </c>
      <c r="AC31" t="str">
        <f>IF(T31="","",COUNTIF($T$13:$T$37,"&gt;"&amp;T31)+COUNTIF($T$13:T31,T31))</f>
        <v/>
      </c>
    </row>
    <row r="32" spans="1:29" ht="12.75" x14ac:dyDescent="0.2">
      <c r="A32" s="38">
        <v>20</v>
      </c>
      <c r="B32" s="31"/>
      <c r="C32" s="31"/>
      <c r="D32" s="31"/>
      <c r="E32" s="31"/>
      <c r="F32" s="31"/>
      <c r="G32" s="32"/>
      <c r="H32" s="32"/>
      <c r="I32" s="32"/>
      <c r="J32" s="31"/>
      <c r="K32" s="31"/>
      <c r="L32" s="32"/>
      <c r="M32" s="31"/>
      <c r="N32" s="31"/>
      <c r="O32" s="33" t="str">
        <f t="shared" si="0"/>
        <v/>
      </c>
      <c r="P32" s="31"/>
      <c r="Q32" s="34"/>
      <c r="R32" s="35" t="str">
        <f t="shared" ca="1" si="1"/>
        <v>Sin fecha</v>
      </c>
      <c r="S32" s="33" t="str">
        <f t="shared" si="2"/>
        <v/>
      </c>
      <c r="T32" s="36" t="str">
        <f t="shared" si="3"/>
        <v/>
      </c>
      <c r="U32" s="33" t="str">
        <f t="shared" si="4"/>
        <v/>
      </c>
      <c r="V32" s="35" t="str">
        <f t="shared" si="5"/>
        <v/>
      </c>
      <c r="W32" s="33" t="str">
        <f t="shared" si="6"/>
        <v/>
      </c>
      <c r="X32" s="31"/>
      <c r="Y32" s="37" t="str">
        <f t="shared" si="7"/>
        <v/>
      </c>
      <c r="Z32" s="37" t="str">
        <f t="shared" si="8"/>
        <v/>
      </c>
      <c r="AA32" s="37" t="str">
        <f>IF(S32="","",COUNTIF($S$13:S32,S32))</f>
        <v/>
      </c>
      <c r="AB32" s="37" t="str">
        <f t="shared" si="9"/>
        <v/>
      </c>
      <c r="AC32" t="str">
        <f>IF(T32="","",COUNTIF($T$13:$T$37,"&gt;"&amp;T32)+COUNTIF($T$13:T32,T32))</f>
        <v/>
      </c>
    </row>
    <row r="33" spans="1:29" ht="12.75" x14ac:dyDescent="0.2">
      <c r="A33" s="30">
        <v>21</v>
      </c>
      <c r="B33" s="31"/>
      <c r="C33" s="31"/>
      <c r="D33" s="31"/>
      <c r="E33" s="31"/>
      <c r="F33" s="31"/>
      <c r="G33" s="32"/>
      <c r="H33" s="32"/>
      <c r="I33" s="32"/>
      <c r="J33" s="31"/>
      <c r="K33" s="31"/>
      <c r="L33" s="32"/>
      <c r="M33" s="31"/>
      <c r="N33" s="31"/>
      <c r="O33" s="33" t="str">
        <f t="shared" si="0"/>
        <v/>
      </c>
      <c r="P33" s="31"/>
      <c r="Q33" s="34"/>
      <c r="R33" s="35" t="str">
        <f t="shared" ca="1" si="1"/>
        <v>Sin fecha</v>
      </c>
      <c r="S33" s="33" t="str">
        <f t="shared" si="2"/>
        <v/>
      </c>
      <c r="T33" s="36" t="str">
        <f t="shared" si="3"/>
        <v/>
      </c>
      <c r="U33" s="33" t="str">
        <f t="shared" si="4"/>
        <v/>
      </c>
      <c r="V33" s="35" t="str">
        <f t="shared" si="5"/>
        <v/>
      </c>
      <c r="W33" s="33" t="str">
        <f t="shared" si="6"/>
        <v/>
      </c>
      <c r="X33" s="31"/>
      <c r="Y33" s="37" t="str">
        <f t="shared" si="7"/>
        <v/>
      </c>
      <c r="Z33" s="37" t="str">
        <f t="shared" si="8"/>
        <v/>
      </c>
      <c r="AA33" s="37" t="str">
        <f>IF(S33="","",COUNTIF($S$13:S33,S33))</f>
        <v/>
      </c>
      <c r="AB33" s="37" t="str">
        <f t="shared" si="9"/>
        <v/>
      </c>
      <c r="AC33" t="str">
        <f>IF(T33="","",COUNTIF($T$13:$T$37,"&gt;"&amp;T33)+COUNTIF($T$13:T33,T33))</f>
        <v/>
      </c>
    </row>
    <row r="34" spans="1:29" ht="12.75" x14ac:dyDescent="0.2">
      <c r="A34" s="38">
        <v>22</v>
      </c>
      <c r="B34" s="31"/>
      <c r="C34" s="31"/>
      <c r="D34" s="31"/>
      <c r="E34" s="31"/>
      <c r="F34" s="31"/>
      <c r="G34" s="32"/>
      <c r="H34" s="32"/>
      <c r="I34" s="32"/>
      <c r="J34" s="31"/>
      <c r="K34" s="31"/>
      <c r="L34" s="32"/>
      <c r="M34" s="31"/>
      <c r="N34" s="31"/>
      <c r="O34" s="33" t="str">
        <f t="shared" si="0"/>
        <v/>
      </c>
      <c r="P34" s="31"/>
      <c r="Q34" s="34"/>
      <c r="R34" s="35" t="str">
        <f t="shared" ca="1" si="1"/>
        <v>Sin fecha</v>
      </c>
      <c r="S34" s="33" t="str">
        <f t="shared" si="2"/>
        <v/>
      </c>
      <c r="T34" s="36" t="str">
        <f t="shared" si="3"/>
        <v/>
      </c>
      <c r="U34" s="33" t="str">
        <f t="shared" si="4"/>
        <v/>
      </c>
      <c r="V34" s="35" t="str">
        <f t="shared" si="5"/>
        <v/>
      </c>
      <c r="W34" s="33" t="str">
        <f t="shared" si="6"/>
        <v/>
      </c>
      <c r="X34" s="31"/>
      <c r="Y34" s="37" t="str">
        <f t="shared" si="7"/>
        <v/>
      </c>
      <c r="Z34" s="37" t="str">
        <f t="shared" si="8"/>
        <v/>
      </c>
      <c r="AA34" s="37" t="str">
        <f>IF(S34="","",COUNTIF($S$13:S34,S34))</f>
        <v/>
      </c>
      <c r="AB34" s="37" t="str">
        <f t="shared" si="9"/>
        <v/>
      </c>
      <c r="AC34" t="str">
        <f>IF(T34="","",COUNTIF($T$13:$T$37,"&gt;"&amp;T34)+COUNTIF($T$13:T34,T34))</f>
        <v/>
      </c>
    </row>
    <row r="35" spans="1:29" ht="12.75" x14ac:dyDescent="0.2">
      <c r="A35" s="30">
        <v>23</v>
      </c>
      <c r="B35" s="31"/>
      <c r="C35" s="31"/>
      <c r="D35" s="31"/>
      <c r="E35" s="31"/>
      <c r="F35" s="31"/>
      <c r="G35" s="32"/>
      <c r="H35" s="32"/>
      <c r="I35" s="32"/>
      <c r="J35" s="31"/>
      <c r="K35" s="31"/>
      <c r="L35" s="32"/>
      <c r="M35" s="31"/>
      <c r="N35" s="31"/>
      <c r="O35" s="33" t="str">
        <f t="shared" si="0"/>
        <v/>
      </c>
      <c r="P35" s="31"/>
      <c r="Q35" s="34"/>
      <c r="R35" s="35" t="str">
        <f t="shared" ca="1" si="1"/>
        <v>Sin fecha</v>
      </c>
      <c r="S35" s="33" t="str">
        <f t="shared" si="2"/>
        <v/>
      </c>
      <c r="T35" s="36" t="str">
        <f t="shared" si="3"/>
        <v/>
      </c>
      <c r="U35" s="33" t="str">
        <f t="shared" si="4"/>
        <v/>
      </c>
      <c r="V35" s="35" t="str">
        <f t="shared" si="5"/>
        <v/>
      </c>
      <c r="W35" s="33" t="str">
        <f t="shared" si="6"/>
        <v/>
      </c>
      <c r="X35" s="31"/>
      <c r="Y35" s="37" t="str">
        <f t="shared" si="7"/>
        <v/>
      </c>
      <c r="Z35" s="37" t="str">
        <f t="shared" si="8"/>
        <v/>
      </c>
      <c r="AA35" s="37" t="str">
        <f>IF(S35="","",COUNTIF($S$13:S35,S35))</f>
        <v/>
      </c>
      <c r="AB35" s="37" t="str">
        <f t="shared" si="9"/>
        <v/>
      </c>
      <c r="AC35" t="str">
        <f>IF(T35="","",COUNTIF($T$13:$T$37,"&gt;"&amp;T35)+COUNTIF($T$13:T35,T35))</f>
        <v/>
      </c>
    </row>
    <row r="36" spans="1:29" ht="12.75" x14ac:dyDescent="0.2">
      <c r="A36" s="38">
        <v>24</v>
      </c>
      <c r="B36" s="31"/>
      <c r="C36" s="31"/>
      <c r="D36" s="31"/>
      <c r="E36" s="31"/>
      <c r="F36" s="31"/>
      <c r="G36" s="32"/>
      <c r="H36" s="32"/>
      <c r="I36" s="32"/>
      <c r="J36" s="31"/>
      <c r="K36" s="31"/>
      <c r="L36" s="32"/>
      <c r="M36" s="31"/>
      <c r="N36" s="31"/>
      <c r="O36" s="33" t="str">
        <f t="shared" si="0"/>
        <v/>
      </c>
      <c r="P36" s="31"/>
      <c r="Q36" s="34"/>
      <c r="R36" s="35" t="str">
        <f t="shared" ca="1" si="1"/>
        <v>Sin fecha</v>
      </c>
      <c r="S36" s="33" t="str">
        <f t="shared" si="2"/>
        <v/>
      </c>
      <c r="T36" s="36" t="str">
        <f t="shared" si="3"/>
        <v/>
      </c>
      <c r="U36" s="33" t="str">
        <f t="shared" si="4"/>
        <v/>
      </c>
      <c r="V36" s="35" t="str">
        <f t="shared" si="5"/>
        <v/>
      </c>
      <c r="W36" s="33" t="str">
        <f t="shared" si="6"/>
        <v/>
      </c>
      <c r="X36" s="31"/>
      <c r="Y36" s="37" t="str">
        <f t="shared" si="7"/>
        <v/>
      </c>
      <c r="Z36" s="37" t="str">
        <f t="shared" si="8"/>
        <v/>
      </c>
      <c r="AA36" s="37" t="str">
        <f>IF(S36="","",COUNTIF($S$13:S36,S36))</f>
        <v/>
      </c>
      <c r="AB36" s="37" t="str">
        <f t="shared" si="9"/>
        <v/>
      </c>
      <c r="AC36" t="str">
        <f>IF(T36="","",COUNTIF($T$13:$T$37,"&gt;"&amp;T36)+COUNTIF($T$13:T36,T36))</f>
        <v/>
      </c>
    </row>
    <row r="37" spans="1:29" ht="12.75" x14ac:dyDescent="0.2">
      <c r="A37" s="30">
        <v>25</v>
      </c>
      <c r="B37" s="31"/>
      <c r="C37" s="31"/>
      <c r="D37" s="31"/>
      <c r="E37" s="31"/>
      <c r="F37" s="31"/>
      <c r="G37" s="32"/>
      <c r="H37" s="32"/>
      <c r="I37" s="32"/>
      <c r="J37" s="31"/>
      <c r="K37" s="31"/>
      <c r="L37" s="32"/>
      <c r="M37" s="31"/>
      <c r="N37" s="31"/>
      <c r="O37" s="33" t="str">
        <f t="shared" si="0"/>
        <v/>
      </c>
      <c r="P37" s="31"/>
      <c r="Q37" s="34"/>
      <c r="R37" s="35" t="str">
        <f t="shared" ca="1" si="1"/>
        <v>Sin fecha</v>
      </c>
      <c r="S37" s="33" t="str">
        <f t="shared" si="2"/>
        <v/>
      </c>
      <c r="T37" s="36" t="str">
        <f t="shared" si="3"/>
        <v/>
      </c>
      <c r="U37" s="33" t="str">
        <f t="shared" si="4"/>
        <v/>
      </c>
      <c r="V37" s="35" t="str">
        <f t="shared" si="5"/>
        <v/>
      </c>
      <c r="W37" s="33" t="str">
        <f t="shared" si="6"/>
        <v/>
      </c>
      <c r="X37" s="31"/>
      <c r="Y37" s="37" t="str">
        <f t="shared" si="7"/>
        <v/>
      </c>
      <c r="Z37" s="37" t="str">
        <f t="shared" si="8"/>
        <v/>
      </c>
      <c r="AA37" s="37" t="str">
        <f>IF(S37="","",COUNTIF($S$13:S37,S37))</f>
        <v/>
      </c>
      <c r="AB37" s="37" t="str">
        <f t="shared" si="9"/>
        <v/>
      </c>
      <c r="AC37" t="str">
        <f>IF(T37="","",COUNTIF($T$13:$T$37,"&gt;"&amp;T37)+COUNTIF($T$13:T37,T37))</f>
        <v/>
      </c>
    </row>
  </sheetData>
  <mergeCells count="2">
    <mergeCell ref="A1:X2"/>
    <mergeCell ref="A4:X5"/>
  </mergeCells>
  <conditionalFormatting sqref="J13:J37">
    <cfRule type="expression" dxfId="16" priority="2">
      <formula>$J13="Patrocinador"</formula>
    </cfRule>
    <cfRule type="expression" dxfId="15" priority="3">
      <formula>$J13="A favor"</formula>
    </cfRule>
    <cfRule type="expression" dxfId="14" priority="4">
      <formula>$J13="Neutral"</formula>
    </cfRule>
    <cfRule type="expression" dxfId="13" priority="5">
      <formula>$J13="En contra"</formula>
    </cfRule>
    <cfRule type="expression" dxfId="12" priority="6">
      <formula>$J13="Muy en contra"</formula>
    </cfRule>
  </conditionalFormatting>
  <conditionalFormatting sqref="K13:K37">
    <cfRule type="expression" dxfId="11" priority="7">
      <formula>$K13="Patrocinador"</formula>
    </cfRule>
    <cfRule type="expression" dxfId="10" priority="8">
      <formula>$K13="A favor"</formula>
    </cfRule>
    <cfRule type="expression" dxfId="9" priority="9">
      <formula>$K13="Neutral"</formula>
    </cfRule>
    <cfRule type="expression" dxfId="8" priority="10">
      <formula>$K13="En contra"</formula>
    </cfRule>
    <cfRule type="expression" dxfId="7" priority="11">
      <formula>$K13="Muy en contra"</formula>
    </cfRule>
  </conditionalFormatting>
  <conditionalFormatting sqref="R13:R37">
    <cfRule type="expression" dxfId="6" priority="12">
      <formula>$R13="Vencido"</formula>
    </cfRule>
    <cfRule type="expression" dxfId="5" priority="13">
      <formula>$R13="Próxima"</formula>
    </cfRule>
    <cfRule type="expression" dxfId="4" priority="14">
      <formula>$R13="Al día"</formula>
    </cfRule>
  </conditionalFormatting>
  <conditionalFormatting sqref="T13:T37">
    <cfRule type="colorScale" priority="19">
      <colorScale>
        <cfvo type="num" val="0"/>
        <cfvo type="num" val="60"/>
        <cfvo type="num" val="100"/>
        <color rgb="FFF4CCCC"/>
        <color rgb="FFFFF2CC"/>
        <color rgb="FFD9EAD3"/>
      </colorScale>
    </cfRule>
  </conditionalFormatting>
  <conditionalFormatting sqref="U13:U37">
    <cfRule type="expression" dxfId="3" priority="15">
      <formula>$U13="Crítica"</formula>
    </cfRule>
    <cfRule type="expression" dxfId="2" priority="16">
      <formula>$U13="Alta"</formula>
    </cfRule>
    <cfRule type="expression" dxfId="1" priority="17">
      <formula>$U13="Media"</formula>
    </cfRule>
    <cfRule type="expression" dxfId="0" priority="18">
      <formula>$U13="Baja"</formula>
    </cfRule>
  </conditionalFormatting>
  <dataValidations count="4">
    <dataValidation type="list" allowBlank="1" sqref="C13:C37" xr:uid="{00000000-0002-0000-0100-000000000000}">
      <formula1>TipoList</formula1>
      <formula2>0</formula2>
    </dataValidation>
    <dataValidation type="list" allowBlank="1" sqref="J13:K37" xr:uid="{00000000-0002-0000-0100-000001000000}">
      <formula1>ApoyoList</formula1>
      <formula2>0</formula2>
    </dataValidation>
    <dataValidation type="list" allowBlank="1" sqref="N13:N37" xr:uid="{00000000-0002-0000-0100-000002000000}">
      <formula1>CanalList</formula1>
      <formula2>0</formula2>
    </dataValidation>
    <dataValidation type="whole" allowBlank="1" promptTitle="Escala 1-5" prompt="Introduce un valor entre 1 y 5." sqref="G13:I37 L13:L37" xr:uid="{00000000-0002-0000-0100-000003000000}">
      <formula1>1</formula1>
      <formula2>5</formula2>
    </dataValidation>
  </dataValidations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"/>
  <sheetViews>
    <sheetView showGridLines="0" zoomScaleNormal="100" workbookViewId="0"/>
  </sheetViews>
  <sheetFormatPr baseColWidth="10" defaultColWidth="8.7109375" defaultRowHeight="15" customHeight="1" x14ac:dyDescent="0.2"/>
  <sheetData>
    <row r="1" spans="1:6" ht="15" customHeight="1" x14ac:dyDescent="0.2">
      <c r="A1" t="s">
        <v>56</v>
      </c>
      <c r="C1" t="s">
        <v>51</v>
      </c>
      <c r="D1" t="s">
        <v>179</v>
      </c>
      <c r="F1" t="s">
        <v>180</v>
      </c>
    </row>
    <row r="2" spans="1:6" ht="15" customHeight="1" x14ac:dyDescent="0.2">
      <c r="A2" t="s">
        <v>81</v>
      </c>
      <c r="C2" t="s">
        <v>181</v>
      </c>
      <c r="D2">
        <v>1</v>
      </c>
      <c r="F2" t="s">
        <v>97</v>
      </c>
    </row>
    <row r="3" spans="1:6" ht="15" customHeight="1" x14ac:dyDescent="0.2">
      <c r="A3" t="s">
        <v>90</v>
      </c>
      <c r="C3" t="s">
        <v>108</v>
      </c>
      <c r="D3">
        <v>2</v>
      </c>
      <c r="F3" t="s">
        <v>87</v>
      </c>
    </row>
    <row r="4" spans="1:6" ht="15" customHeight="1" x14ac:dyDescent="0.2">
      <c r="C4" t="s">
        <v>94</v>
      </c>
      <c r="D4">
        <v>3</v>
      </c>
      <c r="F4" t="s">
        <v>141</v>
      </c>
    </row>
    <row r="5" spans="1:6" ht="15" customHeight="1" x14ac:dyDescent="0.2">
      <c r="C5" t="s">
        <v>95</v>
      </c>
      <c r="D5">
        <v>4</v>
      </c>
      <c r="F5" t="s">
        <v>110</v>
      </c>
    </row>
    <row r="6" spans="1:6" ht="15" customHeight="1" x14ac:dyDescent="0.2">
      <c r="C6" t="s">
        <v>85</v>
      </c>
      <c r="D6">
        <v>5</v>
      </c>
      <c r="F6" t="s">
        <v>136</v>
      </c>
    </row>
    <row r="7" spans="1:6" ht="15" customHeight="1" x14ac:dyDescent="0.2">
      <c r="F7" t="s">
        <v>166</v>
      </c>
    </row>
    <row r="8" spans="1:6" ht="15" customHeight="1" x14ac:dyDescent="0.2">
      <c r="F8" t="s">
        <v>130</v>
      </c>
    </row>
    <row r="9" spans="1:6" ht="15" customHeight="1" x14ac:dyDescent="0.2">
      <c r="F9" t="s">
        <v>182</v>
      </c>
    </row>
    <row r="10" spans="1:6" ht="15" customHeight="1" x14ac:dyDescent="0.2">
      <c r="F10" t="s">
        <v>117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Mapa</vt:lpstr>
      <vt:lpstr>Registro</vt:lpstr>
      <vt:lpstr>Listas</vt:lpstr>
      <vt:lpstr>ApoyoList</vt:lpstr>
      <vt:lpstr>CanalList</vt:lpstr>
      <vt:lpstr>MapApoyo</vt:lpstr>
      <vt:lpstr>TipoList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2026-03-16T09:23:44Z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