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pa de stakeholders\"/>
    </mc:Choice>
  </mc:AlternateContent>
  <xr:revisionPtr revIDLastSave="0" documentId="8_{BE596A04-8FF6-4855-BEBE-D160BC43B2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pa" sheetId="2" r:id="rId1"/>
    <sheet name="Registro" sheetId="1" r:id="rId2"/>
    <sheet name="Listas" sheetId="3" r:id="rId3"/>
  </sheets>
  <definedNames>
    <definedName name="lista_apoyo">Listas!$D$2:$D$6</definedName>
    <definedName name="lista_canal">Listas!$F$2:$F$9</definedName>
    <definedName name="lista_categoria">Listas!$B$2:$B$10</definedName>
    <definedName name="lista_estado">Listas!$H$2:$H$6</definedName>
    <definedName name="lista_frecuencia">Listas!$G$2:$G$7</definedName>
    <definedName name="lista_nivel">Listas!$C$2:$C$6</definedName>
    <definedName name="lista_responsable">Listas!$E$2:$E$9</definedName>
    <definedName name="lista_tipo">Listas!$A$2:$A$7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5" i="3" l="1"/>
  <c r="M35" i="3"/>
  <c r="L35" i="3"/>
  <c r="K35" i="3"/>
  <c r="P34" i="3"/>
  <c r="M34" i="3"/>
  <c r="L34" i="3"/>
  <c r="K34" i="3"/>
  <c r="P33" i="3"/>
  <c r="M33" i="3"/>
  <c r="L33" i="3"/>
  <c r="K33" i="3"/>
  <c r="P32" i="3"/>
  <c r="M32" i="3"/>
  <c r="L32" i="3"/>
  <c r="K32" i="3"/>
  <c r="P31" i="3"/>
  <c r="M31" i="3"/>
  <c r="L31" i="3"/>
  <c r="K31" i="3"/>
  <c r="P30" i="3"/>
  <c r="N30" i="3"/>
  <c r="M30" i="3"/>
  <c r="L30" i="3"/>
  <c r="K30" i="3"/>
  <c r="P29" i="3"/>
  <c r="M29" i="3"/>
  <c r="L29" i="3"/>
  <c r="K29" i="3"/>
  <c r="P28" i="3"/>
  <c r="N28" i="3"/>
  <c r="M28" i="3"/>
  <c r="L28" i="3"/>
  <c r="K28" i="3"/>
  <c r="P27" i="3"/>
  <c r="M27" i="3"/>
  <c r="L27" i="3"/>
  <c r="K27" i="3"/>
  <c r="P26" i="3"/>
  <c r="M26" i="3"/>
  <c r="L26" i="3"/>
  <c r="K26" i="3"/>
  <c r="P25" i="3"/>
  <c r="M25" i="3"/>
  <c r="L25" i="3"/>
  <c r="K25" i="3"/>
  <c r="P24" i="3"/>
  <c r="N24" i="3"/>
  <c r="M24" i="3"/>
  <c r="L24" i="3"/>
  <c r="K24" i="3"/>
  <c r="P23" i="3"/>
  <c r="M23" i="3"/>
  <c r="K23" i="3"/>
  <c r="P22" i="3"/>
  <c r="M22" i="3"/>
  <c r="K22" i="3"/>
  <c r="P21" i="3"/>
  <c r="M21" i="3"/>
  <c r="K21" i="3"/>
  <c r="P20" i="3"/>
  <c r="M20" i="3"/>
  <c r="K20" i="3"/>
  <c r="P19" i="3"/>
  <c r="M19" i="3"/>
  <c r="K19" i="3"/>
  <c r="P18" i="3"/>
  <c r="M18" i="3"/>
  <c r="K18" i="3"/>
  <c r="P17" i="3"/>
  <c r="M17" i="3"/>
  <c r="K17" i="3"/>
  <c r="P16" i="3"/>
  <c r="M16" i="3"/>
  <c r="K16" i="3"/>
  <c r="P15" i="3"/>
  <c r="M15" i="3"/>
  <c r="K15" i="3"/>
  <c r="P14" i="3"/>
  <c r="M14" i="3"/>
  <c r="K14" i="3"/>
  <c r="P13" i="3"/>
  <c r="M13" i="3"/>
  <c r="K13" i="3"/>
  <c r="P12" i="3"/>
  <c r="M12" i="3"/>
  <c r="K12" i="3"/>
  <c r="P11" i="3"/>
  <c r="M11" i="3"/>
  <c r="K11" i="3"/>
  <c r="P10" i="3"/>
  <c r="M10" i="3"/>
  <c r="K10" i="3"/>
  <c r="P9" i="3"/>
  <c r="M9" i="3"/>
  <c r="K9" i="3"/>
  <c r="P8" i="3"/>
  <c r="M8" i="3"/>
  <c r="K8" i="3"/>
  <c r="P7" i="3"/>
  <c r="M7" i="3"/>
  <c r="K7" i="3"/>
  <c r="P6" i="3"/>
  <c r="M6" i="3"/>
  <c r="K6" i="3"/>
  <c r="B35" i="2"/>
  <c r="C35" i="2" s="1"/>
  <c r="B34" i="2"/>
  <c r="C34" i="2" s="1"/>
  <c r="B33" i="2"/>
  <c r="C33" i="2" s="1"/>
  <c r="B32" i="2"/>
  <c r="C32" i="2" s="1"/>
  <c r="C31" i="2"/>
  <c r="B31" i="2"/>
  <c r="F17" i="2"/>
  <c r="E17" i="2"/>
  <c r="D17" i="2"/>
  <c r="C17" i="2"/>
  <c r="B17" i="2"/>
  <c r="F16" i="2"/>
  <c r="E16" i="2"/>
  <c r="D16" i="2"/>
  <c r="C16" i="2"/>
  <c r="B16" i="2"/>
  <c r="F15" i="2"/>
  <c r="E15" i="2"/>
  <c r="D15" i="2"/>
  <c r="C15" i="2"/>
  <c r="B15" i="2"/>
  <c r="F14" i="2"/>
  <c r="E14" i="2"/>
  <c r="D14" i="2"/>
  <c r="C14" i="2"/>
  <c r="B14" i="2"/>
  <c r="F13" i="2"/>
  <c r="E13" i="2"/>
  <c r="D13" i="2"/>
  <c r="C13" i="2"/>
  <c r="B13" i="2"/>
  <c r="K6" i="2"/>
  <c r="H6" i="2"/>
  <c r="A6" i="2"/>
  <c r="J3" i="2"/>
  <c r="A3" i="2"/>
  <c r="J2" i="2"/>
  <c r="B2" i="2"/>
  <c r="M35" i="1"/>
  <c r="L35" i="1"/>
  <c r="K35" i="1"/>
  <c r="N35" i="3" s="1"/>
  <c r="A35" i="1"/>
  <c r="M34" i="1"/>
  <c r="L34" i="1"/>
  <c r="K34" i="1"/>
  <c r="N34" i="3" s="1"/>
  <c r="A34" i="1"/>
  <c r="M33" i="1"/>
  <c r="L33" i="1"/>
  <c r="K33" i="1"/>
  <c r="N33" i="3" s="1"/>
  <c r="A33" i="1"/>
  <c r="M32" i="1"/>
  <c r="L32" i="1"/>
  <c r="K32" i="1"/>
  <c r="N32" i="3" s="1"/>
  <c r="A32" i="1"/>
  <c r="M31" i="1"/>
  <c r="L31" i="1"/>
  <c r="K31" i="1"/>
  <c r="N31" i="3" s="1"/>
  <c r="A31" i="1"/>
  <c r="M30" i="1"/>
  <c r="L30" i="1"/>
  <c r="K30" i="1"/>
  <c r="A30" i="1"/>
  <c r="M29" i="1"/>
  <c r="L29" i="1"/>
  <c r="K29" i="1"/>
  <c r="N29" i="3" s="1"/>
  <c r="A29" i="1"/>
  <c r="M28" i="1"/>
  <c r="L28" i="1"/>
  <c r="K28" i="1"/>
  <c r="A28" i="1"/>
  <c r="M27" i="1"/>
  <c r="L27" i="1"/>
  <c r="K27" i="1"/>
  <c r="N27" i="3" s="1"/>
  <c r="A27" i="1"/>
  <c r="M26" i="1"/>
  <c r="L26" i="1"/>
  <c r="K26" i="1"/>
  <c r="N26" i="3" s="1"/>
  <c r="A26" i="1"/>
  <c r="M25" i="1"/>
  <c r="L25" i="1"/>
  <c r="K25" i="1"/>
  <c r="N25" i="3" s="1"/>
  <c r="A25" i="1"/>
  <c r="M24" i="1"/>
  <c r="L24" i="1"/>
  <c r="K24" i="1"/>
  <c r="A24" i="1"/>
  <c r="L23" i="1"/>
  <c r="M23" i="1" s="1"/>
  <c r="K23" i="1"/>
  <c r="N23" i="3" s="1"/>
  <c r="A23" i="1"/>
  <c r="M22" i="1"/>
  <c r="L22" i="1"/>
  <c r="K22" i="1"/>
  <c r="N22" i="3" s="1"/>
  <c r="A22" i="1"/>
  <c r="L21" i="1"/>
  <c r="M21" i="1" s="1"/>
  <c r="K21" i="1"/>
  <c r="N21" i="3" s="1"/>
  <c r="A21" i="1"/>
  <c r="M20" i="1"/>
  <c r="L20" i="1"/>
  <c r="K20" i="1"/>
  <c r="N20" i="3" s="1"/>
  <c r="A20" i="1"/>
  <c r="L19" i="1"/>
  <c r="M19" i="1" s="1"/>
  <c r="K19" i="1"/>
  <c r="N19" i="3" s="1"/>
  <c r="A19" i="1"/>
  <c r="L18" i="1"/>
  <c r="M18" i="1" s="1"/>
  <c r="K18" i="1"/>
  <c r="N18" i="3" s="1"/>
  <c r="A18" i="1"/>
  <c r="M17" i="1"/>
  <c r="L17" i="1"/>
  <c r="K17" i="1"/>
  <c r="N17" i="3" s="1"/>
  <c r="A17" i="1"/>
  <c r="L16" i="1"/>
  <c r="M16" i="1" s="1"/>
  <c r="K16" i="1"/>
  <c r="N16" i="3" s="1"/>
  <c r="A16" i="1"/>
  <c r="M15" i="1"/>
  <c r="L15" i="1"/>
  <c r="K15" i="1"/>
  <c r="N15" i="3" s="1"/>
  <c r="A15" i="1"/>
  <c r="L14" i="1"/>
  <c r="M14" i="1" s="1"/>
  <c r="K14" i="1"/>
  <c r="N14" i="3" s="1"/>
  <c r="A14" i="1"/>
  <c r="L13" i="1"/>
  <c r="M13" i="1" s="1"/>
  <c r="K13" i="1"/>
  <c r="N13" i="3" s="1"/>
  <c r="A13" i="1"/>
  <c r="M12" i="1"/>
  <c r="L12" i="1"/>
  <c r="K12" i="1"/>
  <c r="N12" i="3" s="1"/>
  <c r="A12" i="1"/>
  <c r="L11" i="1"/>
  <c r="M11" i="1" s="1"/>
  <c r="K11" i="1"/>
  <c r="N11" i="3" s="1"/>
  <c r="A11" i="1"/>
  <c r="M10" i="1"/>
  <c r="L10" i="1"/>
  <c r="K10" i="1"/>
  <c r="N10" i="3" s="1"/>
  <c r="A10" i="1"/>
  <c r="M9" i="1"/>
  <c r="L9" i="1"/>
  <c r="K9" i="1"/>
  <c r="N9" i="3" s="1"/>
  <c r="A9" i="1"/>
  <c r="L8" i="1"/>
  <c r="M8" i="1" s="1"/>
  <c r="K8" i="1"/>
  <c r="N8" i="3" s="1"/>
  <c r="A8" i="1"/>
  <c r="M7" i="1"/>
  <c r="L7" i="1"/>
  <c r="K7" i="1"/>
  <c r="N7" i="3" s="1"/>
  <c r="A7" i="1"/>
  <c r="L6" i="1"/>
  <c r="M6" i="1" s="1"/>
  <c r="K6" i="1"/>
  <c r="N6" i="3" s="1"/>
  <c r="A6" i="1"/>
  <c r="D6" i="2" l="1"/>
  <c r="L8" i="3"/>
  <c r="L12" i="3"/>
  <c r="L16" i="3"/>
  <c r="L20" i="3"/>
  <c r="H13" i="2"/>
  <c r="K13" i="2"/>
  <c r="H17" i="2"/>
  <c r="L9" i="3"/>
  <c r="L13" i="3"/>
  <c r="L17" i="3"/>
  <c r="L21" i="3"/>
  <c r="K17" i="2"/>
  <c r="L22" i="3"/>
  <c r="L6" i="3"/>
  <c r="L10" i="3"/>
  <c r="L14" i="3"/>
  <c r="L18" i="3"/>
  <c r="L7" i="3"/>
  <c r="L11" i="3"/>
  <c r="L15" i="3"/>
  <c r="L19" i="3"/>
  <c r="L23" i="3"/>
  <c r="K28" i="2" l="1"/>
  <c r="I26" i="2"/>
  <c r="F24" i="2"/>
  <c r="J28" i="2"/>
  <c r="H26" i="2"/>
  <c r="E24" i="2"/>
  <c r="I28" i="2"/>
  <c r="F26" i="2"/>
  <c r="D24" i="2"/>
  <c r="H28" i="2"/>
  <c r="E26" i="2"/>
  <c r="C24" i="2"/>
  <c r="I25" i="2"/>
  <c r="F28" i="2"/>
  <c r="D26" i="2"/>
  <c r="B24" i="2"/>
  <c r="E28" i="2"/>
  <c r="C26" i="2"/>
  <c r="K23" i="2"/>
  <c r="D28" i="2"/>
  <c r="B26" i="2"/>
  <c r="J23" i="2"/>
  <c r="K25" i="2"/>
  <c r="I23" i="2"/>
  <c r="B28" i="2"/>
  <c r="J25" i="2"/>
  <c r="H23" i="2"/>
  <c r="F23" i="2"/>
  <c r="C28" i="2"/>
  <c r="K27" i="2"/>
  <c r="J27" i="2"/>
  <c r="H25" i="2"/>
  <c r="E23" i="2"/>
  <c r="E27" i="2"/>
  <c r="C25" i="2"/>
  <c r="I27" i="2"/>
  <c r="F25" i="2"/>
  <c r="D23" i="2"/>
  <c r="H27" i="2"/>
  <c r="E25" i="2"/>
  <c r="C23" i="2"/>
  <c r="F27" i="2"/>
  <c r="D25" i="2"/>
  <c r="B23" i="2"/>
  <c r="D27" i="2"/>
  <c r="B25" i="2"/>
  <c r="C27" i="2"/>
  <c r="K24" i="2"/>
  <c r="B27" i="2"/>
  <c r="J24" i="2"/>
  <c r="K26" i="2"/>
  <c r="I24" i="2"/>
  <c r="J26" i="2"/>
  <c r="H24" i="2"/>
</calcChain>
</file>

<file path=xl/sharedStrings.xml><?xml version="1.0" encoding="utf-8"?>
<sst xmlns="http://schemas.openxmlformats.org/spreadsheetml/2006/main" count="557" uniqueCount="195">
  <si>
    <t>MAPA DE STAKEHOLDERS · REGISTRO OPERATIVO</t>
  </si>
  <si>
    <t>Proyecto</t>
  </si>
  <si>
    <t>Red de bicicletas eléctricas compartidas · Ciudad Río Norte</t>
  </si>
  <si>
    <t>Responsable del mapa</t>
  </si>
  <si>
    <t>PMO Movilidad + Oficina de Innovación Urbana</t>
  </si>
  <si>
    <t>Instrucciones rápidas:
1) Edita solo celdas beige.
2) Ajusta influencia/interés/impacto/dependencia del 1 al 5.
3) El cuadrante, la prioridad y la estrategia se recalculan automáticamente.</t>
  </si>
  <si>
    <t>Objetivo</t>
  </si>
  <si>
    <t>Desplegar 120 bicicletas, 24 estaciones y una app de movilidad integrada antes de la campaña de verano.</t>
  </si>
  <si>
    <t>Última revisión</t>
  </si>
  <si>
    <t>ID</t>
  </si>
  <si>
    <t>Stakeholder</t>
  </si>
  <si>
    <t>Tipo</t>
  </si>
  <si>
    <t>Categoría</t>
  </si>
  <si>
    <t>Rol / vínculo</t>
  </si>
  <si>
    <t>Influencia
(1-5)</t>
  </si>
  <si>
    <t>Interés
(1-5)</t>
  </si>
  <si>
    <t>Apoyo actual</t>
  </si>
  <si>
    <t>Impacto
(1-5)</t>
  </si>
  <si>
    <t>Dependencia
(1-5)</t>
  </si>
  <si>
    <t>Prioridad
(%)</t>
  </si>
  <si>
    <t>Cuadrante</t>
  </si>
  <si>
    <t>Estrategia sugerida</t>
  </si>
  <si>
    <t>Responsable
interno</t>
  </si>
  <si>
    <t>Canal preferente</t>
  </si>
  <si>
    <t>Frecuencia</t>
  </si>
  <si>
    <t>Próxima acción</t>
  </si>
  <si>
    <t>Fecha próxima</t>
  </si>
  <si>
    <t>Estado relación</t>
  </si>
  <si>
    <t>Riesgo / oportunidad clave</t>
  </si>
  <si>
    <t>Notas</t>
  </si>
  <si>
    <t>Concejalía de Movilidad</t>
  </si>
  <si>
    <t>Institucional</t>
  </si>
  <si>
    <t>Gobierno</t>
  </si>
  <si>
    <t>Sponsor político y decisor final</t>
  </si>
  <si>
    <t>Patrocina</t>
  </si>
  <si>
    <t>Movilidad</t>
  </si>
  <si>
    <t>Comité</t>
  </si>
  <si>
    <t>Semanal</t>
  </si>
  <si>
    <t>Validar plan de despliegue por fases</t>
  </si>
  <si>
    <t>Alineado</t>
  </si>
  <si>
    <t>Puede acelerar licencias y visibilidad pública</t>
  </si>
  <si>
    <t/>
  </si>
  <si>
    <t>Intervención municipal / Hacienda</t>
  </si>
  <si>
    <t>Finanzas</t>
  </si>
  <si>
    <t>Control presupuestario y contractual</t>
  </si>
  <si>
    <t>Neutral</t>
  </si>
  <si>
    <t>Mensual</t>
  </si>
  <si>
    <t>Cerrar revisión del modelo financiero anual</t>
  </si>
  <si>
    <t>En seguimiento</t>
  </si>
  <si>
    <t>Riesgo de recortes si no se acredita retorno público</t>
  </si>
  <si>
    <t>Policía Local</t>
  </si>
  <si>
    <t>Seguridad</t>
  </si>
  <si>
    <t>Ordenación vial, eventos y ocupación del espacio</t>
  </si>
  <si>
    <t>Favorece</t>
  </si>
  <si>
    <t>Reunión 1:1</t>
  </si>
  <si>
    <t>Quincenal</t>
  </si>
  <si>
    <t>Acordar protocolo de incidencias y retirada</t>
  </si>
  <si>
    <t>Puede reducir fricciones operativas y quejas</t>
  </si>
  <si>
    <t>Asociación de Vecinos del Centro</t>
  </si>
  <si>
    <t>Ciudadanía</t>
  </si>
  <si>
    <t>Comunidad</t>
  </si>
  <si>
    <t>Colectivo más expuesto al despliegue inicial</t>
  </si>
  <si>
    <t>Resiste</t>
  </si>
  <si>
    <t>Comunicación</t>
  </si>
  <si>
    <t>Taller</t>
  </si>
  <si>
    <t>Presentar mapa de estaciones y ajustes por ruido</t>
  </si>
  <si>
    <t>En riesgo</t>
  </si>
  <si>
    <t>Riesgo reputacional si perciben invasión del espacio público</t>
  </si>
  <si>
    <t>Comercios del casco histórico</t>
  </si>
  <si>
    <t>Comercial</t>
  </si>
  <si>
    <t>Afectados por la ubicación de estaciones y oportunidad de tráfico</t>
  </si>
  <si>
    <t>Lanzar propuesta de campaña conjunta con descuentos</t>
  </si>
  <si>
    <t>Pueden convertirse en promotores del uso diario</t>
  </si>
  <si>
    <t>Universidad Río Norte</t>
  </si>
  <si>
    <t>Partner</t>
  </si>
  <si>
    <t>Nodo de alta demanda potencial y validación piloto</t>
  </si>
  <si>
    <t>Presentación</t>
  </si>
  <si>
    <t>Definir estación piloto en campus norte</t>
  </si>
  <si>
    <t>Aporta adopción temprana y datos de uso</t>
  </si>
  <si>
    <t>Operador tecnológico de la app</t>
  </si>
  <si>
    <t>Proveedor</t>
  </si>
  <si>
    <t>Tecnología</t>
  </si>
  <si>
    <t>Desarrollo, integraciones y soporte de la app</t>
  </si>
  <si>
    <t>Revisar backlog crítico y pruebas de pago</t>
  </si>
  <si>
    <t>Dependencia alta para la salida a mercado</t>
  </si>
  <si>
    <t>Proveedor de estaciones y bicicletas</t>
  </si>
  <si>
    <t>Operaciones</t>
  </si>
  <si>
    <t>Suministro, montaje y garantía del hardware</t>
  </si>
  <si>
    <t>Llamada</t>
  </si>
  <si>
    <t>Confirmar cronograma logístico del primer lote</t>
  </si>
  <si>
    <t>Riesgo de retraso por aduanas en baterías</t>
  </si>
  <si>
    <t>Equipo de mantenimiento y reequilibrio</t>
  </si>
  <si>
    <t>Operación</t>
  </si>
  <si>
    <t>Operación diaria y redistribución de flota</t>
  </si>
  <si>
    <t>Visita de campo</t>
  </si>
  <si>
    <t>Diseñar rutas de reequilibrio para horas punta</t>
  </si>
  <si>
    <t>Clave para calidad percibida del servicio</t>
  </si>
  <si>
    <t>Comité de Accesibilidad Urbana</t>
  </si>
  <si>
    <t>Sostenibilidad</t>
  </si>
  <si>
    <t>Revisión de accesibilidad y seguridad peatonal</t>
  </si>
  <si>
    <t>Validar distancias mínimas y bordillos accesibles</t>
  </si>
  <si>
    <t>Puede mejorar aceptación social y diseño inclusivo</t>
  </si>
  <si>
    <t>Agencia local de turismo</t>
  </si>
  <si>
    <t>Difusión del servicio al visitante</t>
  </si>
  <si>
    <t>Email</t>
  </si>
  <si>
    <t>Preparar kit promocional para temporada alta</t>
  </si>
  <si>
    <t>Pendiente</t>
  </si>
  <si>
    <t>Oportunidad de ampliar uso no residente</t>
  </si>
  <si>
    <t>Prensa local</t>
  </si>
  <si>
    <t>Medios</t>
  </si>
  <si>
    <t>Amplifica percepción pública del proyecto</t>
  </si>
  <si>
    <t>Preparar dossier con mensajes y datos clave</t>
  </si>
  <si>
    <t>Puede escalar incidencias menores si no se gestiona</t>
  </si>
  <si>
    <t>Usuarios residentes potenciales</t>
  </si>
  <si>
    <t>Base de adopción recurrente del servicio</t>
  </si>
  <si>
    <t>Boletín</t>
  </si>
  <si>
    <t>Abrir lista de espera para beta de lanzamiento</t>
  </si>
  <si>
    <t>Su feedback acelera ajuste de producto</t>
  </si>
  <si>
    <t>Colectivo por el descanso nocturno</t>
  </si>
  <si>
    <t>Grupo crítico con movilidad compartida en zonas densas</t>
  </si>
  <si>
    <t>Bloquea</t>
  </si>
  <si>
    <t>Escuchar objeciones y proponer límites horarios de mantenimiento</t>
  </si>
  <si>
    <t>Puede movilizar oposición vecinal y cobertura negativa</t>
  </si>
  <si>
    <t>Aseguradora del servicio</t>
  </si>
  <si>
    <t>Cobertura de flota, usuarios y responsabilidad civil</t>
  </si>
  <si>
    <t>Legal</t>
  </si>
  <si>
    <t>Cerrar exclusiones y franquicias del contrato</t>
  </si>
  <si>
    <t>Condiciona la salida comercial y el coste del servicio</t>
  </si>
  <si>
    <t>Patrocinador bancario verde</t>
  </si>
  <si>
    <t>Co-financiación y apoyo reputacional</t>
  </si>
  <si>
    <t>Rel. Institucionales</t>
  </si>
  <si>
    <t>Definir activación de marca y métricas ESG</t>
  </si>
  <si>
    <t>Puede ampliar presupuesto de activación</t>
  </si>
  <si>
    <t>Área de Medio Ambiente</t>
  </si>
  <si>
    <t>Alineamiento con objetivos climáticos y de calidad del aire</t>
  </si>
  <si>
    <t>Acordar cuadro de mando de CO2 evitado</t>
  </si>
  <si>
    <t>Refuerza narrativa de impacto ambiental positivo</t>
  </si>
  <si>
    <t>Empresa de recarga eléctrica</t>
  </si>
  <si>
    <t>Infraestructura de recarga y SLA energético</t>
  </si>
  <si>
    <t>Cerrar SLA de puntos de carga y respuesta 24h</t>
  </si>
  <si>
    <t>Riesgo operativo si falla disponibilidad energética</t>
  </si>
  <si>
    <t>MAPA DE STAKEHOLDERS · VISTA EJECUTIVA</t>
  </si>
  <si>
    <t>Responsable</t>
  </si>
  <si>
    <t>Revisión</t>
  </si>
  <si>
    <t>Total stakeholders</t>
  </si>
  <si>
    <t>Prioridad crítica</t>
  </si>
  <si>
    <t>Oposición activa</t>
  </si>
  <si>
    <t>Aliados activos</t>
  </si>
  <si>
    <t>Densidad por influencia e interés</t>
  </si>
  <si>
    <t>Tratamiento recomendado por cuadrante</t>
  </si>
  <si>
    <t>Influencia ↓</t>
  </si>
  <si>
    <t>Gestionar de cerca</t>
  </si>
  <si>
    <t>Mantener satisfecho</t>
  </si>
  <si>
    <t>Alta influencia + alto interés.
Codiseño, validación y seguimiento cercano.</t>
  </si>
  <si>
    <t>Alta influencia + menor interés.
Resumen ejecutivo y validación en hitos.</t>
  </si>
  <si>
    <t>Mantener informado</t>
  </si>
  <si>
    <t>Monitorizar</t>
  </si>
  <si>
    <t>Interés →</t>
  </si>
  <si>
    <t>Menor influencia + alto interés.
Comunicación clara y feedback periódico.</t>
  </si>
  <si>
    <t>Menor influencia + menor interés.
Seguimiento ligero y vigilancia de cambios.</t>
  </si>
  <si>
    <t>Top stakeholders por prioridad</t>
  </si>
  <si>
    <t>Acciones clave para stakeholders prioritarios</t>
  </si>
  <si>
    <t>#</t>
  </si>
  <si>
    <t>Pri.</t>
  </si>
  <si>
    <t>Apoyo</t>
  </si>
  <si>
    <t>Resp.</t>
  </si>
  <si>
    <t>Acción</t>
  </si>
  <si>
    <t>Estado</t>
  </si>
  <si>
    <t>Distribución del apoyo actual</t>
  </si>
  <si>
    <t>Metodología inspirada en prácticas habituales de matrices poder/interés y planes de engagement. Fuentes estructurales en la hoja oculta 'Listas' (URLs en texto plano).</t>
  </si>
  <si>
    <t>lista_tipo</t>
  </si>
  <si>
    <t>lista_categoria</t>
  </si>
  <si>
    <t>lista_nivel</t>
  </si>
  <si>
    <t>lista_apoyo</t>
  </si>
  <si>
    <t>lista_responsable</t>
  </si>
  <si>
    <t>lista_canal</t>
  </si>
  <si>
    <t>lista_frecuencia</t>
  </si>
  <si>
    <t>lista_estado</t>
  </si>
  <si>
    <t>Fuentes metodológicas consultadas</t>
  </si>
  <si>
    <t>apoyo_num</t>
  </si>
  <si>
    <t>orden_prioridad</t>
  </si>
  <si>
    <t>orden_fecha</t>
  </si>
  <si>
    <t>nivel_prioridad</t>
  </si>
  <si>
    <t>rango_fecha</t>
  </si>
  <si>
    <t>fecha_txt</t>
  </si>
  <si>
    <t>PMO</t>
  </si>
  <si>
    <t>https://www.smartsheet.com/content/stakeholder-mapping-template</t>
  </si>
  <si>
    <t>https://www.projectmanager.com/templates/stakeholder-map-template</t>
  </si>
  <si>
    <t>https://www.projectmanager.com/templates/stakeholder-analysis-template</t>
  </si>
  <si>
    <t>Bimensual</t>
  </si>
  <si>
    <t>https://www.atlassian.com/software/confluence/templates/stakeholder-mapping</t>
  </si>
  <si>
    <t>Trimestral</t>
  </si>
  <si>
    <t>Cerrado</t>
  </si>
  <si>
    <t>https://www.minciencia.gob.cl/uploads/filer_public/76/2d/762dd4e0-a99b-4261-bdea-3a0519dd353f/manual_priorizacion.pdf</t>
  </si>
  <si>
    <t>A demanda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</si>
</sst>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%&quot;"/>
    <numFmt numFmtId="165" formatCode="0.0%"/>
  </numFmts>
  <fonts count="13" x14ac:knownFonts="1">
    <font>
      <sz val="11"/>
      <color theme="1"/>
      <name val="Calibri"/>
      <family val="2"/>
      <scheme val="minor"/>
    </font>
    <font>
      <b/>
      <sz val="10"/>
      <color rgb="FF121528"/>
      <name val="Calibri"/>
    </font>
    <font>
      <sz val="8"/>
      <color rgb="FF6E7480"/>
      <name val="Calibri"/>
    </font>
    <font>
      <b/>
      <sz val="16"/>
      <color rgb="FFFFFFFF"/>
      <name val="Calibri"/>
    </font>
    <font>
      <sz val="10"/>
      <color rgb="FF222222"/>
      <name val="Calibri"/>
    </font>
    <font>
      <sz val="9"/>
      <color rgb="FF222222"/>
      <name val="Calibri"/>
    </font>
    <font>
      <b/>
      <sz val="11"/>
      <color rgb="FFFFFFFF"/>
      <name val="Calibri"/>
    </font>
    <font>
      <b/>
      <sz val="10"/>
      <color rgb="FF31415C"/>
      <name val="Calibri"/>
    </font>
    <font>
      <b/>
      <sz val="22"/>
      <color rgb="FFFFFFFF"/>
      <name val="Calibri"/>
    </font>
    <font>
      <b/>
      <sz val="16"/>
      <color rgb="FF121528"/>
      <name val="Calibri"/>
    </font>
    <font>
      <b/>
      <sz val="18"/>
      <color rgb="FF121528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D9D5CA"/>
      </patternFill>
    </fill>
    <fill>
      <patternFill patternType="solid">
        <fgColor rgb="FFEEECE1"/>
      </patternFill>
    </fill>
    <fill>
      <patternFill patternType="solid">
        <fgColor rgb="FFF7F5EE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C9C6BC"/>
      </left>
      <right style="thin">
        <color rgb="FFC9C6BC"/>
      </right>
      <top style="thin">
        <color rgb="FFC9C6BC"/>
      </top>
      <bottom style="thin">
        <color rgb="FFC9C6BC"/>
      </bottom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 style="thin">
        <color rgb="FFC9C6BC"/>
      </right>
      <top/>
      <bottom style="thin">
        <color rgb="FFC9C6BC"/>
      </bottom>
      <diagonal/>
    </border>
    <border>
      <left/>
      <right/>
      <top/>
      <bottom style="thin">
        <color rgb="FFC9C6BC"/>
      </bottom>
      <diagonal/>
    </border>
    <border>
      <left/>
      <right/>
      <top style="thin">
        <color rgb="FFC9C6BC"/>
      </top>
      <bottom/>
      <diagonal/>
    </border>
    <border>
      <left/>
      <right style="thin">
        <color rgb="FFC9C6BC"/>
      </right>
      <top style="thin">
        <color rgb="FFC9C6BC"/>
      </top>
      <bottom/>
      <diagonal/>
    </border>
    <border>
      <left style="thin">
        <color rgb="FFC9C6BC"/>
      </left>
      <right/>
      <top/>
      <bottom style="thin">
        <color rgb="FFC9C6BC"/>
      </bottom>
      <diagonal/>
    </border>
    <border>
      <left/>
      <right/>
      <top style="thin">
        <color rgb="FFC9C6BC"/>
      </top>
      <bottom style="thin">
        <color rgb="FFC9C6BC"/>
      </bottom>
      <diagonal/>
    </border>
    <border>
      <left/>
      <right style="thin">
        <color rgb="FFC9C6BC"/>
      </right>
      <top style="thin">
        <color rgb="FFC9C6BC"/>
      </top>
      <bottom style="thin">
        <color rgb="FFC9C6BC"/>
      </bottom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164" fontId="1" fillId="6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" fillId="0" borderId="0" xfId="0" applyFont="1"/>
    <xf numFmtId="14" fontId="5" fillId="6" borderId="1" xfId="0" applyNumberFormat="1" applyFont="1" applyFill="1" applyBorder="1" applyAlignment="1">
      <alignment horizontal="center" vertical="center" wrapText="1"/>
    </xf>
    <xf numFmtId="1" fontId="5" fillId="6" borderId="1" xfId="0" applyNumberFormat="1" applyFont="1" applyFill="1" applyBorder="1" applyAlignment="1">
      <alignment horizontal="center" vertical="center" wrapText="1"/>
    </xf>
    <xf numFmtId="165" fontId="5" fillId="6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0" fillId="6" borderId="19" xfId="0" applyFill="1" applyBorder="1"/>
    <xf numFmtId="0" fontId="6" fillId="2" borderId="1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left" vertical="center" wrapText="1"/>
    </xf>
    <xf numFmtId="0" fontId="0" fillId="6" borderId="19" xfId="0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14" fontId="5" fillId="6" borderId="1" xfId="0" applyNumberFormat="1" applyFont="1" applyFill="1" applyBorder="1" applyAlignment="1">
      <alignment horizontal="left" vertical="center" wrapText="1"/>
    </xf>
    <xf numFmtId="0" fontId="5" fillId="6" borderId="19" xfId="0" applyFont="1" applyFill="1" applyBorder="1" applyAlignment="1">
      <alignment horizontal="left" vertical="center" wrapText="1"/>
    </xf>
    <xf numFmtId="14" fontId="4" fillId="4" borderId="3" xfId="0" applyNumberFormat="1" applyFont="1" applyFill="1" applyBorder="1" applyAlignment="1">
      <alignment horizontal="left" vertical="center" wrapText="1"/>
    </xf>
    <xf numFmtId="0" fontId="0" fillId="0" borderId="4" xfId="0" applyBorder="1"/>
    <xf numFmtId="0" fontId="0" fillId="0" borderId="3" xfId="0" applyBorder="1"/>
    <xf numFmtId="0" fontId="5" fillId="5" borderId="1" xfId="0" applyFont="1" applyFill="1" applyBorder="1" applyAlignment="1">
      <alignment horizontal="left" vertical="top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4" borderId="3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/>
    <xf numFmtId="0" fontId="5" fillId="6" borderId="1" xfId="0" applyFont="1" applyFill="1" applyBorder="1" applyAlignment="1">
      <alignment horizontal="left" vertical="top" wrapText="1"/>
    </xf>
    <xf numFmtId="0" fontId="10" fillId="5" borderId="1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6" fillId="2" borderId="2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1" fillId="3" borderId="1" xfId="0" applyFont="1" applyFill="1" applyBorder="1" applyAlignment="1">
      <alignment horizontal="center" vertical="center" wrapText="1"/>
    </xf>
    <xf numFmtId="1" fontId="8" fillId="2" borderId="2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top" wrapText="1"/>
    </xf>
    <xf numFmtId="0" fontId="11" fillId="2" borderId="0" xfId="0" applyFont="1" applyFill="1" applyAlignment="1">
      <alignment horizontal="center" vertical="center" wrapText="1"/>
    </xf>
    <xf numFmtId="0" fontId="12" fillId="0" borderId="0" xfId="0" applyFont="1"/>
  </cellXfs>
  <cellStyles count="1">
    <cellStyle name="Normal" xfId="0" builtinId="0"/>
  </cellStyles>
  <dxfs count="10">
    <dxf>
      <font>
        <b/>
        <color rgb="FF2E7D32"/>
      </font>
      <fill>
        <patternFill>
          <bgColor rgb="FFE7F4EA"/>
        </patternFill>
      </fill>
    </dxf>
    <dxf>
      <font>
        <b/>
        <color rgb="FFA12A2A"/>
      </font>
      <fill>
        <patternFill>
          <bgColor rgb="FFFCE8E6"/>
        </patternFill>
      </fill>
    </dxf>
    <dxf>
      <fill>
        <patternFill>
          <bgColor rgb="FFFCE8E6"/>
        </patternFill>
      </fill>
    </dxf>
    <dxf>
      <font>
        <b/>
        <color rgb="FF1B5E20"/>
      </font>
      <fill>
        <patternFill>
          <bgColor rgb="FFDCEEE3"/>
        </patternFill>
      </fill>
    </dxf>
    <dxf>
      <font>
        <b/>
        <color rgb="FF2E7D32"/>
      </font>
      <fill>
        <patternFill>
          <bgColor rgb="FFE7F4EA"/>
        </patternFill>
      </fill>
    </dxf>
    <dxf>
      <font>
        <b/>
        <color rgb="FF8A6D1D"/>
      </font>
      <fill>
        <patternFill>
          <bgColor rgb="FFFFF5D9"/>
        </patternFill>
      </fill>
    </dxf>
    <dxf>
      <font>
        <b/>
        <color rgb="FFA65D1B"/>
      </font>
      <fill>
        <patternFill>
          <bgColor rgb="FFFCEFE3"/>
        </patternFill>
      </fill>
    </dxf>
    <dxf>
      <font>
        <b/>
        <color rgb="FFA12A2A"/>
      </font>
      <fill>
        <patternFill>
          <bgColor rgb="FFFCE8E6"/>
        </patternFill>
      </fill>
    </dxf>
    <dxf>
      <font>
        <b/>
        <color rgb="FF2E7D32"/>
      </font>
      <fill>
        <patternFill>
          <bgColor rgb="FFE7F4EA"/>
        </patternFill>
      </fill>
    </dxf>
    <dxf>
      <font>
        <b/>
        <color rgb="FFA12A2A"/>
      </font>
      <fill>
        <patternFill>
          <bgColor rgb="FFFCE8E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Apoyo actual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Mapa!$A$31:$A$35</c:f>
              <c:strCache>
                <c:ptCount val="5"/>
                <c:pt idx="0">
                  <c:v>Bloquea</c:v>
                </c:pt>
                <c:pt idx="1">
                  <c:v>Resiste</c:v>
                </c:pt>
                <c:pt idx="2">
                  <c:v>Neutral</c:v>
                </c:pt>
                <c:pt idx="3">
                  <c:v>Favorece</c:v>
                </c:pt>
                <c:pt idx="4">
                  <c:v>Patrocina</c:v>
                </c:pt>
              </c:strCache>
            </c:strRef>
          </c:cat>
          <c:val>
            <c:numRef>
              <c:f>Mapa!$B$31:$B$35</c:f>
              <c:numCache>
                <c:formatCode>0</c:formatCode>
                <c:ptCount val="5"/>
                <c:pt idx="0">
                  <c:v>1</c:v>
                </c:pt>
                <c:pt idx="1">
                  <c:v>1</c:v>
                </c:pt>
                <c:pt idx="2">
                  <c:v>5</c:v>
                </c:pt>
                <c:pt idx="3">
                  <c:v>9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74-4A6E-AFD6-C67629130A14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</c:dLbls>
        <c:gapWidth val="4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152400</xdr:colOff>
      <xdr:row>4</xdr:row>
      <xdr:rowOff>180975</xdr:rowOff>
    </xdr:from>
    <xdr:to>
      <xdr:col>23</xdr:col>
      <xdr:colOff>314326</xdr:colOff>
      <xdr:row>18</xdr:row>
      <xdr:rowOff>142875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9"/>
  <sheetViews>
    <sheetView showGridLines="0" tabSelected="1" workbookViewId="0">
      <selection activeCell="AA27" sqref="AA27"/>
    </sheetView>
  </sheetViews>
  <sheetFormatPr baseColWidth="10" defaultColWidth="9.140625" defaultRowHeight="15" x14ac:dyDescent="0.25"/>
  <cols>
    <col min="1" max="1" width="5.85546875" bestFit="1" customWidth="1"/>
    <col min="2" max="2" width="18.42578125" customWidth="1"/>
    <col min="3" max="4" width="13.7109375" customWidth="1"/>
    <col min="5" max="5" width="8.28515625" bestFit="1" customWidth="1"/>
    <col min="6" max="6" width="11.85546875" bestFit="1" customWidth="1"/>
    <col min="7" max="7" width="9.28515625" bestFit="1" customWidth="1"/>
    <col min="8" max="8" width="21.7109375" bestFit="1" customWidth="1"/>
    <col min="9" max="9" width="15.7109375" customWidth="1"/>
    <col min="10" max="10" width="11.85546875" bestFit="1" customWidth="1"/>
    <col min="11" max="11" width="13.140625" bestFit="1" customWidth="1"/>
    <col min="12" max="14" width="2" customWidth="1"/>
  </cols>
  <sheetData>
    <row r="1" spans="1:14" ht="32.25" x14ac:dyDescent="0.5">
      <c r="A1" s="51" t="s">
        <v>141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25.5" x14ac:dyDescent="0.25">
      <c r="A2" s="1" t="s">
        <v>1</v>
      </c>
      <c r="B2" s="30" t="str">
        <f>Registro!B2</f>
        <v>Red de bicicletas eléctricas compartidas · Ciudad Río Norte</v>
      </c>
      <c r="C2" s="24"/>
      <c r="D2" s="24"/>
      <c r="E2" s="24"/>
      <c r="F2" s="24"/>
      <c r="G2" s="24"/>
      <c r="H2" s="25"/>
      <c r="I2" s="1" t="s">
        <v>142</v>
      </c>
      <c r="J2" s="30" t="str">
        <f>Registro!K2</f>
        <v>PMO Movilidad + Oficina de Innovación Urbana</v>
      </c>
      <c r="K2" s="24"/>
      <c r="L2" s="24"/>
      <c r="M2" s="24"/>
      <c r="N2" s="25"/>
    </row>
    <row r="3" spans="1:14" x14ac:dyDescent="0.25">
      <c r="A3" s="26" t="str">
        <f>Registro!B3</f>
        <v>Desplegar 120 bicicletas, 24 estaciones y una app de movilidad integrada antes de la campaña de verano.</v>
      </c>
      <c r="B3" s="27"/>
      <c r="C3" s="27"/>
      <c r="D3" s="27"/>
      <c r="E3" s="27"/>
      <c r="F3" s="27"/>
      <c r="G3" s="27"/>
      <c r="H3" s="28"/>
      <c r="I3" s="1" t="s">
        <v>143</v>
      </c>
      <c r="J3" s="23">
        <f>Registro!K3</f>
        <v>46127</v>
      </c>
      <c r="K3" s="24"/>
      <c r="L3" s="25"/>
    </row>
    <row r="4" spans="1:14" x14ac:dyDescent="0.25">
      <c r="A4" s="29"/>
      <c r="B4" s="24"/>
      <c r="C4" s="24"/>
      <c r="D4" s="24"/>
      <c r="E4" s="24"/>
      <c r="F4" s="24"/>
      <c r="G4" s="24"/>
      <c r="H4" s="25"/>
    </row>
    <row r="6" spans="1:14" x14ac:dyDescent="0.25">
      <c r="A6" s="41">
        <f>COUNTA(Registro!$B$6:$B$35)</f>
        <v>30</v>
      </c>
      <c r="B6" s="42"/>
      <c r="C6" s="43"/>
      <c r="D6" s="41">
        <f>COUNTIF(Listas!$N$6:$N$35,"Crítico")</f>
        <v>5</v>
      </c>
      <c r="E6" s="42"/>
      <c r="F6" s="43"/>
      <c r="H6" s="41">
        <f>COUNTIF(Registro!$H$6:$H$35,"Bloquea")+COUNTIF(Registro!$H$6:$H$35,"Resiste")</f>
        <v>2</v>
      </c>
      <c r="I6" s="42"/>
      <c r="J6" s="43"/>
      <c r="K6" s="41">
        <f>COUNTIF(Registro!$H$6:$H$35,"Favorece")+COUNTIF(Registro!$H$6:$H$35,"Patrocina")</f>
        <v>11</v>
      </c>
      <c r="L6" s="42"/>
      <c r="M6" s="42"/>
      <c r="N6" s="43"/>
    </row>
    <row r="7" spans="1:14" x14ac:dyDescent="0.25">
      <c r="A7" s="44"/>
      <c r="B7" s="32"/>
      <c r="C7" s="45"/>
      <c r="D7" s="44"/>
      <c r="E7" s="32"/>
      <c r="F7" s="45"/>
      <c r="H7" s="44"/>
      <c r="I7" s="32"/>
      <c r="J7" s="45"/>
      <c r="K7" s="44"/>
      <c r="L7" s="32"/>
      <c r="M7" s="32"/>
      <c r="N7" s="45"/>
    </row>
    <row r="8" spans="1:14" x14ac:dyDescent="0.25">
      <c r="A8" s="46"/>
      <c r="B8" s="47"/>
      <c r="C8" s="48"/>
      <c r="D8" s="46"/>
      <c r="E8" s="47"/>
      <c r="F8" s="48"/>
      <c r="H8" s="46"/>
      <c r="I8" s="47"/>
      <c r="J8" s="48"/>
      <c r="K8" s="46"/>
      <c r="L8" s="47"/>
      <c r="M8" s="47"/>
      <c r="N8" s="48"/>
    </row>
    <row r="9" spans="1:14" x14ac:dyDescent="0.25">
      <c r="A9" s="40" t="s">
        <v>144</v>
      </c>
      <c r="B9" s="35"/>
      <c r="C9" s="36"/>
      <c r="D9" s="40" t="s">
        <v>145</v>
      </c>
      <c r="E9" s="35"/>
      <c r="F9" s="36"/>
      <c r="H9" s="40" t="s">
        <v>146</v>
      </c>
      <c r="I9" s="35"/>
      <c r="J9" s="36"/>
      <c r="K9" s="40" t="s">
        <v>147</v>
      </c>
      <c r="L9" s="35"/>
      <c r="M9" s="35"/>
      <c r="N9" s="36"/>
    </row>
    <row r="11" spans="1:14" x14ac:dyDescent="0.25">
      <c r="A11" s="40" t="s">
        <v>148</v>
      </c>
      <c r="B11" s="35"/>
      <c r="C11" s="35"/>
      <c r="D11" s="35"/>
      <c r="E11" s="35"/>
      <c r="F11" s="36"/>
      <c r="H11" s="40" t="s">
        <v>149</v>
      </c>
      <c r="I11" s="35"/>
      <c r="J11" s="35"/>
      <c r="K11" s="35"/>
      <c r="L11" s="35"/>
      <c r="M11" s="35"/>
      <c r="N11" s="36"/>
    </row>
    <row r="12" spans="1:14" ht="45" x14ac:dyDescent="0.25">
      <c r="A12" s="2" t="s">
        <v>150</v>
      </c>
      <c r="B12" s="2">
        <v>1</v>
      </c>
      <c r="C12" s="2">
        <v>2</v>
      </c>
      <c r="D12" s="2">
        <v>3</v>
      </c>
      <c r="E12" s="2">
        <v>4</v>
      </c>
      <c r="F12" s="2">
        <v>5</v>
      </c>
      <c r="H12" s="37" t="s">
        <v>151</v>
      </c>
      <c r="I12" s="38"/>
      <c r="J12" s="39"/>
      <c r="K12" s="37" t="s">
        <v>152</v>
      </c>
      <c r="L12" s="38"/>
      <c r="M12" s="38"/>
      <c r="N12" s="39"/>
    </row>
    <row r="13" spans="1:14" ht="21" x14ac:dyDescent="0.25">
      <c r="A13" s="2">
        <v>5</v>
      </c>
      <c r="B13" s="10">
        <f>COUNTIFS(Registro!$F$6:$F$35,$A13,Registro!$G$6:$G$35,B$12)</f>
        <v>0</v>
      </c>
      <c r="C13" s="10">
        <f>COUNTIFS(Registro!$F$6:$F$35,$A13,Registro!$G$6:$G$35,C$12)</f>
        <v>0</v>
      </c>
      <c r="D13" s="10">
        <f>COUNTIFS(Registro!$F$6:$F$35,$A13,Registro!$G$6:$G$35,D$12)</f>
        <v>1</v>
      </c>
      <c r="E13" s="10">
        <f>COUNTIFS(Registro!$F$6:$F$35,$A13,Registro!$G$6:$G$35,E$12)</f>
        <v>0</v>
      </c>
      <c r="F13" s="10">
        <f>COUNTIFS(Registro!$F$6:$F$35,$A13,Registro!$G$6:$G$35,F$12)</f>
        <v>1</v>
      </c>
      <c r="H13" s="34">
        <f>COUNTIF(Registro!$L$6:$L$35,"Gestionar de cerca")</f>
        <v>7</v>
      </c>
      <c r="I13" s="35"/>
      <c r="J13" s="36"/>
      <c r="K13" s="34">
        <f>COUNTIF(Registro!$L$6:$L$35,"Mantener satisfecho")</f>
        <v>2</v>
      </c>
      <c r="L13" s="35"/>
      <c r="M13" s="35"/>
      <c r="N13" s="36"/>
    </row>
    <row r="14" spans="1:14" ht="21" x14ac:dyDescent="0.25">
      <c r="A14" s="2">
        <v>4</v>
      </c>
      <c r="B14" s="10">
        <f>COUNTIFS(Registro!$F$6:$F$35,$A14,Registro!$G$6:$G$35,B$12)</f>
        <v>0</v>
      </c>
      <c r="C14" s="10">
        <f>COUNTIFS(Registro!$F$6:$F$35,$A14,Registro!$G$6:$G$35,C$12)</f>
        <v>0</v>
      </c>
      <c r="D14" s="10">
        <f>COUNTIFS(Registro!$F$6:$F$35,$A14,Registro!$G$6:$G$35,D$12)</f>
        <v>1</v>
      </c>
      <c r="E14" s="10">
        <f>COUNTIFS(Registro!$F$6:$F$35,$A14,Registro!$G$6:$G$35,E$12)</f>
        <v>3</v>
      </c>
      <c r="F14" s="10">
        <f>COUNTIFS(Registro!$F$6:$F$35,$A14,Registro!$G$6:$G$35,F$12)</f>
        <v>3</v>
      </c>
      <c r="H14" s="33" t="s">
        <v>153</v>
      </c>
      <c r="I14" s="27"/>
      <c r="J14" s="28"/>
      <c r="K14" s="33" t="s">
        <v>154</v>
      </c>
      <c r="L14" s="27"/>
      <c r="M14" s="27"/>
      <c r="N14" s="28"/>
    </row>
    <row r="15" spans="1:14" ht="21" x14ac:dyDescent="0.25">
      <c r="A15" s="2">
        <v>3</v>
      </c>
      <c r="B15" s="10">
        <f>COUNTIFS(Registro!$F$6:$F$35,$A15,Registro!$G$6:$G$35,B$12)</f>
        <v>0</v>
      </c>
      <c r="C15" s="10">
        <f>COUNTIFS(Registro!$F$6:$F$35,$A15,Registro!$G$6:$G$35,C$12)</f>
        <v>0</v>
      </c>
      <c r="D15" s="10">
        <f>COUNTIFS(Registro!$F$6:$F$35,$A15,Registro!$G$6:$G$35,D$12)</f>
        <v>1</v>
      </c>
      <c r="E15" s="10">
        <f>COUNTIFS(Registro!$F$6:$F$35,$A15,Registro!$G$6:$G$35,E$12)</f>
        <v>5</v>
      </c>
      <c r="F15" s="10">
        <f>COUNTIFS(Registro!$F$6:$F$35,$A15,Registro!$G$6:$G$35,F$12)</f>
        <v>1</v>
      </c>
      <c r="H15" s="29"/>
      <c r="I15" s="24"/>
      <c r="J15" s="25"/>
      <c r="K15" s="29"/>
      <c r="L15" s="24"/>
      <c r="M15" s="24"/>
      <c r="N15" s="25"/>
    </row>
    <row r="16" spans="1:14" ht="21" x14ac:dyDescent="0.25">
      <c r="A16" s="2">
        <v>2</v>
      </c>
      <c r="B16" s="10">
        <f>COUNTIFS(Registro!$F$6:$F$35,$A16,Registro!$G$6:$G$35,B$12)</f>
        <v>0</v>
      </c>
      <c r="C16" s="10">
        <f>COUNTIFS(Registro!$F$6:$F$35,$A16,Registro!$G$6:$G$35,C$12)</f>
        <v>0</v>
      </c>
      <c r="D16" s="10">
        <f>COUNTIFS(Registro!$F$6:$F$35,$A16,Registro!$G$6:$G$35,D$12)</f>
        <v>1</v>
      </c>
      <c r="E16" s="10">
        <f>COUNTIFS(Registro!$F$6:$F$35,$A16,Registro!$G$6:$G$35,E$12)</f>
        <v>0</v>
      </c>
      <c r="F16" s="10">
        <f>COUNTIFS(Registro!$F$6:$F$35,$A16,Registro!$G$6:$G$35,F$12)</f>
        <v>1</v>
      </c>
      <c r="H16" s="37" t="s">
        <v>155</v>
      </c>
      <c r="I16" s="38"/>
      <c r="J16" s="39"/>
      <c r="K16" s="37" t="s">
        <v>156</v>
      </c>
      <c r="L16" s="38"/>
      <c r="M16" s="38"/>
      <c r="N16" s="39"/>
    </row>
    <row r="17" spans="1:14" ht="21" x14ac:dyDescent="0.25">
      <c r="A17" s="2">
        <v>1</v>
      </c>
      <c r="B17" s="10">
        <f>COUNTIFS(Registro!$F$6:$F$35,$A17,Registro!$G$6:$G$35,B$12)</f>
        <v>0</v>
      </c>
      <c r="C17" s="10">
        <f>COUNTIFS(Registro!$F$6:$F$35,$A17,Registro!$G$6:$G$35,C$12)</f>
        <v>0</v>
      </c>
      <c r="D17" s="10">
        <f>COUNTIFS(Registro!$F$6:$F$35,$A17,Registro!$G$6:$G$35,D$12)</f>
        <v>0</v>
      </c>
      <c r="E17" s="10">
        <f>COUNTIFS(Registro!$F$6:$F$35,$A17,Registro!$G$6:$G$35,E$12)</f>
        <v>0</v>
      </c>
      <c r="F17" s="10">
        <f>COUNTIFS(Registro!$F$6:$F$35,$A17,Registro!$G$6:$G$35,F$12)</f>
        <v>0</v>
      </c>
      <c r="H17" s="34">
        <f>COUNTIF(Registro!$L$6:$L$35,"Mantener informado")</f>
        <v>7</v>
      </c>
      <c r="I17" s="35"/>
      <c r="J17" s="36"/>
      <c r="K17" s="34">
        <f>COUNTIF(Registro!$L$6:$L$35,"Monitorizar")</f>
        <v>2</v>
      </c>
      <c r="L17" s="35"/>
      <c r="M17" s="35"/>
      <c r="N17" s="36"/>
    </row>
    <row r="18" spans="1:14" x14ac:dyDescent="0.25">
      <c r="B18" s="11" t="s">
        <v>157</v>
      </c>
      <c r="H18" s="33" t="s">
        <v>158</v>
      </c>
      <c r="I18" s="27"/>
      <c r="J18" s="28"/>
      <c r="K18" s="33" t="s">
        <v>159</v>
      </c>
      <c r="L18" s="27"/>
      <c r="M18" s="27"/>
      <c r="N18" s="28"/>
    </row>
    <row r="19" spans="1:14" x14ac:dyDescent="0.25">
      <c r="H19" s="29"/>
      <c r="I19" s="24"/>
      <c r="J19" s="25"/>
      <c r="K19" s="29"/>
      <c r="L19" s="24"/>
      <c r="M19" s="24"/>
      <c r="N19" s="25"/>
    </row>
    <row r="21" spans="1:14" x14ac:dyDescent="0.25">
      <c r="A21" s="49" t="s">
        <v>160</v>
      </c>
      <c r="B21" s="35"/>
      <c r="C21" s="35"/>
      <c r="D21" s="35"/>
      <c r="E21" s="35"/>
      <c r="F21" s="36"/>
      <c r="G21" s="49" t="s">
        <v>161</v>
      </c>
      <c r="H21" s="35"/>
      <c r="I21" s="35"/>
      <c r="J21" s="35"/>
      <c r="K21" s="36"/>
      <c r="L21" s="16"/>
      <c r="M21" s="16"/>
      <c r="N21" s="16"/>
    </row>
    <row r="22" spans="1:14" x14ac:dyDescent="0.25">
      <c r="A22" s="17" t="s">
        <v>162</v>
      </c>
      <c r="B22" s="17" t="s">
        <v>10</v>
      </c>
      <c r="C22" s="17" t="s">
        <v>20</v>
      </c>
      <c r="D22" s="17" t="s">
        <v>163</v>
      </c>
      <c r="E22" s="17" t="s">
        <v>164</v>
      </c>
      <c r="F22" s="17" t="s">
        <v>165</v>
      </c>
      <c r="G22" s="17" t="s">
        <v>162</v>
      </c>
      <c r="H22" s="17" t="s">
        <v>10</v>
      </c>
      <c r="I22" s="17" t="s">
        <v>166</v>
      </c>
      <c r="J22" s="17" t="s">
        <v>165</v>
      </c>
      <c r="K22" s="17" t="s">
        <v>167</v>
      </c>
      <c r="L22" s="18"/>
      <c r="M22" s="19"/>
      <c r="N22" s="19"/>
    </row>
    <row r="23" spans="1:14" ht="24" x14ac:dyDescent="0.25">
      <c r="A23" s="20">
        <v>1</v>
      </c>
      <c r="B23" s="8" t="str">
        <f>IFERROR(INDEX(Registro!$B$6:$B$35,MATCH(LARGE(Listas!$L$6:$L$35,ROWS($A$23:A23)),Listas!$L$6:$L$35,0)),"")</f>
        <v>Concejalía de Movilidad</v>
      </c>
      <c r="C23" s="8" t="str">
        <f>IFERROR(INDEX(Registro!$L$6:$L$35,MATCH(LARGE(Listas!$L$6:$L$35,ROWS($A$23:A23)),Listas!$L$6:$L$35,0)),"")</f>
        <v>Gestionar de cerca</v>
      </c>
      <c r="D23" s="6">
        <f>IFERROR(INDEX(Registro!$K$6:$K$35,MATCH(LARGE(Listas!$L$6:$L$35,ROWS($A$23:A23)),Listas!$L$6:$L$35,0)),"")</f>
        <v>88</v>
      </c>
      <c r="E23" s="8" t="str">
        <f>IFERROR(INDEX(Registro!$H$6:$H$35,MATCH(LARGE(Listas!$L$6:$L$35,ROWS($A$23:A23)),Listas!$L$6:$L$35,0)),"")</f>
        <v>Patrocina</v>
      </c>
      <c r="F23" s="8" t="str">
        <f>IFERROR(INDEX(Registro!$N$6:$N$35,MATCH(LARGE(Listas!$L$6:$L$35,ROWS($A$23:A23)),Listas!$L$6:$L$35,0)),"")</f>
        <v>Movilidad</v>
      </c>
      <c r="G23" s="12">
        <v>1</v>
      </c>
      <c r="H23" s="21" t="str">
        <f>IFERROR(INDEX(Registro!$B$6:$B$35,MATCH(LARGE(Listas!$L$6:$L$35,ROWS($G$23:G23)),Listas!$L$6:$L$35,0)),"")</f>
        <v>Concejalía de Movilidad</v>
      </c>
      <c r="I23" s="8" t="str">
        <f>IFERROR(INDEX(Registro!$Q$6:$Q$35,MATCH(LARGE(Listas!$L$6:$L$35,ROWS($G$23:G23)),Listas!$L$6:$L$35,0)),"")</f>
        <v>Validar plan de despliegue por fases</v>
      </c>
      <c r="J23" s="8" t="str">
        <f>IFERROR(INDEX(Registro!$N$6:$N$35,MATCH(LARGE(Listas!$L$6:$L$35,ROWS($G$23:G23)),Listas!$L$6:$L$35,0)),"")</f>
        <v>Movilidad</v>
      </c>
      <c r="K23" s="8" t="str">
        <f>IFERROR(INDEX(Registro!$S$6:$S$35,MATCH(LARGE(Listas!$L$6:$L$35,ROWS($G$23:G23)),Listas!$L$6:$L$35,0)),"")</f>
        <v>Alineado</v>
      </c>
      <c r="L23" s="22"/>
      <c r="M23" s="19"/>
      <c r="N23" s="16"/>
    </row>
    <row r="24" spans="1:14" ht="24" x14ac:dyDescent="0.25">
      <c r="A24" s="20">
        <v>2</v>
      </c>
      <c r="B24" s="8" t="str">
        <f>IFERROR(INDEX(Registro!$B$6:$B$35,MATCH(LARGE(Listas!$L$6:$L$35,ROWS($A$23:A24)),Listas!$L$6:$L$35,0)),"")</f>
        <v>Proveedor de estaciones y bicicletas</v>
      </c>
      <c r="C24" s="8" t="str">
        <f>IFERROR(INDEX(Registro!$L$6:$L$35,MATCH(LARGE(Listas!$L$6:$L$35,ROWS($A$23:A24)),Listas!$L$6:$L$35,0)),"")</f>
        <v>Gestionar de cerca</v>
      </c>
      <c r="D24" s="6">
        <f>IFERROR(INDEX(Registro!$K$6:$K$35,MATCH(LARGE(Listas!$L$6:$L$35,ROWS($A$23:A24)),Listas!$L$6:$L$35,0)),"")</f>
        <v>84</v>
      </c>
      <c r="E24" s="8" t="str">
        <f>IFERROR(INDEX(Registro!$H$6:$H$35,MATCH(LARGE(Listas!$L$6:$L$35,ROWS($A$23:A24)),Listas!$L$6:$L$35,0)),"")</f>
        <v>Favorece</v>
      </c>
      <c r="F24" s="8" t="str">
        <f>IFERROR(INDEX(Registro!$N$6:$N$35,MATCH(LARGE(Listas!$L$6:$L$35,ROWS($A$23:A24)),Listas!$L$6:$L$35,0)),"")</f>
        <v>Operaciones</v>
      </c>
      <c r="G24" s="12">
        <v>2</v>
      </c>
      <c r="H24" s="21" t="str">
        <f>IFERROR(INDEX(Registro!$B$6:$B$35,MATCH(LARGE(Listas!$L$6:$L$35,ROWS($G$23:G24)),Listas!$L$6:$L$35,0)),"")</f>
        <v>Proveedor de estaciones y bicicletas</v>
      </c>
      <c r="I24" s="8" t="str">
        <f>IFERROR(INDEX(Registro!$Q$6:$Q$35,MATCH(LARGE(Listas!$L$6:$L$35,ROWS($G$23:G24)),Listas!$L$6:$L$35,0)),"")</f>
        <v>Confirmar cronograma logístico del primer lote</v>
      </c>
      <c r="J24" s="8" t="str">
        <f>IFERROR(INDEX(Registro!$N$6:$N$35,MATCH(LARGE(Listas!$L$6:$L$35,ROWS($G$23:G24)),Listas!$L$6:$L$35,0)),"")</f>
        <v>Operaciones</v>
      </c>
      <c r="K24" s="8" t="str">
        <f>IFERROR(INDEX(Registro!$S$6:$S$35,MATCH(LARGE(Listas!$L$6:$L$35,ROWS($G$23:G24)),Listas!$L$6:$L$35,0)),"")</f>
        <v>En seguimiento</v>
      </c>
      <c r="L24" s="22"/>
      <c r="M24" s="19"/>
      <c r="N24" s="16"/>
    </row>
    <row r="25" spans="1:14" ht="24" x14ac:dyDescent="0.25">
      <c r="A25" s="20">
        <v>3</v>
      </c>
      <c r="B25" s="8" t="str">
        <f>IFERROR(INDEX(Registro!$B$6:$B$35,MATCH(LARGE(Listas!$L$6:$L$35,ROWS($A$23:A25)),Listas!$L$6:$L$35,0)),"")</f>
        <v>Operador tecnológico de la app</v>
      </c>
      <c r="C25" s="8" t="str">
        <f>IFERROR(INDEX(Registro!$L$6:$L$35,MATCH(LARGE(Listas!$L$6:$L$35,ROWS($A$23:A25)),Listas!$L$6:$L$35,0)),"")</f>
        <v>Gestionar de cerca</v>
      </c>
      <c r="D25" s="6">
        <f>IFERROR(INDEX(Registro!$K$6:$K$35,MATCH(LARGE(Listas!$L$6:$L$35,ROWS($A$23:A25)),Listas!$L$6:$L$35,0)),"")</f>
        <v>84</v>
      </c>
      <c r="E25" s="8" t="str">
        <f>IFERROR(INDEX(Registro!$H$6:$H$35,MATCH(LARGE(Listas!$L$6:$L$35,ROWS($A$23:A25)),Listas!$L$6:$L$35,0)),"")</f>
        <v>Favorece</v>
      </c>
      <c r="F25" s="8" t="str">
        <f>IFERROR(INDEX(Registro!$N$6:$N$35,MATCH(LARGE(Listas!$L$6:$L$35,ROWS($A$23:A25)),Listas!$L$6:$L$35,0)),"")</f>
        <v>Tecnología</v>
      </c>
      <c r="G25" s="12">
        <v>3</v>
      </c>
      <c r="H25" s="21" t="str">
        <f>IFERROR(INDEX(Registro!$B$6:$B$35,MATCH(LARGE(Listas!$L$6:$L$35,ROWS($G$23:G25)),Listas!$L$6:$L$35,0)),"")</f>
        <v>Operador tecnológico de la app</v>
      </c>
      <c r="I25" s="8" t="str">
        <f>IFERROR(INDEX(Registro!$Q$6:$Q$35,MATCH(LARGE(Listas!$L$6:$L$35,ROWS($G$23:G25)),Listas!$L$6:$L$35,0)),"")</f>
        <v>Revisar backlog crítico y pruebas de pago</v>
      </c>
      <c r="J25" s="8" t="str">
        <f>IFERROR(INDEX(Registro!$N$6:$N$35,MATCH(LARGE(Listas!$L$6:$L$35,ROWS($G$23:G25)),Listas!$L$6:$L$35,0)),"")</f>
        <v>Tecnología</v>
      </c>
      <c r="K25" s="8" t="str">
        <f>IFERROR(INDEX(Registro!$S$6:$S$35,MATCH(LARGE(Listas!$L$6:$L$35,ROWS($G$23:G25)),Listas!$L$6:$L$35,0)),"")</f>
        <v>En seguimiento</v>
      </c>
      <c r="L25" s="22"/>
      <c r="M25" s="19"/>
      <c r="N25" s="16"/>
    </row>
    <row r="26" spans="1:14" ht="24" x14ac:dyDescent="0.25">
      <c r="A26" s="20">
        <v>4</v>
      </c>
      <c r="B26" s="8" t="str">
        <f>IFERROR(INDEX(Registro!$B$6:$B$35,MATCH(LARGE(Listas!$L$6:$L$35,ROWS($A$23:A26)),Listas!$L$6:$L$35,0)),"")</f>
        <v>Asociación de Vecinos del Centro</v>
      </c>
      <c r="C26" s="8" t="str">
        <f>IFERROR(INDEX(Registro!$L$6:$L$35,MATCH(LARGE(Listas!$L$6:$L$35,ROWS($A$23:A26)),Listas!$L$6:$L$35,0)),"")</f>
        <v>Gestionar de cerca</v>
      </c>
      <c r="D26" s="6">
        <f>IFERROR(INDEX(Registro!$K$6:$K$35,MATCH(LARGE(Listas!$L$6:$L$35,ROWS($A$23:A26)),Listas!$L$6:$L$35,0)),"")</f>
        <v>82</v>
      </c>
      <c r="E26" s="8" t="str">
        <f>IFERROR(INDEX(Registro!$H$6:$H$35,MATCH(LARGE(Listas!$L$6:$L$35,ROWS($A$23:A26)),Listas!$L$6:$L$35,0)),"")</f>
        <v>Resiste</v>
      </c>
      <c r="F26" s="8" t="str">
        <f>IFERROR(INDEX(Registro!$N$6:$N$35,MATCH(LARGE(Listas!$L$6:$L$35,ROWS($A$23:A26)),Listas!$L$6:$L$35,0)),"")</f>
        <v>Comunicación</v>
      </c>
      <c r="G26" s="12">
        <v>4</v>
      </c>
      <c r="H26" s="21" t="str">
        <f>IFERROR(INDEX(Registro!$B$6:$B$35,MATCH(LARGE(Listas!$L$6:$L$35,ROWS($G$23:G26)),Listas!$L$6:$L$35,0)),"")</f>
        <v>Asociación de Vecinos del Centro</v>
      </c>
      <c r="I26" s="8" t="str">
        <f>IFERROR(INDEX(Registro!$Q$6:$Q$35,MATCH(LARGE(Listas!$L$6:$L$35,ROWS($G$23:G26)),Listas!$L$6:$L$35,0)),"")</f>
        <v>Presentar mapa de estaciones y ajustes por ruido</v>
      </c>
      <c r="J26" s="8" t="str">
        <f>IFERROR(INDEX(Registro!$N$6:$N$35,MATCH(LARGE(Listas!$L$6:$L$35,ROWS($G$23:G26)),Listas!$L$6:$L$35,0)),"")</f>
        <v>Comunicación</v>
      </c>
      <c r="K26" s="8" t="str">
        <f>IFERROR(INDEX(Registro!$S$6:$S$35,MATCH(LARGE(Listas!$L$6:$L$35,ROWS($G$23:G26)),Listas!$L$6:$L$35,0)),"")</f>
        <v>En riesgo</v>
      </c>
      <c r="L26" s="22"/>
      <c r="M26" s="19"/>
      <c r="N26" s="16"/>
    </row>
    <row r="27" spans="1:14" ht="24" x14ac:dyDescent="0.25">
      <c r="A27" s="20">
        <v>5</v>
      </c>
      <c r="B27" s="8" t="str">
        <f>IFERROR(INDEX(Registro!$B$6:$B$35,MATCH(LARGE(Listas!$L$6:$L$35,ROWS($A$23:A27)),Listas!$L$6:$L$35,0)),"")</f>
        <v>Intervención municipal / Hacienda</v>
      </c>
      <c r="C27" s="8" t="str">
        <f>IFERROR(INDEX(Registro!$L$6:$L$35,MATCH(LARGE(Listas!$L$6:$L$35,ROWS($A$23:A27)),Listas!$L$6:$L$35,0)),"")</f>
        <v>Mantener satisfecho</v>
      </c>
      <c r="D27" s="6">
        <f>IFERROR(INDEX(Registro!$K$6:$K$35,MATCH(LARGE(Listas!$L$6:$L$35,ROWS($A$23:A27)),Listas!$L$6:$L$35,0)),"")</f>
        <v>80</v>
      </c>
      <c r="E27" s="8" t="str">
        <f>IFERROR(INDEX(Registro!$H$6:$H$35,MATCH(LARGE(Listas!$L$6:$L$35,ROWS($A$23:A27)),Listas!$L$6:$L$35,0)),"")</f>
        <v>Neutral</v>
      </c>
      <c r="F27" s="8" t="str">
        <f>IFERROR(INDEX(Registro!$N$6:$N$35,MATCH(LARGE(Listas!$L$6:$L$35,ROWS($A$23:A27)),Listas!$L$6:$L$35,0)),"")</f>
        <v>Finanzas</v>
      </c>
      <c r="G27" s="12">
        <v>5</v>
      </c>
      <c r="H27" s="21" t="str">
        <f>IFERROR(INDEX(Registro!$B$6:$B$35,MATCH(LARGE(Listas!$L$6:$L$35,ROWS($G$23:G27)),Listas!$L$6:$L$35,0)),"")</f>
        <v>Intervención municipal / Hacienda</v>
      </c>
      <c r="I27" s="8" t="str">
        <f>IFERROR(INDEX(Registro!$Q$6:$Q$35,MATCH(LARGE(Listas!$L$6:$L$35,ROWS($G$23:G27)),Listas!$L$6:$L$35,0)),"")</f>
        <v>Cerrar revisión del modelo financiero anual</v>
      </c>
      <c r="J27" s="8" t="str">
        <f>IFERROR(INDEX(Registro!$N$6:$N$35,MATCH(LARGE(Listas!$L$6:$L$35,ROWS($G$23:G27)),Listas!$L$6:$L$35,0)),"")</f>
        <v>Finanzas</v>
      </c>
      <c r="K27" s="8" t="str">
        <f>IFERROR(INDEX(Registro!$S$6:$S$35,MATCH(LARGE(Listas!$L$6:$L$35,ROWS($G$23:G27)),Listas!$L$6:$L$35,0)),"")</f>
        <v>En seguimiento</v>
      </c>
      <c r="L27" s="22"/>
      <c r="M27" s="19"/>
      <c r="N27" s="16"/>
    </row>
    <row r="28" spans="1:14" ht="24" x14ac:dyDescent="0.25">
      <c r="A28" s="20">
        <v>6</v>
      </c>
      <c r="B28" s="8" t="str">
        <f>IFERROR(INDEX(Registro!$B$6:$B$35,MATCH(LARGE(Listas!$L$6:$L$35,ROWS($A$23:A28)),Listas!$L$6:$L$35,0)),"")</f>
        <v>Área de Medio Ambiente</v>
      </c>
      <c r="C28" s="8" t="str">
        <f>IFERROR(INDEX(Registro!$L$6:$L$35,MATCH(LARGE(Listas!$L$6:$L$35,ROWS($A$23:A28)),Listas!$L$6:$L$35,0)),"")</f>
        <v>Gestionar de cerca</v>
      </c>
      <c r="D28" s="6">
        <f>IFERROR(INDEX(Registro!$K$6:$K$35,MATCH(LARGE(Listas!$L$6:$L$35,ROWS($A$23:A28)),Listas!$L$6:$L$35,0)),"")</f>
        <v>74</v>
      </c>
      <c r="E28" s="8" t="str">
        <f>IFERROR(INDEX(Registro!$H$6:$H$35,MATCH(LARGE(Listas!$L$6:$L$35,ROWS($A$23:A28)),Listas!$L$6:$L$35,0)),"")</f>
        <v>Favorece</v>
      </c>
      <c r="F28" s="8" t="str">
        <f>IFERROR(INDEX(Registro!$N$6:$N$35,MATCH(LARGE(Listas!$L$6:$L$35,ROWS($A$23:A28)),Listas!$L$6:$L$35,0)),"")</f>
        <v>Movilidad</v>
      </c>
      <c r="G28" s="12">
        <v>6</v>
      </c>
      <c r="H28" s="21" t="str">
        <f>IFERROR(INDEX(Registro!$B$6:$B$35,MATCH(LARGE(Listas!$L$6:$L$35,ROWS($G$23:G28)),Listas!$L$6:$L$35,0)),"")</f>
        <v>Área de Medio Ambiente</v>
      </c>
      <c r="I28" s="8" t="str">
        <f>IFERROR(INDEX(Registro!$Q$6:$Q$35,MATCH(LARGE(Listas!$L$6:$L$35,ROWS($G$23:G28)),Listas!$L$6:$L$35,0)),"")</f>
        <v>Acordar cuadro de mando de CO2 evitado</v>
      </c>
      <c r="J28" s="8" t="str">
        <f>IFERROR(INDEX(Registro!$N$6:$N$35,MATCH(LARGE(Listas!$L$6:$L$35,ROWS($G$23:G28)),Listas!$L$6:$L$35,0)),"")</f>
        <v>Movilidad</v>
      </c>
      <c r="K28" s="8" t="str">
        <f>IFERROR(INDEX(Registro!$S$6:$S$35,MATCH(LARGE(Listas!$L$6:$L$35,ROWS($G$23:G28)),Listas!$L$6:$L$35,0)),"")</f>
        <v>Alineado</v>
      </c>
      <c r="L28" s="22"/>
      <c r="M28" s="19"/>
      <c r="N28" s="16"/>
    </row>
    <row r="30" spans="1:14" x14ac:dyDescent="0.25">
      <c r="A30" s="40" t="s">
        <v>168</v>
      </c>
      <c r="B30" s="35"/>
      <c r="C30" s="35"/>
      <c r="D30" s="36"/>
    </row>
    <row r="31" spans="1:14" ht="24" x14ac:dyDescent="0.25">
      <c r="A31" s="8" t="s">
        <v>120</v>
      </c>
      <c r="B31" s="13">
        <f>COUNTIF(Registro!$H$6:$H$35,"Bloquea")</f>
        <v>1</v>
      </c>
      <c r="C31" s="14">
        <f>B31/MAX(1,COUNTA(Registro!$B$6:$B$35))</f>
        <v>3.3333333333333333E-2</v>
      </c>
    </row>
    <row r="32" spans="1:14" ht="24" x14ac:dyDescent="0.25">
      <c r="A32" s="8" t="s">
        <v>62</v>
      </c>
      <c r="B32" s="13">
        <f>COUNTIF(Registro!$H$6:$H$35,"Resiste")</f>
        <v>1</v>
      </c>
      <c r="C32" s="14">
        <f>B32/MAX(1,COUNTA(Registro!$B$6:$B$35))</f>
        <v>3.3333333333333333E-2</v>
      </c>
    </row>
    <row r="33" spans="1:14" ht="24" x14ac:dyDescent="0.25">
      <c r="A33" s="8" t="s">
        <v>45</v>
      </c>
      <c r="B33" s="13">
        <f>COUNTIF(Registro!$H$6:$H$35,"Neutral")</f>
        <v>5</v>
      </c>
      <c r="C33" s="14">
        <f>B33/MAX(1,COUNTA(Registro!$B$6:$B$35))</f>
        <v>0.16666666666666666</v>
      </c>
    </row>
    <row r="34" spans="1:14" ht="24" x14ac:dyDescent="0.25">
      <c r="A34" s="8" t="s">
        <v>53</v>
      </c>
      <c r="B34" s="13">
        <f>COUNTIF(Registro!$H$6:$H$35,"Favorece")</f>
        <v>9</v>
      </c>
      <c r="C34" s="14">
        <f>B34/MAX(1,COUNTA(Registro!$B$6:$B$35))</f>
        <v>0.3</v>
      </c>
    </row>
    <row r="35" spans="1:14" ht="24" x14ac:dyDescent="0.25">
      <c r="A35" s="8" t="s">
        <v>34</v>
      </c>
      <c r="B35" s="13">
        <f>COUNTIF(Registro!$H$6:$H$35,"Patrocina")</f>
        <v>2</v>
      </c>
      <c r="C35" s="14">
        <f>B35/MAX(1,COUNTA(Registro!$B$6:$B$35))</f>
        <v>6.6666666666666666E-2</v>
      </c>
    </row>
    <row r="38" spans="1:14" x14ac:dyDescent="0.25">
      <c r="A38" s="50" t="s">
        <v>169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8"/>
    </row>
    <row r="39" spans="1:14" x14ac:dyDescent="0.25">
      <c r="A39" s="29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</row>
  </sheetData>
  <mergeCells count="31">
    <mergeCell ref="A1:N1"/>
    <mergeCell ref="H9:J9"/>
    <mergeCell ref="J2:N2"/>
    <mergeCell ref="H18:J19"/>
    <mergeCell ref="K14:N15"/>
    <mergeCell ref="B2:H2"/>
    <mergeCell ref="A9:C9"/>
    <mergeCell ref="H17:J17"/>
    <mergeCell ref="H13:J13"/>
    <mergeCell ref="A38:N39"/>
    <mergeCell ref="D9:F9"/>
    <mergeCell ref="K18:N19"/>
    <mergeCell ref="A30:D30"/>
    <mergeCell ref="K6:N8"/>
    <mergeCell ref="H12:J12"/>
    <mergeCell ref="A21:F21"/>
    <mergeCell ref="H6:J8"/>
    <mergeCell ref="A11:F11"/>
    <mergeCell ref="A6:C8"/>
    <mergeCell ref="H16:J16"/>
    <mergeCell ref="K9:N9"/>
    <mergeCell ref="G21:K21"/>
    <mergeCell ref="D6:F8"/>
    <mergeCell ref="K12:N12"/>
    <mergeCell ref="K17:N17"/>
    <mergeCell ref="H14:J15"/>
    <mergeCell ref="K13:N13"/>
    <mergeCell ref="K16:N16"/>
    <mergeCell ref="H11:N11"/>
    <mergeCell ref="J3:L3"/>
    <mergeCell ref="A3:H4"/>
  </mergeCells>
  <conditionalFormatting sqref="B13:F17">
    <cfRule type="colorScale" priority="1">
      <colorScale>
        <cfvo type="num" val="0"/>
        <cfvo type="percentile" val="50"/>
        <cfvo type="num" val="5"/>
        <color rgb="FFEEECE1"/>
        <color rgb="FFAEB9CB"/>
        <color rgb="FF121528"/>
      </colorScale>
    </cfRule>
  </conditionalFormatting>
  <conditionalFormatting sqref="K23:L28">
    <cfRule type="cellIs" dxfId="9" priority="2" operator="equal">
      <formula>"En riesgo"</formula>
    </cfRule>
    <cfRule type="cellIs" dxfId="8" priority="3" operator="equal">
      <formula>"Alineado"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5"/>
  <sheetViews>
    <sheetView showGridLines="0" workbookViewId="0"/>
  </sheetViews>
  <sheetFormatPr baseColWidth="10" defaultColWidth="9.140625" defaultRowHeight="15" x14ac:dyDescent="0.25"/>
  <cols>
    <col min="1" max="1" width="10" customWidth="1"/>
    <col min="2" max="2" width="28" customWidth="1"/>
    <col min="3" max="3" width="15" customWidth="1"/>
    <col min="4" max="4" width="16" customWidth="1"/>
    <col min="5" max="5" width="30" customWidth="1"/>
    <col min="6" max="7" width="11" customWidth="1"/>
    <col min="8" max="8" width="14" customWidth="1"/>
    <col min="9" max="9" width="11" customWidth="1"/>
    <col min="10" max="10" width="13" customWidth="1"/>
    <col min="11" max="11" width="12" customWidth="1"/>
    <col min="12" max="12" width="21" customWidth="1"/>
    <col min="13" max="13" width="37" customWidth="1"/>
    <col min="14" max="14" width="18" customWidth="1"/>
    <col min="15" max="15" width="16" customWidth="1"/>
    <col min="16" max="16" width="12" customWidth="1"/>
    <col min="17" max="17" width="34" customWidth="1"/>
    <col min="18" max="18" width="13" customWidth="1"/>
    <col min="19" max="19" width="14" customWidth="1"/>
    <col min="20" max="20" width="32" customWidth="1"/>
    <col min="21" max="21" width="24" customWidth="1"/>
    <col min="22" max="25" width="10" hidden="1" customWidth="1"/>
  </cols>
  <sheetData>
    <row r="1" spans="1:21" ht="26.1" customHeight="1" x14ac:dyDescent="0.25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</row>
    <row r="2" spans="1:21" ht="25.5" x14ac:dyDescent="0.25">
      <c r="A2" s="1" t="s">
        <v>1</v>
      </c>
      <c r="B2" s="30" t="s">
        <v>2</v>
      </c>
      <c r="C2" s="24"/>
      <c r="D2" s="24"/>
      <c r="E2" s="24"/>
      <c r="F2" s="24"/>
      <c r="G2" s="24"/>
      <c r="H2" s="25"/>
      <c r="J2" s="1" t="s">
        <v>3</v>
      </c>
      <c r="K2" s="30" t="s">
        <v>4</v>
      </c>
      <c r="L2" s="24"/>
      <c r="M2" s="24"/>
      <c r="N2" s="24"/>
      <c r="O2" s="25"/>
      <c r="P2" s="26" t="s">
        <v>5</v>
      </c>
      <c r="Q2" s="27"/>
      <c r="R2" s="27"/>
      <c r="S2" s="27"/>
      <c r="T2" s="27"/>
      <c r="U2" s="28"/>
    </row>
    <row r="3" spans="1:21" x14ac:dyDescent="0.25">
      <c r="A3" s="1" t="s">
        <v>6</v>
      </c>
      <c r="B3" s="30" t="s">
        <v>7</v>
      </c>
      <c r="C3" s="24"/>
      <c r="D3" s="24"/>
      <c r="E3" s="24"/>
      <c r="F3" s="24"/>
      <c r="G3" s="24"/>
      <c r="H3" s="25"/>
      <c r="J3" s="1" t="s">
        <v>8</v>
      </c>
      <c r="K3" s="23">
        <v>46127</v>
      </c>
      <c r="L3" s="24"/>
      <c r="M3" s="24"/>
      <c r="N3" s="24"/>
      <c r="O3" s="25"/>
      <c r="P3" s="29"/>
      <c r="Q3" s="24"/>
      <c r="R3" s="24"/>
      <c r="S3" s="24"/>
      <c r="T3" s="24"/>
      <c r="U3" s="25"/>
    </row>
    <row r="5" spans="1:21" ht="33.950000000000003" customHeight="1" x14ac:dyDescent="0.2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 t="s">
        <v>17</v>
      </c>
      <c r="J5" s="2" t="s">
        <v>18</v>
      </c>
      <c r="K5" s="2" t="s">
        <v>19</v>
      </c>
      <c r="L5" s="2" t="s">
        <v>20</v>
      </c>
      <c r="M5" s="2" t="s">
        <v>21</v>
      </c>
      <c r="N5" s="2" t="s">
        <v>22</v>
      </c>
      <c r="O5" s="2" t="s">
        <v>23</v>
      </c>
      <c r="P5" s="2" t="s">
        <v>24</v>
      </c>
      <c r="Q5" s="2" t="s">
        <v>25</v>
      </c>
      <c r="R5" s="2" t="s">
        <v>26</v>
      </c>
      <c r="S5" s="2" t="s">
        <v>27</v>
      </c>
      <c r="T5" s="2" t="s">
        <v>28</v>
      </c>
      <c r="U5" s="2" t="s">
        <v>29</v>
      </c>
    </row>
    <row r="6" spans="1:21" ht="21.95" customHeight="1" x14ac:dyDescent="0.25">
      <c r="A6" s="3" t="str">
        <f t="shared" ref="A6:A35" si="0">IF(B6="","","STK-"&amp;TEXT(ROW()-5,"00"))</f>
        <v>STK-01</v>
      </c>
      <c r="B6" s="4" t="s">
        <v>30</v>
      </c>
      <c r="C6" s="4" t="s">
        <v>31</v>
      </c>
      <c r="D6" s="4" t="s">
        <v>32</v>
      </c>
      <c r="E6" s="4" t="s">
        <v>33</v>
      </c>
      <c r="F6" s="5">
        <v>5</v>
      </c>
      <c r="G6" s="5">
        <v>5</v>
      </c>
      <c r="H6" s="5" t="s">
        <v>34</v>
      </c>
      <c r="I6" s="5">
        <v>5</v>
      </c>
      <c r="J6" s="5">
        <v>5</v>
      </c>
      <c r="K6" s="6">
        <f>IF(B6="","",ROUND(((F6*0.35)+(G6*0.2)+(I6*0.2)+(J6*0.1)+((6-Listas!K6)*0.15))/5*100,0))</f>
        <v>88</v>
      </c>
      <c r="L6" s="7" t="str">
        <f t="shared" ref="L6:L35" si="1">IF(B6="","",IF(AND(F6&gt;=4,G6&gt;=4),"Gestionar de cerca",IF(AND(F6&gt;=4,G6&lt;4),"Mantener satisfecho",IF(AND(F6&lt;4,G6&gt;=4),"Mantener informado","Monitorizar"))))</f>
        <v>Gestionar de cerca</v>
      </c>
      <c r="M6" s="8" t="str">
        <f>IF(B6="","",IF(AND(Listas!K6&lt;=2,F6&gt;=4),"Reconducir postura con reuniones 1:1 y sponsor ejecutivo",IF(AND(L6="Gestionar de cerca",Listas!K6&gt;=4),"Involucrar en decisiones clave y seguimiento semanal",IF(L6="Mantener satisfecho","Compartir avances ejecutivos y pedir validación en hitos",IF(L6="Mantener informado","Comunicación periódica y recogida de feedback","Seguimiento ligero y vigilancia de cambios")))))</f>
        <v>Involucrar en decisiones clave y seguimiento semanal</v>
      </c>
      <c r="N6" s="4" t="s">
        <v>35</v>
      </c>
      <c r="O6" s="4" t="s">
        <v>36</v>
      </c>
      <c r="P6" s="4" t="s">
        <v>37</v>
      </c>
      <c r="Q6" s="4" t="s">
        <v>38</v>
      </c>
      <c r="R6" s="9">
        <v>46106</v>
      </c>
      <c r="S6" s="4" t="s">
        <v>39</v>
      </c>
      <c r="T6" s="4" t="s">
        <v>40</v>
      </c>
      <c r="U6" s="4" t="s">
        <v>41</v>
      </c>
    </row>
    <row r="7" spans="1:21" ht="21.95" customHeight="1" x14ac:dyDescent="0.25">
      <c r="A7" s="3" t="str">
        <f t="shared" si="0"/>
        <v>STK-02</v>
      </c>
      <c r="B7" s="4" t="s">
        <v>42</v>
      </c>
      <c r="C7" s="4" t="s">
        <v>31</v>
      </c>
      <c r="D7" s="4" t="s">
        <v>43</v>
      </c>
      <c r="E7" s="4" t="s">
        <v>44</v>
      </c>
      <c r="F7" s="5">
        <v>5</v>
      </c>
      <c r="G7" s="5">
        <v>3</v>
      </c>
      <c r="H7" s="5" t="s">
        <v>45</v>
      </c>
      <c r="I7" s="5">
        <v>4</v>
      </c>
      <c r="J7" s="5">
        <v>4</v>
      </c>
      <c r="K7" s="6">
        <f>IF(B7="","",ROUND(((F7*0.35)+(G7*0.2)+(I7*0.2)+(J7*0.1)+((6-Listas!K7)*0.15))/5*100,0))</f>
        <v>80</v>
      </c>
      <c r="L7" s="7" t="str">
        <f t="shared" si="1"/>
        <v>Mantener satisfecho</v>
      </c>
      <c r="M7" s="8" t="str">
        <f>IF(B7="","",IF(AND(Listas!K7&lt;=2,F7&gt;=4),"Reconducir postura con reuniones 1:1 y sponsor ejecutivo",IF(AND(L7="Gestionar de cerca",Listas!K7&gt;=4),"Involucrar en decisiones clave y seguimiento semanal",IF(L7="Mantener satisfecho","Compartir avances ejecutivos y pedir validación en hitos",IF(L7="Mantener informado","Comunicación periódica y recogida de feedback","Seguimiento ligero y vigilancia de cambios")))))</f>
        <v>Compartir avances ejecutivos y pedir validación en hitos</v>
      </c>
      <c r="N7" s="4" t="s">
        <v>43</v>
      </c>
      <c r="O7" s="4" t="s">
        <v>36</v>
      </c>
      <c r="P7" s="4" t="s">
        <v>46</v>
      </c>
      <c r="Q7" s="4" t="s">
        <v>47</v>
      </c>
      <c r="R7" s="9">
        <v>46114</v>
      </c>
      <c r="S7" s="4" t="s">
        <v>48</v>
      </c>
      <c r="T7" s="4" t="s">
        <v>49</v>
      </c>
      <c r="U7" s="4" t="s">
        <v>41</v>
      </c>
    </row>
    <row r="8" spans="1:21" ht="21.95" customHeight="1" x14ac:dyDescent="0.25">
      <c r="A8" s="3" t="str">
        <f t="shared" si="0"/>
        <v>STK-03</v>
      </c>
      <c r="B8" s="4" t="s">
        <v>50</v>
      </c>
      <c r="C8" s="4" t="s">
        <v>31</v>
      </c>
      <c r="D8" s="4" t="s">
        <v>51</v>
      </c>
      <c r="E8" s="4" t="s">
        <v>52</v>
      </c>
      <c r="F8" s="5">
        <v>4</v>
      </c>
      <c r="G8" s="5">
        <v>4</v>
      </c>
      <c r="H8" s="5" t="s">
        <v>53</v>
      </c>
      <c r="I8" s="5">
        <v>4</v>
      </c>
      <c r="J8" s="5">
        <v>4</v>
      </c>
      <c r="K8" s="6">
        <f>IF(B8="","",ROUND(((F8*0.35)+(G8*0.2)+(I8*0.2)+(J8*0.1)+((6-Listas!K8)*0.15))/5*100,0))</f>
        <v>74</v>
      </c>
      <c r="L8" s="7" t="str">
        <f t="shared" si="1"/>
        <v>Gestionar de cerca</v>
      </c>
      <c r="M8" s="8" t="str">
        <f>IF(B8="","",IF(AND(Listas!K8&lt;=2,F8&gt;=4),"Reconducir postura con reuniones 1:1 y sponsor ejecutivo",IF(AND(L8="Gestionar de cerca",Listas!K8&gt;=4),"Involucrar en decisiones clave y seguimiento semanal",IF(L8="Mantener satisfecho","Compartir avances ejecutivos y pedir validación en hitos",IF(L8="Mantener informado","Comunicación periódica y recogida de feedback","Seguimiento ligero y vigilancia de cambios")))))</f>
        <v>Involucrar en decisiones clave y seguimiento semanal</v>
      </c>
      <c r="N8" s="4" t="s">
        <v>35</v>
      </c>
      <c r="O8" s="4" t="s">
        <v>54</v>
      </c>
      <c r="P8" s="4" t="s">
        <v>55</v>
      </c>
      <c r="Q8" s="4" t="s">
        <v>56</v>
      </c>
      <c r="R8" s="9">
        <v>46109</v>
      </c>
      <c r="S8" s="4" t="s">
        <v>48</v>
      </c>
      <c r="T8" s="4" t="s">
        <v>57</v>
      </c>
      <c r="U8" s="4" t="s">
        <v>41</v>
      </c>
    </row>
    <row r="9" spans="1:21" ht="21.95" customHeight="1" x14ac:dyDescent="0.25">
      <c r="A9" s="3" t="str">
        <f t="shared" si="0"/>
        <v>STK-04</v>
      </c>
      <c r="B9" s="4" t="s">
        <v>58</v>
      </c>
      <c r="C9" s="4" t="s">
        <v>59</v>
      </c>
      <c r="D9" s="4" t="s">
        <v>60</v>
      </c>
      <c r="E9" s="4" t="s">
        <v>61</v>
      </c>
      <c r="F9" s="5">
        <v>4</v>
      </c>
      <c r="G9" s="5">
        <v>5</v>
      </c>
      <c r="H9" s="5" t="s">
        <v>62</v>
      </c>
      <c r="I9" s="5">
        <v>4</v>
      </c>
      <c r="J9" s="5">
        <v>3</v>
      </c>
      <c r="K9" s="6">
        <f>IF(B9="","",ROUND(((F9*0.35)+(G9*0.2)+(I9*0.2)+(J9*0.1)+((6-Listas!K9)*0.15))/5*100,0))</f>
        <v>82</v>
      </c>
      <c r="L9" s="7" t="str">
        <f t="shared" si="1"/>
        <v>Gestionar de cerca</v>
      </c>
      <c r="M9" s="8" t="str">
        <f>IF(B9="","",IF(AND(Listas!K9&lt;=2,F9&gt;=4),"Reconducir postura con reuniones 1:1 y sponsor ejecutivo",IF(AND(L9="Gestionar de cerca",Listas!K9&gt;=4),"Involucrar en decisiones clave y seguimiento semanal",IF(L9="Mantener satisfecho","Compartir avances ejecutivos y pedir validación en hitos",IF(L9="Mantener informado","Comunicación periódica y recogida de feedback","Seguimiento ligero y vigilancia de cambios")))))</f>
        <v>Reconducir postura con reuniones 1:1 y sponsor ejecutivo</v>
      </c>
      <c r="N9" s="4" t="s">
        <v>63</v>
      </c>
      <c r="O9" s="4" t="s">
        <v>64</v>
      </c>
      <c r="P9" s="4" t="s">
        <v>55</v>
      </c>
      <c r="Q9" s="4" t="s">
        <v>65</v>
      </c>
      <c r="R9" s="9">
        <v>46102</v>
      </c>
      <c r="S9" s="4" t="s">
        <v>66</v>
      </c>
      <c r="T9" s="4" t="s">
        <v>67</v>
      </c>
      <c r="U9" s="4" t="s">
        <v>41</v>
      </c>
    </row>
    <row r="10" spans="1:21" ht="21.95" customHeight="1" x14ac:dyDescent="0.25">
      <c r="A10" s="3" t="str">
        <f t="shared" si="0"/>
        <v>STK-05</v>
      </c>
      <c r="B10" s="4" t="s">
        <v>68</v>
      </c>
      <c r="C10" s="4" t="s">
        <v>59</v>
      </c>
      <c r="D10" s="4" t="s">
        <v>69</v>
      </c>
      <c r="E10" s="4" t="s">
        <v>70</v>
      </c>
      <c r="F10" s="5">
        <v>3</v>
      </c>
      <c r="G10" s="5">
        <v>4</v>
      </c>
      <c r="H10" s="5" t="s">
        <v>45</v>
      </c>
      <c r="I10" s="5">
        <v>3</v>
      </c>
      <c r="J10" s="5">
        <v>2</v>
      </c>
      <c r="K10" s="6">
        <f>IF(B10="","",ROUND(((F10*0.35)+(G10*0.2)+(I10*0.2)+(J10*0.1)+((6-Listas!K10)*0.15))/5*100,0))</f>
        <v>62</v>
      </c>
      <c r="L10" s="7" t="str">
        <f t="shared" si="1"/>
        <v>Mantener informado</v>
      </c>
      <c r="M10" s="8" t="str">
        <f>IF(B10="","",IF(AND(Listas!K10&lt;=2,F10&gt;=4),"Reconducir postura con reuniones 1:1 y sponsor ejecutivo",IF(AND(L10="Gestionar de cerca",Listas!K10&gt;=4),"Involucrar en decisiones clave y seguimiento semanal",IF(L10="Mantener satisfecho","Compartir avances ejecutivos y pedir validación en hitos",IF(L10="Mantener informado","Comunicación periódica y recogida de feedback","Seguimiento ligero y vigilancia de cambios")))))</f>
        <v>Comunicación periódica y recogida de feedback</v>
      </c>
      <c r="N10" s="4" t="s">
        <v>63</v>
      </c>
      <c r="O10" s="4" t="s">
        <v>64</v>
      </c>
      <c r="P10" s="4" t="s">
        <v>46</v>
      </c>
      <c r="Q10" s="4" t="s">
        <v>71</v>
      </c>
      <c r="R10" s="9">
        <v>46120</v>
      </c>
      <c r="S10" s="4" t="s">
        <v>48</v>
      </c>
      <c r="T10" s="4" t="s">
        <v>72</v>
      </c>
      <c r="U10" s="4" t="s">
        <v>41</v>
      </c>
    </row>
    <row r="11" spans="1:21" ht="21.95" customHeight="1" x14ac:dyDescent="0.25">
      <c r="A11" s="3" t="str">
        <f t="shared" si="0"/>
        <v>STK-06</v>
      </c>
      <c r="B11" s="4" t="s">
        <v>73</v>
      </c>
      <c r="C11" s="4" t="s">
        <v>74</v>
      </c>
      <c r="D11" s="4" t="s">
        <v>60</v>
      </c>
      <c r="E11" s="4" t="s">
        <v>75</v>
      </c>
      <c r="F11" s="5">
        <v>3</v>
      </c>
      <c r="G11" s="5">
        <v>4</v>
      </c>
      <c r="H11" s="5" t="s">
        <v>53</v>
      </c>
      <c r="I11" s="5">
        <v>3</v>
      </c>
      <c r="J11" s="5">
        <v>3</v>
      </c>
      <c r="K11" s="6">
        <f>IF(B11="","",ROUND(((F11*0.35)+(G11*0.2)+(I11*0.2)+(J11*0.1)+((6-Listas!K11)*0.15))/5*100,0))</f>
        <v>61</v>
      </c>
      <c r="L11" s="7" t="str">
        <f t="shared" si="1"/>
        <v>Mantener informado</v>
      </c>
      <c r="M11" s="8" t="str">
        <f>IF(B11="","",IF(AND(Listas!K11&lt;=2,F11&gt;=4),"Reconducir postura con reuniones 1:1 y sponsor ejecutivo",IF(AND(L11="Gestionar de cerca",Listas!K11&gt;=4),"Involucrar en decisiones clave y seguimiento semanal",IF(L11="Mantener satisfecho","Compartir avances ejecutivos y pedir validación en hitos",IF(L11="Mantener informado","Comunicación periódica y recogida de feedback","Seguimiento ligero y vigilancia de cambios")))))</f>
        <v>Comunicación periódica y recogida de feedback</v>
      </c>
      <c r="N11" s="4" t="s">
        <v>35</v>
      </c>
      <c r="O11" s="4" t="s">
        <v>76</v>
      </c>
      <c r="P11" s="4" t="s">
        <v>46</v>
      </c>
      <c r="Q11" s="4" t="s">
        <v>77</v>
      </c>
      <c r="R11" s="9">
        <v>46122</v>
      </c>
      <c r="S11" s="4" t="s">
        <v>39</v>
      </c>
      <c r="T11" s="4" t="s">
        <v>78</v>
      </c>
      <c r="U11" s="4" t="s">
        <v>41</v>
      </c>
    </row>
    <row r="12" spans="1:21" ht="21.95" customHeight="1" x14ac:dyDescent="0.25">
      <c r="A12" s="3" t="str">
        <f t="shared" si="0"/>
        <v>STK-07</v>
      </c>
      <c r="B12" s="4" t="s">
        <v>79</v>
      </c>
      <c r="C12" s="4" t="s">
        <v>80</v>
      </c>
      <c r="D12" s="4" t="s">
        <v>81</v>
      </c>
      <c r="E12" s="4" t="s">
        <v>82</v>
      </c>
      <c r="F12" s="5">
        <v>4</v>
      </c>
      <c r="G12" s="5">
        <v>5</v>
      </c>
      <c r="H12" s="5" t="s">
        <v>53</v>
      </c>
      <c r="I12" s="5">
        <v>5</v>
      </c>
      <c r="J12" s="5">
        <v>5</v>
      </c>
      <c r="K12" s="6">
        <f>IF(B12="","",ROUND(((F12*0.35)+(G12*0.2)+(I12*0.2)+(J12*0.1)+((6-Listas!K12)*0.15))/5*100,0))</f>
        <v>84</v>
      </c>
      <c r="L12" s="7" t="str">
        <f t="shared" si="1"/>
        <v>Gestionar de cerca</v>
      </c>
      <c r="M12" s="8" t="str">
        <f>IF(B12="","",IF(AND(Listas!K12&lt;=2,F12&gt;=4),"Reconducir postura con reuniones 1:1 y sponsor ejecutivo",IF(AND(L12="Gestionar de cerca",Listas!K12&gt;=4),"Involucrar en decisiones clave y seguimiento semanal",IF(L12="Mantener satisfecho","Compartir avances ejecutivos y pedir validación en hitos",IF(L12="Mantener informado","Comunicación periódica y recogida de feedback","Seguimiento ligero y vigilancia de cambios")))))</f>
        <v>Involucrar en decisiones clave y seguimiento semanal</v>
      </c>
      <c r="N12" s="4" t="s">
        <v>81</v>
      </c>
      <c r="O12" s="4" t="s">
        <v>36</v>
      </c>
      <c r="P12" s="4" t="s">
        <v>37</v>
      </c>
      <c r="Q12" s="4" t="s">
        <v>83</v>
      </c>
      <c r="R12" s="9">
        <v>46101</v>
      </c>
      <c r="S12" s="4" t="s">
        <v>48</v>
      </c>
      <c r="T12" s="4" t="s">
        <v>84</v>
      </c>
      <c r="U12" s="4" t="s">
        <v>41</v>
      </c>
    </row>
    <row r="13" spans="1:21" ht="21.95" customHeight="1" x14ac:dyDescent="0.25">
      <c r="A13" s="3" t="str">
        <f t="shared" si="0"/>
        <v>STK-08</v>
      </c>
      <c r="B13" s="4" t="s">
        <v>85</v>
      </c>
      <c r="C13" s="4" t="s">
        <v>80</v>
      </c>
      <c r="D13" s="4" t="s">
        <v>86</v>
      </c>
      <c r="E13" s="4" t="s">
        <v>87</v>
      </c>
      <c r="F13" s="5">
        <v>4</v>
      </c>
      <c r="G13" s="5">
        <v>5</v>
      </c>
      <c r="H13" s="5" t="s">
        <v>53</v>
      </c>
      <c r="I13" s="5">
        <v>5</v>
      </c>
      <c r="J13" s="5">
        <v>5</v>
      </c>
      <c r="K13" s="6">
        <f>IF(B13="","",ROUND(((F13*0.35)+(G13*0.2)+(I13*0.2)+(J13*0.1)+((6-Listas!K13)*0.15))/5*100,0))</f>
        <v>84</v>
      </c>
      <c r="L13" s="7" t="str">
        <f t="shared" si="1"/>
        <v>Gestionar de cerca</v>
      </c>
      <c r="M13" s="8" t="str">
        <f>IF(B13="","",IF(AND(Listas!K13&lt;=2,F13&gt;=4),"Reconducir postura con reuniones 1:1 y sponsor ejecutivo",IF(AND(L13="Gestionar de cerca",Listas!K13&gt;=4),"Involucrar en decisiones clave y seguimiento semanal",IF(L13="Mantener satisfecho","Compartir avances ejecutivos y pedir validación en hitos",IF(L13="Mantener informado","Comunicación periódica y recogida de feedback","Seguimiento ligero y vigilancia de cambios")))))</f>
        <v>Involucrar en decisiones clave y seguimiento semanal</v>
      </c>
      <c r="N13" s="4" t="s">
        <v>86</v>
      </c>
      <c r="O13" s="4" t="s">
        <v>88</v>
      </c>
      <c r="P13" s="4" t="s">
        <v>37</v>
      </c>
      <c r="Q13" s="4" t="s">
        <v>89</v>
      </c>
      <c r="R13" s="9">
        <v>46100</v>
      </c>
      <c r="S13" s="4" t="s">
        <v>48</v>
      </c>
      <c r="T13" s="4" t="s">
        <v>90</v>
      </c>
      <c r="U13" s="4" t="s">
        <v>41</v>
      </c>
    </row>
    <row r="14" spans="1:21" ht="21.95" customHeight="1" x14ac:dyDescent="0.25">
      <c r="A14" s="3" t="str">
        <f t="shared" si="0"/>
        <v>STK-09</v>
      </c>
      <c r="B14" s="4" t="s">
        <v>91</v>
      </c>
      <c r="C14" s="4" t="s">
        <v>92</v>
      </c>
      <c r="D14" s="4" t="s">
        <v>86</v>
      </c>
      <c r="E14" s="4" t="s">
        <v>93</v>
      </c>
      <c r="F14" s="5">
        <v>3</v>
      </c>
      <c r="G14" s="5">
        <v>5</v>
      </c>
      <c r="H14" s="5" t="s">
        <v>53</v>
      </c>
      <c r="I14" s="5">
        <v>4</v>
      </c>
      <c r="J14" s="5">
        <v>5</v>
      </c>
      <c r="K14" s="6">
        <f>IF(B14="","",ROUND(((F14*0.35)+(G14*0.2)+(I14*0.2)+(J14*0.1)+((6-Listas!K14)*0.15))/5*100,0))</f>
        <v>73</v>
      </c>
      <c r="L14" s="7" t="str">
        <f t="shared" si="1"/>
        <v>Mantener informado</v>
      </c>
      <c r="M14" s="8" t="str">
        <f>IF(B14="","",IF(AND(Listas!K14&lt;=2,F14&gt;=4),"Reconducir postura con reuniones 1:1 y sponsor ejecutivo",IF(AND(L14="Gestionar de cerca",Listas!K14&gt;=4),"Involucrar en decisiones clave y seguimiento semanal",IF(L14="Mantener satisfecho","Compartir avances ejecutivos y pedir validación en hitos",IF(L14="Mantener informado","Comunicación periódica y recogida de feedback","Seguimiento ligero y vigilancia de cambios")))))</f>
        <v>Comunicación periódica y recogida de feedback</v>
      </c>
      <c r="N14" s="4" t="s">
        <v>86</v>
      </c>
      <c r="O14" s="4" t="s">
        <v>94</v>
      </c>
      <c r="P14" s="4" t="s">
        <v>37</v>
      </c>
      <c r="Q14" s="4" t="s">
        <v>95</v>
      </c>
      <c r="R14" s="9">
        <v>46108</v>
      </c>
      <c r="S14" s="4" t="s">
        <v>39</v>
      </c>
      <c r="T14" s="4" t="s">
        <v>96</v>
      </c>
      <c r="U14" s="4" t="s">
        <v>41</v>
      </c>
    </row>
    <row r="15" spans="1:21" ht="21.95" customHeight="1" x14ac:dyDescent="0.25">
      <c r="A15" s="3" t="str">
        <f t="shared" si="0"/>
        <v>STK-10</v>
      </c>
      <c r="B15" s="4" t="s">
        <v>97</v>
      </c>
      <c r="C15" s="4" t="s">
        <v>59</v>
      </c>
      <c r="D15" s="4" t="s">
        <v>98</v>
      </c>
      <c r="E15" s="4" t="s">
        <v>99</v>
      </c>
      <c r="F15" s="5">
        <v>3</v>
      </c>
      <c r="G15" s="5">
        <v>4</v>
      </c>
      <c r="H15" s="5" t="s">
        <v>45</v>
      </c>
      <c r="I15" s="5">
        <v>4</v>
      </c>
      <c r="J15" s="5">
        <v>2</v>
      </c>
      <c r="K15" s="6">
        <f>IF(B15="","",ROUND(((F15*0.35)+(G15*0.2)+(I15*0.2)+(J15*0.1)+((6-Listas!K15)*0.15))/5*100,0))</f>
        <v>66</v>
      </c>
      <c r="L15" s="7" t="str">
        <f t="shared" si="1"/>
        <v>Mantener informado</v>
      </c>
      <c r="M15" s="8" t="str">
        <f>IF(B15="","",IF(AND(Listas!K15&lt;=2,F15&gt;=4),"Reconducir postura con reuniones 1:1 y sponsor ejecutivo",IF(AND(L15="Gestionar de cerca",Listas!K15&gt;=4),"Involucrar en decisiones clave y seguimiento semanal",IF(L15="Mantener satisfecho","Compartir avances ejecutivos y pedir validación en hitos",IF(L15="Mantener informado","Comunicación periódica y recogida de feedback","Seguimiento ligero y vigilancia de cambios")))))</f>
        <v>Comunicación periódica y recogida de feedback</v>
      </c>
      <c r="N15" s="4" t="s">
        <v>35</v>
      </c>
      <c r="O15" s="4" t="s">
        <v>64</v>
      </c>
      <c r="P15" s="4" t="s">
        <v>46</v>
      </c>
      <c r="Q15" s="4" t="s">
        <v>100</v>
      </c>
      <c r="R15" s="9">
        <v>46117</v>
      </c>
      <c r="S15" s="4" t="s">
        <v>48</v>
      </c>
      <c r="T15" s="4" t="s">
        <v>101</v>
      </c>
      <c r="U15" s="4" t="s">
        <v>41</v>
      </c>
    </row>
    <row r="16" spans="1:21" ht="21.95" customHeight="1" x14ac:dyDescent="0.25">
      <c r="A16" s="3" t="str">
        <f t="shared" si="0"/>
        <v>STK-11</v>
      </c>
      <c r="B16" s="4" t="s">
        <v>102</v>
      </c>
      <c r="C16" s="4" t="s">
        <v>74</v>
      </c>
      <c r="D16" s="4" t="s">
        <v>69</v>
      </c>
      <c r="E16" s="4" t="s">
        <v>103</v>
      </c>
      <c r="F16" s="5">
        <v>2</v>
      </c>
      <c r="G16" s="5">
        <v>3</v>
      </c>
      <c r="H16" s="5" t="s">
        <v>53</v>
      </c>
      <c r="I16" s="5">
        <v>2</v>
      </c>
      <c r="J16" s="5">
        <v>1</v>
      </c>
      <c r="K16" s="6">
        <f>IF(B16="","",ROUND(((F16*0.35)+(G16*0.2)+(I16*0.2)+(J16*0.1)+((6-Listas!K16)*0.15))/5*100,0))</f>
        <v>42</v>
      </c>
      <c r="L16" s="7" t="str">
        <f t="shared" si="1"/>
        <v>Monitorizar</v>
      </c>
      <c r="M16" s="8" t="str">
        <f>IF(B16="","",IF(AND(Listas!K16&lt;=2,F16&gt;=4),"Reconducir postura con reuniones 1:1 y sponsor ejecutivo",IF(AND(L16="Gestionar de cerca",Listas!K16&gt;=4),"Involucrar en decisiones clave y seguimiento semanal",IF(L16="Mantener satisfecho","Compartir avances ejecutivos y pedir validación en hitos",IF(L16="Mantener informado","Comunicación periódica y recogida de feedback","Seguimiento ligero y vigilancia de cambios")))))</f>
        <v>Seguimiento ligero y vigilancia de cambios</v>
      </c>
      <c r="N16" s="4" t="s">
        <v>63</v>
      </c>
      <c r="O16" s="4" t="s">
        <v>104</v>
      </c>
      <c r="P16" s="4" t="s">
        <v>46</v>
      </c>
      <c r="Q16" s="4" t="s">
        <v>105</v>
      </c>
      <c r="R16" s="9">
        <v>46130</v>
      </c>
      <c r="S16" s="4" t="s">
        <v>106</v>
      </c>
      <c r="T16" s="4" t="s">
        <v>107</v>
      </c>
      <c r="U16" s="4" t="s">
        <v>41</v>
      </c>
    </row>
    <row r="17" spans="1:21" ht="21.95" customHeight="1" x14ac:dyDescent="0.25">
      <c r="A17" s="3" t="str">
        <f t="shared" si="0"/>
        <v>STK-12</v>
      </c>
      <c r="B17" s="4" t="s">
        <v>108</v>
      </c>
      <c r="C17" s="4" t="s">
        <v>109</v>
      </c>
      <c r="D17" s="4" t="s">
        <v>63</v>
      </c>
      <c r="E17" s="4" t="s">
        <v>110</v>
      </c>
      <c r="F17" s="5">
        <v>3</v>
      </c>
      <c r="G17" s="5">
        <v>3</v>
      </c>
      <c r="H17" s="5" t="s">
        <v>45</v>
      </c>
      <c r="I17" s="5">
        <v>3</v>
      </c>
      <c r="J17" s="5">
        <v>1</v>
      </c>
      <c r="K17" s="6">
        <f>IF(B17="","",ROUND(((F17*0.35)+(G17*0.2)+(I17*0.2)+(J17*0.1)+((6-Listas!K17)*0.15))/5*100,0))</f>
        <v>56</v>
      </c>
      <c r="L17" s="7" t="str">
        <f t="shared" si="1"/>
        <v>Monitorizar</v>
      </c>
      <c r="M17" s="8" t="str">
        <f>IF(B17="","",IF(AND(Listas!K17&lt;=2,F17&gt;=4),"Reconducir postura con reuniones 1:1 y sponsor ejecutivo",IF(AND(L17="Gestionar de cerca",Listas!K17&gt;=4),"Involucrar en decisiones clave y seguimiento semanal",IF(L17="Mantener satisfecho","Compartir avances ejecutivos y pedir validación en hitos",IF(L17="Mantener informado","Comunicación periódica y recogida de feedback","Seguimiento ligero y vigilancia de cambios")))))</f>
        <v>Seguimiento ligero y vigilancia de cambios</v>
      </c>
      <c r="N17" s="4" t="s">
        <v>63</v>
      </c>
      <c r="O17" s="4" t="s">
        <v>76</v>
      </c>
      <c r="P17" s="4" t="s">
        <v>46</v>
      </c>
      <c r="Q17" s="4" t="s">
        <v>111</v>
      </c>
      <c r="R17" s="9">
        <v>46119</v>
      </c>
      <c r="S17" s="4" t="s">
        <v>106</v>
      </c>
      <c r="T17" s="4" t="s">
        <v>112</v>
      </c>
      <c r="U17" s="4" t="s">
        <v>41</v>
      </c>
    </row>
    <row r="18" spans="1:21" ht="21.95" customHeight="1" x14ac:dyDescent="0.25">
      <c r="A18" s="3" t="str">
        <f t="shared" si="0"/>
        <v>STK-13</v>
      </c>
      <c r="B18" s="4" t="s">
        <v>113</v>
      </c>
      <c r="C18" s="4" t="s">
        <v>59</v>
      </c>
      <c r="D18" s="4" t="s">
        <v>60</v>
      </c>
      <c r="E18" s="4" t="s">
        <v>114</v>
      </c>
      <c r="F18" s="5">
        <v>2</v>
      </c>
      <c r="G18" s="5">
        <v>5</v>
      </c>
      <c r="H18" s="5" t="s">
        <v>53</v>
      </c>
      <c r="I18" s="5">
        <v>4</v>
      </c>
      <c r="J18" s="5">
        <v>4</v>
      </c>
      <c r="K18" s="6">
        <f>IF(B18="","",ROUND(((F18*0.35)+(G18*0.2)+(I18*0.2)+(J18*0.1)+((6-Listas!K18)*0.15))/5*100,0))</f>
        <v>64</v>
      </c>
      <c r="L18" s="7" t="str">
        <f t="shared" si="1"/>
        <v>Mantener informado</v>
      </c>
      <c r="M18" s="8" t="str">
        <f>IF(B18="","",IF(AND(Listas!K18&lt;=2,F18&gt;=4),"Reconducir postura con reuniones 1:1 y sponsor ejecutivo",IF(AND(L18="Gestionar de cerca",Listas!K18&gt;=4),"Involucrar en decisiones clave y seguimiento semanal",IF(L18="Mantener satisfecho","Compartir avances ejecutivos y pedir validación en hitos",IF(L18="Mantener informado","Comunicación periódica y recogida de feedback","Seguimiento ligero y vigilancia de cambios")))))</f>
        <v>Comunicación periódica y recogida de feedback</v>
      </c>
      <c r="N18" s="4" t="s">
        <v>63</v>
      </c>
      <c r="O18" s="4" t="s">
        <v>115</v>
      </c>
      <c r="P18" s="4" t="s">
        <v>46</v>
      </c>
      <c r="Q18" s="4" t="s">
        <v>116</v>
      </c>
      <c r="R18" s="9">
        <v>46124</v>
      </c>
      <c r="S18" s="4" t="s">
        <v>106</v>
      </c>
      <c r="T18" s="4" t="s">
        <v>117</v>
      </c>
      <c r="U18" s="4" t="s">
        <v>41</v>
      </c>
    </row>
    <row r="19" spans="1:21" ht="21.95" customHeight="1" x14ac:dyDescent="0.25">
      <c r="A19" s="3" t="str">
        <f t="shared" si="0"/>
        <v>STK-14</v>
      </c>
      <c r="B19" s="4" t="s">
        <v>118</v>
      </c>
      <c r="C19" s="4" t="s">
        <v>59</v>
      </c>
      <c r="D19" s="4" t="s">
        <v>60</v>
      </c>
      <c r="E19" s="4" t="s">
        <v>119</v>
      </c>
      <c r="F19" s="5">
        <v>3</v>
      </c>
      <c r="G19" s="5">
        <v>4</v>
      </c>
      <c r="H19" s="5" t="s">
        <v>120</v>
      </c>
      <c r="I19" s="5">
        <v>3</v>
      </c>
      <c r="J19" s="5">
        <v>1</v>
      </c>
      <c r="K19" s="6">
        <f>IF(B19="","",ROUND(((F19*0.35)+(G19*0.2)+(I19*0.2)+(J19*0.1)+((6-Listas!K19)*0.15))/5*100,0))</f>
        <v>66</v>
      </c>
      <c r="L19" s="7" t="str">
        <f t="shared" si="1"/>
        <v>Mantener informado</v>
      </c>
      <c r="M19" s="8" t="str">
        <f>IF(B19="","",IF(AND(Listas!K19&lt;=2,F19&gt;=4),"Reconducir postura con reuniones 1:1 y sponsor ejecutivo",IF(AND(L19="Gestionar de cerca",Listas!K19&gt;=4),"Involucrar en decisiones clave y seguimiento semanal",IF(L19="Mantener satisfecho","Compartir avances ejecutivos y pedir validación en hitos",IF(L19="Mantener informado","Comunicación periódica y recogida de feedback","Seguimiento ligero y vigilancia de cambios")))))</f>
        <v>Comunicación periódica y recogida de feedback</v>
      </c>
      <c r="N19" s="4" t="s">
        <v>63</v>
      </c>
      <c r="O19" s="4" t="s">
        <v>54</v>
      </c>
      <c r="P19" s="4" t="s">
        <v>55</v>
      </c>
      <c r="Q19" s="4" t="s">
        <v>121</v>
      </c>
      <c r="R19" s="9">
        <v>46105</v>
      </c>
      <c r="S19" s="4" t="s">
        <v>66</v>
      </c>
      <c r="T19" s="4" t="s">
        <v>122</v>
      </c>
      <c r="U19" s="4" t="s">
        <v>41</v>
      </c>
    </row>
    <row r="20" spans="1:21" ht="21.95" customHeight="1" x14ac:dyDescent="0.25">
      <c r="A20" s="3" t="str">
        <f t="shared" si="0"/>
        <v>STK-15</v>
      </c>
      <c r="B20" s="4" t="s">
        <v>123</v>
      </c>
      <c r="C20" s="4" t="s">
        <v>80</v>
      </c>
      <c r="D20" s="4" t="s">
        <v>43</v>
      </c>
      <c r="E20" s="4" t="s">
        <v>124</v>
      </c>
      <c r="F20" s="5">
        <v>4</v>
      </c>
      <c r="G20" s="5">
        <v>3</v>
      </c>
      <c r="H20" s="5" t="s">
        <v>45</v>
      </c>
      <c r="I20" s="5">
        <v>4</v>
      </c>
      <c r="J20" s="5">
        <v>4</v>
      </c>
      <c r="K20" s="6">
        <f>IF(B20="","",ROUND(((F20*0.35)+(G20*0.2)+(I20*0.2)+(J20*0.1)+((6-Listas!K20)*0.15))/5*100,0))</f>
        <v>73</v>
      </c>
      <c r="L20" s="7" t="str">
        <f t="shared" si="1"/>
        <v>Mantener satisfecho</v>
      </c>
      <c r="M20" s="8" t="str">
        <f>IF(B20="","",IF(AND(Listas!K20&lt;=2,F20&gt;=4),"Reconducir postura con reuniones 1:1 y sponsor ejecutivo",IF(AND(L20="Gestionar de cerca",Listas!K20&gt;=4),"Involucrar en decisiones clave y seguimiento semanal",IF(L20="Mantener satisfecho","Compartir avances ejecutivos y pedir validación en hitos",IF(L20="Mantener informado","Comunicación periódica y recogida de feedback","Seguimiento ligero y vigilancia de cambios")))))</f>
        <v>Compartir avances ejecutivos y pedir validación en hitos</v>
      </c>
      <c r="N20" s="4" t="s">
        <v>125</v>
      </c>
      <c r="O20" s="4" t="s">
        <v>88</v>
      </c>
      <c r="P20" s="4" t="s">
        <v>46</v>
      </c>
      <c r="Q20" s="4" t="s">
        <v>126</v>
      </c>
      <c r="R20" s="9">
        <v>46113</v>
      </c>
      <c r="S20" s="4" t="s">
        <v>48</v>
      </c>
      <c r="T20" s="4" t="s">
        <v>127</v>
      </c>
      <c r="U20" s="4" t="s">
        <v>41</v>
      </c>
    </row>
    <row r="21" spans="1:21" ht="21.95" customHeight="1" x14ac:dyDescent="0.25">
      <c r="A21" s="3" t="str">
        <f t="shared" si="0"/>
        <v>STK-16</v>
      </c>
      <c r="B21" s="4" t="s">
        <v>128</v>
      </c>
      <c r="C21" s="4" t="s">
        <v>74</v>
      </c>
      <c r="D21" s="4" t="s">
        <v>43</v>
      </c>
      <c r="E21" s="4" t="s">
        <v>129</v>
      </c>
      <c r="F21" s="5">
        <v>4</v>
      </c>
      <c r="G21" s="5">
        <v>4</v>
      </c>
      <c r="H21" s="5" t="s">
        <v>34</v>
      </c>
      <c r="I21" s="5">
        <v>4</v>
      </c>
      <c r="J21" s="5">
        <v>2</v>
      </c>
      <c r="K21" s="6">
        <f>IF(B21="","",ROUND(((F21*0.35)+(G21*0.2)+(I21*0.2)+(J21*0.1)+((6-Listas!K21)*0.15))/5*100,0))</f>
        <v>67</v>
      </c>
      <c r="L21" s="7" t="str">
        <f t="shared" si="1"/>
        <v>Gestionar de cerca</v>
      </c>
      <c r="M21" s="8" t="str">
        <f>IF(B21="","",IF(AND(Listas!K21&lt;=2,F21&gt;=4),"Reconducir postura con reuniones 1:1 y sponsor ejecutivo",IF(AND(L21="Gestionar de cerca",Listas!K21&gt;=4),"Involucrar en decisiones clave y seguimiento semanal",IF(L21="Mantener satisfecho","Compartir avances ejecutivos y pedir validación en hitos",IF(L21="Mantener informado","Comunicación periódica y recogida de feedback","Seguimiento ligero y vigilancia de cambios")))))</f>
        <v>Involucrar en decisiones clave y seguimiento semanal</v>
      </c>
      <c r="N21" s="4" t="s">
        <v>130</v>
      </c>
      <c r="O21" s="4" t="s">
        <v>36</v>
      </c>
      <c r="P21" s="4" t="s">
        <v>46</v>
      </c>
      <c r="Q21" s="4" t="s">
        <v>131</v>
      </c>
      <c r="R21" s="9">
        <v>46121</v>
      </c>
      <c r="S21" s="4" t="s">
        <v>39</v>
      </c>
      <c r="T21" s="4" t="s">
        <v>132</v>
      </c>
      <c r="U21" s="4" t="s">
        <v>41</v>
      </c>
    </row>
    <row r="22" spans="1:21" ht="21.95" customHeight="1" x14ac:dyDescent="0.25">
      <c r="A22" s="3" t="str">
        <f t="shared" si="0"/>
        <v>STK-17</v>
      </c>
      <c r="B22" s="4" t="s">
        <v>133</v>
      </c>
      <c r="C22" s="4" t="s">
        <v>31</v>
      </c>
      <c r="D22" s="4" t="s">
        <v>98</v>
      </c>
      <c r="E22" s="4" t="s">
        <v>134</v>
      </c>
      <c r="F22" s="5">
        <v>4</v>
      </c>
      <c r="G22" s="5">
        <v>4</v>
      </c>
      <c r="H22" s="5" t="s">
        <v>53</v>
      </c>
      <c r="I22" s="5">
        <v>4</v>
      </c>
      <c r="J22" s="5">
        <v>4</v>
      </c>
      <c r="K22" s="6">
        <f>IF(B22="","",ROUND(((F22*0.35)+(G22*0.2)+(I22*0.2)+(J22*0.1)+((6-Listas!K22)*0.15))/5*100,0))</f>
        <v>74</v>
      </c>
      <c r="L22" s="7" t="str">
        <f t="shared" si="1"/>
        <v>Gestionar de cerca</v>
      </c>
      <c r="M22" s="8" t="str">
        <f>IF(B22="","",IF(AND(Listas!K22&lt;=2,F22&gt;=4),"Reconducir postura con reuniones 1:1 y sponsor ejecutivo",IF(AND(L22="Gestionar de cerca",Listas!K22&gt;=4),"Involucrar en decisiones clave y seguimiento semanal",IF(L22="Mantener satisfecho","Compartir avances ejecutivos y pedir validación en hitos",IF(L22="Mantener informado","Comunicación periódica y recogida de feedback","Seguimiento ligero y vigilancia de cambios")))))</f>
        <v>Involucrar en decisiones clave y seguimiento semanal</v>
      </c>
      <c r="N22" s="4" t="s">
        <v>35</v>
      </c>
      <c r="O22" s="4" t="s">
        <v>36</v>
      </c>
      <c r="P22" s="4" t="s">
        <v>46</v>
      </c>
      <c r="Q22" s="4" t="s">
        <v>135</v>
      </c>
      <c r="R22" s="9">
        <v>46115</v>
      </c>
      <c r="S22" s="4" t="s">
        <v>39</v>
      </c>
      <c r="T22" s="4" t="s">
        <v>136</v>
      </c>
      <c r="U22" s="4" t="s">
        <v>41</v>
      </c>
    </row>
    <row r="23" spans="1:21" ht="21.95" customHeight="1" x14ac:dyDescent="0.25">
      <c r="A23" s="3" t="str">
        <f t="shared" si="0"/>
        <v>STK-18</v>
      </c>
      <c r="B23" s="4" t="s">
        <v>137</v>
      </c>
      <c r="C23" s="4" t="s">
        <v>80</v>
      </c>
      <c r="D23" s="4" t="s">
        <v>86</v>
      </c>
      <c r="E23" s="4" t="s">
        <v>138</v>
      </c>
      <c r="F23" s="5">
        <v>3</v>
      </c>
      <c r="G23" s="5">
        <v>4</v>
      </c>
      <c r="H23" s="5" t="s">
        <v>53</v>
      </c>
      <c r="I23" s="5">
        <v>4</v>
      </c>
      <c r="J23" s="5">
        <v>4</v>
      </c>
      <c r="K23" s="6">
        <f>IF(B23="","",ROUND(((F23*0.35)+(G23*0.2)+(I23*0.2)+(J23*0.1)+((6-Listas!K23)*0.15))/5*100,0))</f>
        <v>67</v>
      </c>
      <c r="L23" s="7" t="str">
        <f t="shared" si="1"/>
        <v>Mantener informado</v>
      </c>
      <c r="M23" s="8" t="str">
        <f>IF(B23="","",IF(AND(Listas!K23&lt;=2,F23&gt;=4),"Reconducir postura con reuniones 1:1 y sponsor ejecutivo",IF(AND(L23="Gestionar de cerca",Listas!K23&gt;=4),"Involucrar en decisiones clave y seguimiento semanal",IF(L23="Mantener satisfecho","Compartir avances ejecutivos y pedir validación en hitos",IF(L23="Mantener informado","Comunicación periódica y recogida de feedback","Seguimiento ligero y vigilancia de cambios")))))</f>
        <v>Comunicación periódica y recogida de feedback</v>
      </c>
      <c r="N23" s="4" t="s">
        <v>86</v>
      </c>
      <c r="O23" s="4" t="s">
        <v>88</v>
      </c>
      <c r="P23" s="4" t="s">
        <v>55</v>
      </c>
      <c r="Q23" s="4" t="s">
        <v>139</v>
      </c>
      <c r="R23" s="9">
        <v>46112</v>
      </c>
      <c r="S23" s="4" t="s">
        <v>48</v>
      </c>
      <c r="T23" s="4" t="s">
        <v>140</v>
      </c>
      <c r="U23" s="4" t="s">
        <v>41</v>
      </c>
    </row>
    <row r="24" spans="1:21" ht="21.95" customHeight="1" x14ac:dyDescent="0.25">
      <c r="A24" s="3" t="str">
        <f t="shared" si="0"/>
        <v/>
      </c>
      <c r="B24" s="4" t="s">
        <v>41</v>
      </c>
      <c r="C24" s="4" t="s">
        <v>41</v>
      </c>
      <c r="D24" s="4" t="s">
        <v>41</v>
      </c>
      <c r="E24" s="4" t="s">
        <v>41</v>
      </c>
      <c r="F24" s="5" t="s">
        <v>41</v>
      </c>
      <c r="G24" s="5" t="s">
        <v>41</v>
      </c>
      <c r="H24" s="5" t="s">
        <v>41</v>
      </c>
      <c r="I24" s="5" t="s">
        <v>41</v>
      </c>
      <c r="J24" s="5" t="s">
        <v>41</v>
      </c>
      <c r="K24" s="6" t="str">
        <f>IF(B24="","",ROUND(((F24*0.35)+(G24*0.2)+(I24*0.2)+(J24*0.1)+((6-Listas!K24)*0.15))/5*100,0))</f>
        <v/>
      </c>
      <c r="L24" s="7" t="str">
        <f t="shared" si="1"/>
        <v/>
      </c>
      <c r="M24" s="8" t="str">
        <f>IF(B24="","",IF(AND(Listas!K24&lt;=2,F24&gt;=4),"Reconducir postura con reuniones 1:1 y sponsor ejecutivo",IF(AND(L24="Gestionar de cerca",Listas!K24&gt;=4),"Involucrar en decisiones clave y seguimiento semanal",IF(L24="Mantener satisfecho","Compartir avances ejecutivos y pedir validación en hitos",IF(L24="Mantener informado","Comunicación periódica y recogida de feedback","Seguimiento ligero y vigilancia de cambios")))))</f>
        <v/>
      </c>
      <c r="N24" s="4" t="s">
        <v>41</v>
      </c>
      <c r="O24" s="4" t="s">
        <v>41</v>
      </c>
      <c r="P24" s="4" t="s">
        <v>41</v>
      </c>
      <c r="Q24" s="4" t="s">
        <v>41</v>
      </c>
      <c r="R24" s="9" t="s">
        <v>41</v>
      </c>
      <c r="S24" s="4" t="s">
        <v>41</v>
      </c>
      <c r="T24" s="4" t="s">
        <v>41</v>
      </c>
      <c r="U24" s="4" t="s">
        <v>41</v>
      </c>
    </row>
    <row r="25" spans="1:21" ht="21.95" customHeight="1" x14ac:dyDescent="0.25">
      <c r="A25" s="3" t="str">
        <f t="shared" si="0"/>
        <v/>
      </c>
      <c r="B25" s="4" t="s">
        <v>41</v>
      </c>
      <c r="C25" s="4" t="s">
        <v>41</v>
      </c>
      <c r="D25" s="4" t="s">
        <v>41</v>
      </c>
      <c r="E25" s="4" t="s">
        <v>41</v>
      </c>
      <c r="F25" s="5" t="s">
        <v>41</v>
      </c>
      <c r="G25" s="5" t="s">
        <v>41</v>
      </c>
      <c r="H25" s="5" t="s">
        <v>41</v>
      </c>
      <c r="I25" s="5" t="s">
        <v>41</v>
      </c>
      <c r="J25" s="5" t="s">
        <v>41</v>
      </c>
      <c r="K25" s="6" t="str">
        <f>IF(B25="","",ROUND(((F25*0.35)+(G25*0.2)+(I25*0.2)+(J25*0.1)+((6-Listas!K25)*0.15))/5*100,0))</f>
        <v/>
      </c>
      <c r="L25" s="7" t="str">
        <f t="shared" si="1"/>
        <v/>
      </c>
      <c r="M25" s="8" t="str">
        <f>IF(B25="","",IF(AND(Listas!K25&lt;=2,F25&gt;=4),"Reconducir postura con reuniones 1:1 y sponsor ejecutivo",IF(AND(L25="Gestionar de cerca",Listas!K25&gt;=4),"Involucrar en decisiones clave y seguimiento semanal",IF(L25="Mantener satisfecho","Compartir avances ejecutivos y pedir validación en hitos",IF(L25="Mantener informado","Comunicación periódica y recogida de feedback","Seguimiento ligero y vigilancia de cambios")))))</f>
        <v/>
      </c>
      <c r="N25" s="4" t="s">
        <v>41</v>
      </c>
      <c r="O25" s="4" t="s">
        <v>41</v>
      </c>
      <c r="P25" s="4" t="s">
        <v>41</v>
      </c>
      <c r="Q25" s="4" t="s">
        <v>41</v>
      </c>
      <c r="R25" s="9" t="s">
        <v>41</v>
      </c>
      <c r="S25" s="4" t="s">
        <v>41</v>
      </c>
      <c r="T25" s="4" t="s">
        <v>41</v>
      </c>
      <c r="U25" s="4" t="s">
        <v>41</v>
      </c>
    </row>
    <row r="26" spans="1:21" ht="21.95" customHeight="1" x14ac:dyDescent="0.25">
      <c r="A26" s="3" t="str">
        <f t="shared" si="0"/>
        <v/>
      </c>
      <c r="B26" s="4" t="s">
        <v>41</v>
      </c>
      <c r="C26" s="4" t="s">
        <v>41</v>
      </c>
      <c r="D26" s="4" t="s">
        <v>41</v>
      </c>
      <c r="E26" s="4" t="s">
        <v>41</v>
      </c>
      <c r="F26" s="5" t="s">
        <v>41</v>
      </c>
      <c r="G26" s="5" t="s">
        <v>41</v>
      </c>
      <c r="H26" s="5" t="s">
        <v>41</v>
      </c>
      <c r="I26" s="5" t="s">
        <v>41</v>
      </c>
      <c r="J26" s="5" t="s">
        <v>41</v>
      </c>
      <c r="K26" s="6" t="str">
        <f>IF(B26="","",ROUND(((F26*0.35)+(G26*0.2)+(I26*0.2)+(J26*0.1)+((6-Listas!K26)*0.15))/5*100,0))</f>
        <v/>
      </c>
      <c r="L26" s="7" t="str">
        <f t="shared" si="1"/>
        <v/>
      </c>
      <c r="M26" s="8" t="str">
        <f>IF(B26="","",IF(AND(Listas!K26&lt;=2,F26&gt;=4),"Reconducir postura con reuniones 1:1 y sponsor ejecutivo",IF(AND(L26="Gestionar de cerca",Listas!K26&gt;=4),"Involucrar en decisiones clave y seguimiento semanal",IF(L26="Mantener satisfecho","Compartir avances ejecutivos y pedir validación en hitos",IF(L26="Mantener informado","Comunicación periódica y recogida de feedback","Seguimiento ligero y vigilancia de cambios")))))</f>
        <v/>
      </c>
      <c r="N26" s="4" t="s">
        <v>41</v>
      </c>
      <c r="O26" s="4" t="s">
        <v>41</v>
      </c>
      <c r="P26" s="4" t="s">
        <v>41</v>
      </c>
      <c r="Q26" s="4" t="s">
        <v>41</v>
      </c>
      <c r="R26" s="9" t="s">
        <v>41</v>
      </c>
      <c r="S26" s="4" t="s">
        <v>41</v>
      </c>
      <c r="T26" s="4" t="s">
        <v>41</v>
      </c>
      <c r="U26" s="4" t="s">
        <v>41</v>
      </c>
    </row>
    <row r="27" spans="1:21" ht="21.95" customHeight="1" x14ac:dyDescent="0.25">
      <c r="A27" s="3" t="str">
        <f t="shared" si="0"/>
        <v/>
      </c>
      <c r="B27" s="4" t="s">
        <v>41</v>
      </c>
      <c r="C27" s="4" t="s">
        <v>41</v>
      </c>
      <c r="D27" s="4" t="s">
        <v>41</v>
      </c>
      <c r="E27" s="4" t="s">
        <v>41</v>
      </c>
      <c r="F27" s="5" t="s">
        <v>41</v>
      </c>
      <c r="G27" s="5" t="s">
        <v>41</v>
      </c>
      <c r="H27" s="5" t="s">
        <v>41</v>
      </c>
      <c r="I27" s="5" t="s">
        <v>41</v>
      </c>
      <c r="J27" s="5" t="s">
        <v>41</v>
      </c>
      <c r="K27" s="6" t="str">
        <f>IF(B27="","",ROUND(((F27*0.35)+(G27*0.2)+(I27*0.2)+(J27*0.1)+((6-Listas!K27)*0.15))/5*100,0))</f>
        <v/>
      </c>
      <c r="L27" s="7" t="str">
        <f t="shared" si="1"/>
        <v/>
      </c>
      <c r="M27" s="8" t="str">
        <f>IF(B27="","",IF(AND(Listas!K27&lt;=2,F27&gt;=4),"Reconducir postura con reuniones 1:1 y sponsor ejecutivo",IF(AND(L27="Gestionar de cerca",Listas!K27&gt;=4),"Involucrar en decisiones clave y seguimiento semanal",IF(L27="Mantener satisfecho","Compartir avances ejecutivos y pedir validación en hitos",IF(L27="Mantener informado","Comunicación periódica y recogida de feedback","Seguimiento ligero y vigilancia de cambios")))))</f>
        <v/>
      </c>
      <c r="N27" s="4" t="s">
        <v>41</v>
      </c>
      <c r="O27" s="4" t="s">
        <v>41</v>
      </c>
      <c r="P27" s="4" t="s">
        <v>41</v>
      </c>
      <c r="Q27" s="4" t="s">
        <v>41</v>
      </c>
      <c r="R27" s="9" t="s">
        <v>41</v>
      </c>
      <c r="S27" s="4" t="s">
        <v>41</v>
      </c>
      <c r="T27" s="4" t="s">
        <v>41</v>
      </c>
      <c r="U27" s="4" t="s">
        <v>41</v>
      </c>
    </row>
    <row r="28" spans="1:21" ht="21.95" customHeight="1" x14ac:dyDescent="0.25">
      <c r="A28" s="3" t="str">
        <f t="shared" si="0"/>
        <v/>
      </c>
      <c r="B28" s="4" t="s">
        <v>41</v>
      </c>
      <c r="C28" s="4" t="s">
        <v>41</v>
      </c>
      <c r="D28" s="4" t="s">
        <v>41</v>
      </c>
      <c r="E28" s="4" t="s">
        <v>41</v>
      </c>
      <c r="F28" s="5" t="s">
        <v>41</v>
      </c>
      <c r="G28" s="5" t="s">
        <v>41</v>
      </c>
      <c r="H28" s="5" t="s">
        <v>41</v>
      </c>
      <c r="I28" s="5" t="s">
        <v>41</v>
      </c>
      <c r="J28" s="5" t="s">
        <v>41</v>
      </c>
      <c r="K28" s="6" t="str">
        <f>IF(B28="","",ROUND(((F28*0.35)+(G28*0.2)+(I28*0.2)+(J28*0.1)+((6-Listas!K28)*0.15))/5*100,0))</f>
        <v/>
      </c>
      <c r="L28" s="7" t="str">
        <f t="shared" si="1"/>
        <v/>
      </c>
      <c r="M28" s="8" t="str">
        <f>IF(B28="","",IF(AND(Listas!K28&lt;=2,F28&gt;=4),"Reconducir postura con reuniones 1:1 y sponsor ejecutivo",IF(AND(L28="Gestionar de cerca",Listas!K28&gt;=4),"Involucrar en decisiones clave y seguimiento semanal",IF(L28="Mantener satisfecho","Compartir avances ejecutivos y pedir validación en hitos",IF(L28="Mantener informado","Comunicación periódica y recogida de feedback","Seguimiento ligero y vigilancia de cambios")))))</f>
        <v/>
      </c>
      <c r="N28" s="4" t="s">
        <v>41</v>
      </c>
      <c r="O28" s="4" t="s">
        <v>41</v>
      </c>
      <c r="P28" s="4" t="s">
        <v>41</v>
      </c>
      <c r="Q28" s="4" t="s">
        <v>41</v>
      </c>
      <c r="R28" s="9" t="s">
        <v>41</v>
      </c>
      <c r="S28" s="4" t="s">
        <v>41</v>
      </c>
      <c r="T28" s="4" t="s">
        <v>41</v>
      </c>
      <c r="U28" s="4" t="s">
        <v>41</v>
      </c>
    </row>
    <row r="29" spans="1:21" ht="21.95" customHeight="1" x14ac:dyDescent="0.25">
      <c r="A29" s="3" t="str">
        <f t="shared" si="0"/>
        <v/>
      </c>
      <c r="B29" s="4" t="s">
        <v>41</v>
      </c>
      <c r="C29" s="4" t="s">
        <v>41</v>
      </c>
      <c r="D29" s="4" t="s">
        <v>41</v>
      </c>
      <c r="E29" s="4" t="s">
        <v>41</v>
      </c>
      <c r="F29" s="5" t="s">
        <v>41</v>
      </c>
      <c r="G29" s="5" t="s">
        <v>41</v>
      </c>
      <c r="H29" s="5" t="s">
        <v>41</v>
      </c>
      <c r="I29" s="5" t="s">
        <v>41</v>
      </c>
      <c r="J29" s="5" t="s">
        <v>41</v>
      </c>
      <c r="K29" s="6" t="str">
        <f>IF(B29="","",ROUND(((F29*0.35)+(G29*0.2)+(I29*0.2)+(J29*0.1)+((6-Listas!K29)*0.15))/5*100,0))</f>
        <v/>
      </c>
      <c r="L29" s="7" t="str">
        <f t="shared" si="1"/>
        <v/>
      </c>
      <c r="M29" s="8" t="str">
        <f>IF(B29="","",IF(AND(Listas!K29&lt;=2,F29&gt;=4),"Reconducir postura con reuniones 1:1 y sponsor ejecutivo",IF(AND(L29="Gestionar de cerca",Listas!K29&gt;=4),"Involucrar en decisiones clave y seguimiento semanal",IF(L29="Mantener satisfecho","Compartir avances ejecutivos y pedir validación en hitos",IF(L29="Mantener informado","Comunicación periódica y recogida de feedback","Seguimiento ligero y vigilancia de cambios")))))</f>
        <v/>
      </c>
      <c r="N29" s="4" t="s">
        <v>41</v>
      </c>
      <c r="O29" s="4" t="s">
        <v>41</v>
      </c>
      <c r="P29" s="4" t="s">
        <v>41</v>
      </c>
      <c r="Q29" s="4" t="s">
        <v>41</v>
      </c>
      <c r="R29" s="9" t="s">
        <v>41</v>
      </c>
      <c r="S29" s="4" t="s">
        <v>41</v>
      </c>
      <c r="T29" s="4" t="s">
        <v>41</v>
      </c>
      <c r="U29" s="4" t="s">
        <v>41</v>
      </c>
    </row>
    <row r="30" spans="1:21" ht="21.95" customHeight="1" x14ac:dyDescent="0.25">
      <c r="A30" s="3" t="str">
        <f t="shared" si="0"/>
        <v/>
      </c>
      <c r="B30" s="4" t="s">
        <v>41</v>
      </c>
      <c r="C30" s="4" t="s">
        <v>41</v>
      </c>
      <c r="D30" s="4" t="s">
        <v>41</v>
      </c>
      <c r="E30" s="4" t="s">
        <v>41</v>
      </c>
      <c r="F30" s="5" t="s">
        <v>41</v>
      </c>
      <c r="G30" s="5" t="s">
        <v>41</v>
      </c>
      <c r="H30" s="5" t="s">
        <v>41</v>
      </c>
      <c r="I30" s="5" t="s">
        <v>41</v>
      </c>
      <c r="J30" s="5" t="s">
        <v>41</v>
      </c>
      <c r="K30" s="6" t="str">
        <f>IF(B30="","",ROUND(((F30*0.35)+(G30*0.2)+(I30*0.2)+(J30*0.1)+((6-Listas!K30)*0.15))/5*100,0))</f>
        <v/>
      </c>
      <c r="L30" s="7" t="str">
        <f t="shared" si="1"/>
        <v/>
      </c>
      <c r="M30" s="8" t="str">
        <f>IF(B30="","",IF(AND(Listas!K30&lt;=2,F30&gt;=4),"Reconducir postura con reuniones 1:1 y sponsor ejecutivo",IF(AND(L30="Gestionar de cerca",Listas!K30&gt;=4),"Involucrar en decisiones clave y seguimiento semanal",IF(L30="Mantener satisfecho","Compartir avances ejecutivos y pedir validación en hitos",IF(L30="Mantener informado","Comunicación periódica y recogida de feedback","Seguimiento ligero y vigilancia de cambios")))))</f>
        <v/>
      </c>
      <c r="N30" s="4" t="s">
        <v>41</v>
      </c>
      <c r="O30" s="4" t="s">
        <v>41</v>
      </c>
      <c r="P30" s="4" t="s">
        <v>41</v>
      </c>
      <c r="Q30" s="4" t="s">
        <v>41</v>
      </c>
      <c r="R30" s="9" t="s">
        <v>41</v>
      </c>
      <c r="S30" s="4" t="s">
        <v>41</v>
      </c>
      <c r="T30" s="4" t="s">
        <v>41</v>
      </c>
      <c r="U30" s="4" t="s">
        <v>41</v>
      </c>
    </row>
    <row r="31" spans="1:21" ht="21.95" customHeight="1" x14ac:dyDescent="0.25">
      <c r="A31" s="3" t="str">
        <f t="shared" si="0"/>
        <v/>
      </c>
      <c r="B31" s="4" t="s">
        <v>41</v>
      </c>
      <c r="C31" s="4" t="s">
        <v>41</v>
      </c>
      <c r="D31" s="4" t="s">
        <v>41</v>
      </c>
      <c r="E31" s="4" t="s">
        <v>41</v>
      </c>
      <c r="F31" s="5" t="s">
        <v>41</v>
      </c>
      <c r="G31" s="5" t="s">
        <v>41</v>
      </c>
      <c r="H31" s="5" t="s">
        <v>41</v>
      </c>
      <c r="I31" s="5" t="s">
        <v>41</v>
      </c>
      <c r="J31" s="5" t="s">
        <v>41</v>
      </c>
      <c r="K31" s="6" t="str">
        <f>IF(B31="","",ROUND(((F31*0.35)+(G31*0.2)+(I31*0.2)+(J31*0.1)+((6-Listas!K31)*0.15))/5*100,0))</f>
        <v/>
      </c>
      <c r="L31" s="7" t="str">
        <f t="shared" si="1"/>
        <v/>
      </c>
      <c r="M31" s="8" t="str">
        <f>IF(B31="","",IF(AND(Listas!K31&lt;=2,F31&gt;=4),"Reconducir postura con reuniones 1:1 y sponsor ejecutivo",IF(AND(L31="Gestionar de cerca",Listas!K31&gt;=4),"Involucrar en decisiones clave y seguimiento semanal",IF(L31="Mantener satisfecho","Compartir avances ejecutivos y pedir validación en hitos",IF(L31="Mantener informado","Comunicación periódica y recogida de feedback","Seguimiento ligero y vigilancia de cambios")))))</f>
        <v/>
      </c>
      <c r="N31" s="4" t="s">
        <v>41</v>
      </c>
      <c r="O31" s="4" t="s">
        <v>41</v>
      </c>
      <c r="P31" s="4" t="s">
        <v>41</v>
      </c>
      <c r="Q31" s="4" t="s">
        <v>41</v>
      </c>
      <c r="R31" s="9" t="s">
        <v>41</v>
      </c>
      <c r="S31" s="4" t="s">
        <v>41</v>
      </c>
      <c r="T31" s="4" t="s">
        <v>41</v>
      </c>
      <c r="U31" s="4" t="s">
        <v>41</v>
      </c>
    </row>
    <row r="32" spans="1:21" ht="21.95" customHeight="1" x14ac:dyDescent="0.25">
      <c r="A32" s="3" t="str">
        <f t="shared" si="0"/>
        <v/>
      </c>
      <c r="B32" s="4" t="s">
        <v>41</v>
      </c>
      <c r="C32" s="4" t="s">
        <v>41</v>
      </c>
      <c r="D32" s="4" t="s">
        <v>41</v>
      </c>
      <c r="E32" s="4" t="s">
        <v>41</v>
      </c>
      <c r="F32" s="5" t="s">
        <v>41</v>
      </c>
      <c r="G32" s="5" t="s">
        <v>41</v>
      </c>
      <c r="H32" s="5" t="s">
        <v>41</v>
      </c>
      <c r="I32" s="5" t="s">
        <v>41</v>
      </c>
      <c r="J32" s="5" t="s">
        <v>41</v>
      </c>
      <c r="K32" s="6" t="str">
        <f>IF(B32="","",ROUND(((F32*0.35)+(G32*0.2)+(I32*0.2)+(J32*0.1)+((6-Listas!K32)*0.15))/5*100,0))</f>
        <v/>
      </c>
      <c r="L32" s="7" t="str">
        <f t="shared" si="1"/>
        <v/>
      </c>
      <c r="M32" s="8" t="str">
        <f>IF(B32="","",IF(AND(Listas!K32&lt;=2,F32&gt;=4),"Reconducir postura con reuniones 1:1 y sponsor ejecutivo",IF(AND(L32="Gestionar de cerca",Listas!K32&gt;=4),"Involucrar en decisiones clave y seguimiento semanal",IF(L32="Mantener satisfecho","Compartir avances ejecutivos y pedir validación en hitos",IF(L32="Mantener informado","Comunicación periódica y recogida de feedback","Seguimiento ligero y vigilancia de cambios")))))</f>
        <v/>
      </c>
      <c r="N32" s="4" t="s">
        <v>41</v>
      </c>
      <c r="O32" s="4" t="s">
        <v>41</v>
      </c>
      <c r="P32" s="4" t="s">
        <v>41</v>
      </c>
      <c r="Q32" s="4" t="s">
        <v>41</v>
      </c>
      <c r="R32" s="9" t="s">
        <v>41</v>
      </c>
      <c r="S32" s="4" t="s">
        <v>41</v>
      </c>
      <c r="T32" s="4" t="s">
        <v>41</v>
      </c>
      <c r="U32" s="4" t="s">
        <v>41</v>
      </c>
    </row>
    <row r="33" spans="1:21" ht="21.95" customHeight="1" x14ac:dyDescent="0.25">
      <c r="A33" s="3" t="str">
        <f t="shared" si="0"/>
        <v/>
      </c>
      <c r="B33" s="4" t="s">
        <v>41</v>
      </c>
      <c r="C33" s="4" t="s">
        <v>41</v>
      </c>
      <c r="D33" s="4" t="s">
        <v>41</v>
      </c>
      <c r="E33" s="4" t="s">
        <v>41</v>
      </c>
      <c r="F33" s="5" t="s">
        <v>41</v>
      </c>
      <c r="G33" s="5" t="s">
        <v>41</v>
      </c>
      <c r="H33" s="5" t="s">
        <v>41</v>
      </c>
      <c r="I33" s="5" t="s">
        <v>41</v>
      </c>
      <c r="J33" s="5" t="s">
        <v>41</v>
      </c>
      <c r="K33" s="6" t="str">
        <f>IF(B33="","",ROUND(((F33*0.35)+(G33*0.2)+(I33*0.2)+(J33*0.1)+((6-Listas!K33)*0.15))/5*100,0))</f>
        <v/>
      </c>
      <c r="L33" s="7" t="str">
        <f t="shared" si="1"/>
        <v/>
      </c>
      <c r="M33" s="8" t="str">
        <f>IF(B33="","",IF(AND(Listas!K33&lt;=2,F33&gt;=4),"Reconducir postura con reuniones 1:1 y sponsor ejecutivo",IF(AND(L33="Gestionar de cerca",Listas!K33&gt;=4),"Involucrar en decisiones clave y seguimiento semanal",IF(L33="Mantener satisfecho","Compartir avances ejecutivos y pedir validación en hitos",IF(L33="Mantener informado","Comunicación periódica y recogida de feedback","Seguimiento ligero y vigilancia de cambios")))))</f>
        <v/>
      </c>
      <c r="N33" s="4" t="s">
        <v>41</v>
      </c>
      <c r="O33" s="4" t="s">
        <v>41</v>
      </c>
      <c r="P33" s="4" t="s">
        <v>41</v>
      </c>
      <c r="Q33" s="4" t="s">
        <v>41</v>
      </c>
      <c r="R33" s="9" t="s">
        <v>41</v>
      </c>
      <c r="S33" s="4" t="s">
        <v>41</v>
      </c>
      <c r="T33" s="4" t="s">
        <v>41</v>
      </c>
      <c r="U33" s="4" t="s">
        <v>41</v>
      </c>
    </row>
    <row r="34" spans="1:21" ht="21.95" customHeight="1" x14ac:dyDescent="0.25">
      <c r="A34" s="3" t="str">
        <f t="shared" si="0"/>
        <v/>
      </c>
      <c r="B34" s="4" t="s">
        <v>41</v>
      </c>
      <c r="C34" s="4" t="s">
        <v>41</v>
      </c>
      <c r="D34" s="4" t="s">
        <v>41</v>
      </c>
      <c r="E34" s="4" t="s">
        <v>41</v>
      </c>
      <c r="F34" s="5" t="s">
        <v>41</v>
      </c>
      <c r="G34" s="5" t="s">
        <v>41</v>
      </c>
      <c r="H34" s="5" t="s">
        <v>41</v>
      </c>
      <c r="I34" s="5" t="s">
        <v>41</v>
      </c>
      <c r="J34" s="5" t="s">
        <v>41</v>
      </c>
      <c r="K34" s="6" t="str">
        <f>IF(B34="","",ROUND(((F34*0.35)+(G34*0.2)+(I34*0.2)+(J34*0.1)+((6-Listas!K34)*0.15))/5*100,0))</f>
        <v/>
      </c>
      <c r="L34" s="7" t="str">
        <f t="shared" si="1"/>
        <v/>
      </c>
      <c r="M34" s="8" t="str">
        <f>IF(B34="","",IF(AND(Listas!K34&lt;=2,F34&gt;=4),"Reconducir postura con reuniones 1:1 y sponsor ejecutivo",IF(AND(L34="Gestionar de cerca",Listas!K34&gt;=4),"Involucrar en decisiones clave y seguimiento semanal",IF(L34="Mantener satisfecho","Compartir avances ejecutivos y pedir validación en hitos",IF(L34="Mantener informado","Comunicación periódica y recogida de feedback","Seguimiento ligero y vigilancia de cambios")))))</f>
        <v/>
      </c>
      <c r="N34" s="4" t="s">
        <v>41</v>
      </c>
      <c r="O34" s="4" t="s">
        <v>41</v>
      </c>
      <c r="P34" s="4" t="s">
        <v>41</v>
      </c>
      <c r="Q34" s="4" t="s">
        <v>41</v>
      </c>
      <c r="R34" s="9" t="s">
        <v>41</v>
      </c>
      <c r="S34" s="4" t="s">
        <v>41</v>
      </c>
      <c r="T34" s="4" t="s">
        <v>41</v>
      </c>
      <c r="U34" s="4" t="s">
        <v>41</v>
      </c>
    </row>
    <row r="35" spans="1:21" ht="21.95" customHeight="1" x14ac:dyDescent="0.25">
      <c r="A35" s="3" t="str">
        <f t="shared" si="0"/>
        <v/>
      </c>
      <c r="B35" s="4" t="s">
        <v>41</v>
      </c>
      <c r="C35" s="4" t="s">
        <v>41</v>
      </c>
      <c r="D35" s="4" t="s">
        <v>41</v>
      </c>
      <c r="E35" s="4" t="s">
        <v>41</v>
      </c>
      <c r="F35" s="5" t="s">
        <v>41</v>
      </c>
      <c r="G35" s="5" t="s">
        <v>41</v>
      </c>
      <c r="H35" s="5" t="s">
        <v>41</v>
      </c>
      <c r="I35" s="5" t="s">
        <v>41</v>
      </c>
      <c r="J35" s="5" t="s">
        <v>41</v>
      </c>
      <c r="K35" s="6" t="str">
        <f>IF(B35="","",ROUND(((F35*0.35)+(G35*0.2)+(I35*0.2)+(J35*0.1)+((6-Listas!K35)*0.15))/5*100,0))</f>
        <v/>
      </c>
      <c r="L35" s="7" t="str">
        <f t="shared" si="1"/>
        <v/>
      </c>
      <c r="M35" s="8" t="str">
        <f>IF(B35="","",IF(AND(Listas!K35&lt;=2,F35&gt;=4),"Reconducir postura con reuniones 1:1 y sponsor ejecutivo",IF(AND(L35="Gestionar de cerca",Listas!K35&gt;=4),"Involucrar en decisiones clave y seguimiento semanal",IF(L35="Mantener satisfecho","Compartir avances ejecutivos y pedir validación en hitos",IF(L35="Mantener informado","Comunicación periódica y recogida de feedback","Seguimiento ligero y vigilancia de cambios")))))</f>
        <v/>
      </c>
      <c r="N35" s="4" t="s">
        <v>41</v>
      </c>
      <c r="O35" s="4" t="s">
        <v>41</v>
      </c>
      <c r="P35" s="4" t="s">
        <v>41</v>
      </c>
      <c r="Q35" s="4" t="s">
        <v>41</v>
      </c>
      <c r="R35" s="9" t="s">
        <v>41</v>
      </c>
      <c r="S35" s="4" t="s">
        <v>41</v>
      </c>
      <c r="T35" s="4" t="s">
        <v>41</v>
      </c>
      <c r="U35" s="4" t="s">
        <v>41</v>
      </c>
    </row>
  </sheetData>
  <mergeCells count="6">
    <mergeCell ref="K3:O3"/>
    <mergeCell ref="P2:U3"/>
    <mergeCell ref="K2:O2"/>
    <mergeCell ref="B2:H2"/>
    <mergeCell ref="A1:U1"/>
    <mergeCell ref="B3:H3"/>
  </mergeCells>
  <conditionalFormatting sqref="H6:H35">
    <cfRule type="cellIs" dxfId="7" priority="1" operator="equal">
      <formula>"Bloquea"</formula>
    </cfRule>
    <cfRule type="cellIs" dxfId="6" priority="2" operator="equal">
      <formula>"Resiste"</formula>
    </cfRule>
    <cfRule type="cellIs" dxfId="5" priority="3" operator="equal">
      <formula>"Neutral"</formula>
    </cfRule>
    <cfRule type="cellIs" dxfId="4" priority="4" operator="equal">
      <formula>"Favorece"</formula>
    </cfRule>
    <cfRule type="cellIs" dxfId="3" priority="5" operator="equal">
      <formula>"Patrocina"</formula>
    </cfRule>
  </conditionalFormatting>
  <conditionalFormatting sqref="K6:K35">
    <cfRule type="colorScale" priority="6">
      <colorScale>
        <cfvo type="num" val="0"/>
        <cfvo type="num" val="60"/>
        <cfvo type="num" val="100"/>
        <color rgb="FFEEECE1"/>
        <color rgb="FFC7CCD6"/>
        <color rgb="FF121528"/>
      </colorScale>
    </cfRule>
  </conditionalFormatting>
  <conditionalFormatting sqref="R6:R35">
    <cfRule type="expression" dxfId="2" priority="7">
      <formula>AND($R6&lt;&gt;"",$R6&lt;=($K$3+14),$S6&lt;&gt;"Cerrado")</formula>
    </cfRule>
  </conditionalFormatting>
  <conditionalFormatting sqref="S6:S35">
    <cfRule type="cellIs" dxfId="1" priority="8" operator="equal">
      <formula>"En riesgo"</formula>
    </cfRule>
    <cfRule type="cellIs" dxfId="0" priority="9" operator="equal">
      <formula>"Alineado"</formula>
    </cfRule>
  </conditionalFormatting>
  <dataValidations count="8">
    <dataValidation type="list" allowBlank="1" promptTitle="Entrada guiada" prompt="Selecciona un valor de la lista." sqref="C6:C35" xr:uid="{00000000-0002-0000-0000-000000000000}">
      <formula1>lista_tipo</formula1>
    </dataValidation>
    <dataValidation type="list" allowBlank="1" promptTitle="Entrada guiada" prompt="Selecciona un valor de la lista." sqref="D6:D35" xr:uid="{00000000-0002-0000-0000-000001000000}">
      <formula1>lista_categoria</formula1>
    </dataValidation>
    <dataValidation type="list" allowBlank="1" promptTitle="Entrada guiada" prompt="Selecciona un valor de la lista." sqref="I6:J35 F6:G35" xr:uid="{00000000-0002-0000-0000-000002000000}">
      <formula1>lista_nivel</formula1>
    </dataValidation>
    <dataValidation type="list" allowBlank="1" promptTitle="Entrada guiada" prompt="Selecciona un valor de la lista." sqref="H6:H35" xr:uid="{00000000-0002-0000-0000-000004000000}">
      <formula1>lista_apoyo</formula1>
    </dataValidation>
    <dataValidation type="list" allowBlank="1" promptTitle="Entrada guiada" prompt="Selecciona un valor de la lista." sqref="N6:N35" xr:uid="{00000000-0002-0000-0000-000007000000}">
      <formula1>lista_responsable</formula1>
    </dataValidation>
    <dataValidation type="list" allowBlank="1" promptTitle="Entrada guiada" prompt="Selecciona un valor de la lista." sqref="O6:O35" xr:uid="{00000000-0002-0000-0000-000008000000}">
      <formula1>lista_canal</formula1>
    </dataValidation>
    <dataValidation type="list" allowBlank="1" promptTitle="Entrada guiada" prompt="Selecciona un valor de la lista." sqref="P6:P35" xr:uid="{00000000-0002-0000-0000-000009000000}">
      <formula1>lista_frecuencia</formula1>
    </dataValidation>
    <dataValidation type="list" allowBlank="1" promptTitle="Entrada guiada" prompt="Selecciona un valor de la lista." sqref="S6:S35" xr:uid="{00000000-0002-0000-0000-00000A000000}">
      <formula1>lista_estado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5"/>
  <sheetViews>
    <sheetView workbookViewId="0"/>
  </sheetViews>
  <sheetFormatPr baseColWidth="10" defaultColWidth="9.140625" defaultRowHeight="15" x14ac:dyDescent="0.25"/>
  <cols>
    <col min="1" max="1" width="15" customWidth="1"/>
    <col min="2" max="2" width="16" customWidth="1"/>
    <col min="3" max="4" width="12" customWidth="1"/>
    <col min="5" max="5" width="22" customWidth="1"/>
    <col min="6" max="6" width="17" customWidth="1"/>
    <col min="7" max="7" width="12" customWidth="1"/>
    <col min="8" max="8" width="16" customWidth="1"/>
  </cols>
  <sheetData>
    <row r="1" spans="1:16" x14ac:dyDescent="0.25">
      <c r="A1" s="11" t="s">
        <v>170</v>
      </c>
      <c r="B1" s="11" t="s">
        <v>171</v>
      </c>
      <c r="C1" s="11" t="s">
        <v>172</v>
      </c>
      <c r="D1" s="11" t="s">
        <v>173</v>
      </c>
      <c r="E1" s="11" t="s">
        <v>174</v>
      </c>
      <c r="F1" s="11" t="s">
        <v>175</v>
      </c>
      <c r="G1" s="11" t="s">
        <v>176</v>
      </c>
      <c r="H1" s="11" t="s">
        <v>177</v>
      </c>
      <c r="J1" s="11" t="s">
        <v>178</v>
      </c>
      <c r="K1" t="s">
        <v>179</v>
      </c>
      <c r="L1" t="s">
        <v>180</v>
      </c>
      <c r="M1" t="s">
        <v>181</v>
      </c>
      <c r="N1" t="s">
        <v>182</v>
      </c>
      <c r="O1" t="s">
        <v>183</v>
      </c>
      <c r="P1" t="s">
        <v>184</v>
      </c>
    </row>
    <row r="2" spans="1:16" x14ac:dyDescent="0.25">
      <c r="A2" t="s">
        <v>31</v>
      </c>
      <c r="B2" t="s">
        <v>32</v>
      </c>
      <c r="C2">
        <v>1</v>
      </c>
      <c r="D2" t="s">
        <v>120</v>
      </c>
      <c r="E2" t="s">
        <v>185</v>
      </c>
      <c r="F2" t="s">
        <v>54</v>
      </c>
      <c r="G2" t="s">
        <v>37</v>
      </c>
      <c r="H2" t="s">
        <v>106</v>
      </c>
      <c r="J2" s="15" t="s">
        <v>186</v>
      </c>
    </row>
    <row r="3" spans="1:16" x14ac:dyDescent="0.25">
      <c r="A3" t="s">
        <v>59</v>
      </c>
      <c r="B3" t="s">
        <v>60</v>
      </c>
      <c r="C3">
        <v>2</v>
      </c>
      <c r="D3" t="s">
        <v>62</v>
      </c>
      <c r="E3" t="s">
        <v>35</v>
      </c>
      <c r="F3" t="s">
        <v>36</v>
      </c>
      <c r="G3" t="s">
        <v>55</v>
      </c>
      <c r="H3" t="s">
        <v>48</v>
      </c>
      <c r="J3" s="15" t="s">
        <v>187</v>
      </c>
    </row>
    <row r="4" spans="1:16" x14ac:dyDescent="0.25">
      <c r="A4" t="s">
        <v>80</v>
      </c>
      <c r="B4" t="s">
        <v>81</v>
      </c>
      <c r="C4">
        <v>3</v>
      </c>
      <c r="D4" t="s">
        <v>45</v>
      </c>
      <c r="E4" t="s">
        <v>86</v>
      </c>
      <c r="F4" t="s">
        <v>104</v>
      </c>
      <c r="G4" t="s">
        <v>46</v>
      </c>
      <c r="H4" t="s">
        <v>39</v>
      </c>
      <c r="J4" s="15" t="s">
        <v>188</v>
      </c>
    </row>
    <row r="5" spans="1:16" x14ac:dyDescent="0.25">
      <c r="A5" t="s">
        <v>74</v>
      </c>
      <c r="B5" t="s">
        <v>86</v>
      </c>
      <c r="C5">
        <v>4</v>
      </c>
      <c r="D5" t="s">
        <v>53</v>
      </c>
      <c r="E5" t="s">
        <v>63</v>
      </c>
      <c r="F5" t="s">
        <v>88</v>
      </c>
      <c r="G5" t="s">
        <v>189</v>
      </c>
      <c r="H5" t="s">
        <v>66</v>
      </c>
      <c r="J5" s="15" t="s">
        <v>190</v>
      </c>
    </row>
    <row r="6" spans="1:16" x14ac:dyDescent="0.25">
      <c r="A6" t="s">
        <v>109</v>
      </c>
      <c r="B6" t="s">
        <v>43</v>
      </c>
      <c r="C6">
        <v>5</v>
      </c>
      <c r="D6" t="s">
        <v>34</v>
      </c>
      <c r="E6" t="s">
        <v>125</v>
      </c>
      <c r="F6" t="s">
        <v>64</v>
      </c>
      <c r="G6" t="s">
        <v>191</v>
      </c>
      <c r="H6" t="s">
        <v>192</v>
      </c>
      <c r="J6" s="15" t="s">
        <v>193</v>
      </c>
      <c r="K6">
        <f>IF(Registro!H6="","",IF(Registro!H6="Bloquea",1,IF(Registro!H6="Resiste",2,IF(Registro!H6="Neutral",3,IF(Registro!H6="Favorece",4,IF(Registro!H6="Patrocina",5,""))))))</f>
        <v>5</v>
      </c>
      <c r="L6">
        <f>IF(Registro!B6="","",Registro!K6*1000+ROW())</f>
        <v>88006</v>
      </c>
      <c r="M6">
        <f>IF(OR(Registro!B6="",Registro!R6="",Registro!S6="Cerrado"),"",Registro!R6*1000+ROW())</f>
        <v>46106006</v>
      </c>
      <c r="N6" t="str">
        <f>IF(Registro!K6="","",IF(Registro!K6&gt;=80,"Crítico",IF(Registro!K6&gt;=65,"Alto",IF(Registro!K6&gt;=50,"Medio","Bajo"))))</f>
        <v>Crítico</v>
      </c>
      <c r="P6" t="str">
        <f>IF(Registro!R6="","",TEXT(Registro!R6,"dd/mm/yyyy"))</f>
        <v>25/03/yyyy</v>
      </c>
    </row>
    <row r="7" spans="1:16" x14ac:dyDescent="0.25">
      <c r="A7" t="s">
        <v>92</v>
      </c>
      <c r="B7" t="s">
        <v>51</v>
      </c>
      <c r="E7" t="s">
        <v>43</v>
      </c>
      <c r="F7" t="s">
        <v>94</v>
      </c>
      <c r="G7" t="s">
        <v>194</v>
      </c>
      <c r="K7">
        <f>IF(Registro!H7="","",IF(Registro!H7="Bloquea",1,IF(Registro!H7="Resiste",2,IF(Registro!H7="Neutral",3,IF(Registro!H7="Favorece",4,IF(Registro!H7="Patrocina",5,""))))))</f>
        <v>3</v>
      </c>
      <c r="L7">
        <f>IF(Registro!B7="","",Registro!K7*1000+ROW())</f>
        <v>80007</v>
      </c>
      <c r="M7">
        <f>IF(OR(Registro!B7="",Registro!R7="",Registro!S7="Cerrado"),"",Registro!R7*1000+ROW())</f>
        <v>46114007</v>
      </c>
      <c r="N7" t="str">
        <f>IF(Registro!K7="","",IF(Registro!K7&gt;=80,"Crítico",IF(Registro!K7&gt;=65,"Alto",IF(Registro!K7&gt;=50,"Medio","Bajo"))))</f>
        <v>Crítico</v>
      </c>
      <c r="P7" t="str">
        <f>IF(Registro!R7="","",TEXT(Registro!R7,"dd/mm/yyyy"))</f>
        <v>02/04/yyyy</v>
      </c>
    </row>
    <row r="8" spans="1:16" x14ac:dyDescent="0.25">
      <c r="B8" t="s">
        <v>98</v>
      </c>
      <c r="E8" t="s">
        <v>81</v>
      </c>
      <c r="F8" t="s">
        <v>115</v>
      </c>
      <c r="K8">
        <f>IF(Registro!H8="","",IF(Registro!H8="Bloquea",1,IF(Registro!H8="Resiste",2,IF(Registro!H8="Neutral",3,IF(Registro!H8="Favorece",4,IF(Registro!H8="Patrocina",5,""))))))</f>
        <v>4</v>
      </c>
      <c r="L8">
        <f>IF(Registro!B8="","",Registro!K8*1000+ROW())</f>
        <v>74008</v>
      </c>
      <c r="M8">
        <f>IF(OR(Registro!B8="",Registro!R8="",Registro!S8="Cerrado"),"",Registro!R8*1000+ROW())</f>
        <v>46109008</v>
      </c>
      <c r="N8" t="str">
        <f>IF(Registro!K8="","",IF(Registro!K8&gt;=80,"Crítico",IF(Registro!K8&gt;=65,"Alto",IF(Registro!K8&gt;=50,"Medio","Bajo"))))</f>
        <v>Alto</v>
      </c>
      <c r="P8" t="str">
        <f>IF(Registro!R8="","",TEXT(Registro!R8,"dd/mm/yyyy"))</f>
        <v>28/03/yyyy</v>
      </c>
    </row>
    <row r="9" spans="1:16" x14ac:dyDescent="0.25">
      <c r="B9" t="s">
        <v>69</v>
      </c>
      <c r="E9" t="s">
        <v>130</v>
      </c>
      <c r="F9" t="s">
        <v>76</v>
      </c>
      <c r="K9">
        <f>IF(Registro!H9="","",IF(Registro!H9="Bloquea",1,IF(Registro!H9="Resiste",2,IF(Registro!H9="Neutral",3,IF(Registro!H9="Favorece",4,IF(Registro!H9="Patrocina",5,""))))))</f>
        <v>2</v>
      </c>
      <c r="L9">
        <f>IF(Registro!B9="","",Registro!K9*1000+ROW())</f>
        <v>82009</v>
      </c>
      <c r="M9">
        <f>IF(OR(Registro!B9="",Registro!R9="",Registro!S9="Cerrado"),"",Registro!R9*1000+ROW())</f>
        <v>46102009</v>
      </c>
      <c r="N9" t="str">
        <f>IF(Registro!K9="","",IF(Registro!K9&gt;=80,"Crítico",IF(Registro!K9&gt;=65,"Alto",IF(Registro!K9&gt;=50,"Medio","Bajo"))))</f>
        <v>Crítico</v>
      </c>
      <c r="P9" t="str">
        <f>IF(Registro!R9="","",TEXT(Registro!R9,"dd/mm/yyyy"))</f>
        <v>21/03/yyyy</v>
      </c>
    </row>
    <row r="10" spans="1:16" x14ac:dyDescent="0.25">
      <c r="B10" t="s">
        <v>63</v>
      </c>
      <c r="K10">
        <f>IF(Registro!H10="","",IF(Registro!H10="Bloquea",1,IF(Registro!H10="Resiste",2,IF(Registro!H10="Neutral",3,IF(Registro!H10="Favorece",4,IF(Registro!H10="Patrocina",5,""))))))</f>
        <v>3</v>
      </c>
      <c r="L10">
        <f>IF(Registro!B10="","",Registro!K10*1000+ROW())</f>
        <v>62010</v>
      </c>
      <c r="M10">
        <f>IF(OR(Registro!B10="",Registro!R10="",Registro!S10="Cerrado"),"",Registro!R10*1000+ROW())</f>
        <v>46120010</v>
      </c>
      <c r="N10" t="str">
        <f>IF(Registro!K10="","",IF(Registro!K10&gt;=80,"Crítico",IF(Registro!K10&gt;=65,"Alto",IF(Registro!K10&gt;=50,"Medio","Bajo"))))</f>
        <v>Medio</v>
      </c>
      <c r="P10" t="str">
        <f>IF(Registro!R10="","",TEXT(Registro!R10,"dd/mm/yyyy"))</f>
        <v>08/04/yyyy</v>
      </c>
    </row>
    <row r="11" spans="1:16" x14ac:dyDescent="0.25">
      <c r="K11">
        <f>IF(Registro!H11="","",IF(Registro!H11="Bloquea",1,IF(Registro!H11="Resiste",2,IF(Registro!H11="Neutral",3,IF(Registro!H11="Favorece",4,IF(Registro!H11="Patrocina",5,""))))))</f>
        <v>4</v>
      </c>
      <c r="L11">
        <f>IF(Registro!B11="","",Registro!K11*1000+ROW())</f>
        <v>61011</v>
      </c>
      <c r="M11">
        <f>IF(OR(Registro!B11="",Registro!R11="",Registro!S11="Cerrado"),"",Registro!R11*1000+ROW())</f>
        <v>46122011</v>
      </c>
      <c r="N11" t="str">
        <f>IF(Registro!K11="","",IF(Registro!K11&gt;=80,"Crítico",IF(Registro!K11&gt;=65,"Alto",IF(Registro!K11&gt;=50,"Medio","Bajo"))))</f>
        <v>Medio</v>
      </c>
      <c r="P11" t="str">
        <f>IF(Registro!R11="","",TEXT(Registro!R11,"dd/mm/yyyy"))</f>
        <v>10/04/yyyy</v>
      </c>
    </row>
    <row r="12" spans="1:16" x14ac:dyDescent="0.25">
      <c r="K12">
        <f>IF(Registro!H12="","",IF(Registro!H12="Bloquea",1,IF(Registro!H12="Resiste",2,IF(Registro!H12="Neutral",3,IF(Registro!H12="Favorece",4,IF(Registro!H12="Patrocina",5,""))))))</f>
        <v>4</v>
      </c>
      <c r="L12">
        <f>IF(Registro!B12="","",Registro!K12*1000+ROW())</f>
        <v>84012</v>
      </c>
      <c r="M12">
        <f>IF(OR(Registro!B12="",Registro!R12="",Registro!S12="Cerrado"),"",Registro!R12*1000+ROW())</f>
        <v>46101012</v>
      </c>
      <c r="N12" t="str">
        <f>IF(Registro!K12="","",IF(Registro!K12&gt;=80,"Crítico",IF(Registro!K12&gt;=65,"Alto",IF(Registro!K12&gt;=50,"Medio","Bajo"))))</f>
        <v>Crítico</v>
      </c>
      <c r="P12" t="str">
        <f>IF(Registro!R12="","",TEXT(Registro!R12,"dd/mm/yyyy"))</f>
        <v>20/03/yyyy</v>
      </c>
    </row>
    <row r="13" spans="1:16" x14ac:dyDescent="0.25">
      <c r="K13">
        <f>IF(Registro!H13="","",IF(Registro!H13="Bloquea",1,IF(Registro!H13="Resiste",2,IF(Registro!H13="Neutral",3,IF(Registro!H13="Favorece",4,IF(Registro!H13="Patrocina",5,""))))))</f>
        <v>4</v>
      </c>
      <c r="L13">
        <f>IF(Registro!B13="","",Registro!K13*1000+ROW())</f>
        <v>84013</v>
      </c>
      <c r="M13">
        <f>IF(OR(Registro!B13="",Registro!R13="",Registro!S13="Cerrado"),"",Registro!R13*1000+ROW())</f>
        <v>46100013</v>
      </c>
      <c r="N13" t="str">
        <f>IF(Registro!K13="","",IF(Registro!K13&gt;=80,"Crítico",IF(Registro!K13&gt;=65,"Alto",IF(Registro!K13&gt;=50,"Medio","Bajo"))))</f>
        <v>Crítico</v>
      </c>
      <c r="P13" t="str">
        <f>IF(Registro!R13="","",TEXT(Registro!R13,"dd/mm/yyyy"))</f>
        <v>19/03/yyyy</v>
      </c>
    </row>
    <row r="14" spans="1:16" x14ac:dyDescent="0.25">
      <c r="K14">
        <f>IF(Registro!H14="","",IF(Registro!H14="Bloquea",1,IF(Registro!H14="Resiste",2,IF(Registro!H14="Neutral",3,IF(Registro!H14="Favorece",4,IF(Registro!H14="Patrocina",5,""))))))</f>
        <v>4</v>
      </c>
      <c r="L14">
        <f>IF(Registro!B14="","",Registro!K14*1000+ROW())</f>
        <v>73014</v>
      </c>
      <c r="M14">
        <f>IF(OR(Registro!B14="",Registro!R14="",Registro!S14="Cerrado"),"",Registro!R14*1000+ROW())</f>
        <v>46108014</v>
      </c>
      <c r="N14" t="str">
        <f>IF(Registro!K14="","",IF(Registro!K14&gt;=80,"Crítico",IF(Registro!K14&gt;=65,"Alto",IF(Registro!K14&gt;=50,"Medio","Bajo"))))</f>
        <v>Alto</v>
      </c>
      <c r="P14" t="str">
        <f>IF(Registro!R14="","",TEXT(Registro!R14,"dd/mm/yyyy"))</f>
        <v>27/03/yyyy</v>
      </c>
    </row>
    <row r="15" spans="1:16" x14ac:dyDescent="0.25">
      <c r="K15">
        <f>IF(Registro!H15="","",IF(Registro!H15="Bloquea",1,IF(Registro!H15="Resiste",2,IF(Registro!H15="Neutral",3,IF(Registro!H15="Favorece",4,IF(Registro!H15="Patrocina",5,""))))))</f>
        <v>3</v>
      </c>
      <c r="L15">
        <f>IF(Registro!B15="","",Registro!K15*1000+ROW())</f>
        <v>66015</v>
      </c>
      <c r="M15">
        <f>IF(OR(Registro!B15="",Registro!R15="",Registro!S15="Cerrado"),"",Registro!R15*1000+ROW())</f>
        <v>46117015</v>
      </c>
      <c r="N15" t="str">
        <f>IF(Registro!K15="","",IF(Registro!K15&gt;=80,"Crítico",IF(Registro!K15&gt;=65,"Alto",IF(Registro!K15&gt;=50,"Medio","Bajo"))))</f>
        <v>Alto</v>
      </c>
      <c r="P15" t="str">
        <f>IF(Registro!R15="","",TEXT(Registro!R15,"dd/mm/yyyy"))</f>
        <v>05/04/yyyy</v>
      </c>
    </row>
    <row r="16" spans="1:16" x14ac:dyDescent="0.25">
      <c r="K16">
        <f>IF(Registro!H16="","",IF(Registro!H16="Bloquea",1,IF(Registro!H16="Resiste",2,IF(Registro!H16="Neutral",3,IF(Registro!H16="Favorece",4,IF(Registro!H16="Patrocina",5,""))))))</f>
        <v>4</v>
      </c>
      <c r="L16">
        <f>IF(Registro!B16="","",Registro!K16*1000+ROW())</f>
        <v>42016</v>
      </c>
      <c r="M16">
        <f>IF(OR(Registro!B16="",Registro!R16="",Registro!S16="Cerrado"),"",Registro!R16*1000+ROW())</f>
        <v>46130016</v>
      </c>
      <c r="N16" t="str">
        <f>IF(Registro!K16="","",IF(Registro!K16&gt;=80,"Crítico",IF(Registro!K16&gt;=65,"Alto",IF(Registro!K16&gt;=50,"Medio","Bajo"))))</f>
        <v>Bajo</v>
      </c>
      <c r="P16" t="str">
        <f>IF(Registro!R16="","",TEXT(Registro!R16,"dd/mm/yyyy"))</f>
        <v>18/04/yyyy</v>
      </c>
    </row>
    <row r="17" spans="11:16" x14ac:dyDescent="0.25">
      <c r="K17">
        <f>IF(Registro!H17="","",IF(Registro!H17="Bloquea",1,IF(Registro!H17="Resiste",2,IF(Registro!H17="Neutral",3,IF(Registro!H17="Favorece",4,IF(Registro!H17="Patrocina",5,""))))))</f>
        <v>3</v>
      </c>
      <c r="L17">
        <f>IF(Registro!B17="","",Registro!K17*1000+ROW())</f>
        <v>56017</v>
      </c>
      <c r="M17">
        <f>IF(OR(Registro!B17="",Registro!R17="",Registro!S17="Cerrado"),"",Registro!R17*1000+ROW())</f>
        <v>46119017</v>
      </c>
      <c r="N17" t="str">
        <f>IF(Registro!K17="","",IF(Registro!K17&gt;=80,"Crítico",IF(Registro!K17&gt;=65,"Alto",IF(Registro!K17&gt;=50,"Medio","Bajo"))))</f>
        <v>Medio</v>
      </c>
      <c r="P17" t="str">
        <f>IF(Registro!R17="","",TEXT(Registro!R17,"dd/mm/yyyy"))</f>
        <v>07/04/yyyy</v>
      </c>
    </row>
    <row r="18" spans="11:16" x14ac:dyDescent="0.25">
      <c r="K18">
        <f>IF(Registro!H18="","",IF(Registro!H18="Bloquea",1,IF(Registro!H18="Resiste",2,IF(Registro!H18="Neutral",3,IF(Registro!H18="Favorece",4,IF(Registro!H18="Patrocina",5,""))))))</f>
        <v>4</v>
      </c>
      <c r="L18">
        <f>IF(Registro!B18="","",Registro!K18*1000+ROW())</f>
        <v>64018</v>
      </c>
      <c r="M18">
        <f>IF(OR(Registro!B18="",Registro!R18="",Registro!S18="Cerrado"),"",Registro!R18*1000+ROW())</f>
        <v>46124018</v>
      </c>
      <c r="N18" t="str">
        <f>IF(Registro!K18="","",IF(Registro!K18&gt;=80,"Crítico",IF(Registro!K18&gt;=65,"Alto",IF(Registro!K18&gt;=50,"Medio","Bajo"))))</f>
        <v>Medio</v>
      </c>
      <c r="P18" t="str">
        <f>IF(Registro!R18="","",TEXT(Registro!R18,"dd/mm/yyyy"))</f>
        <v>12/04/yyyy</v>
      </c>
    </row>
    <row r="19" spans="11:16" x14ac:dyDescent="0.25">
      <c r="K19">
        <f>IF(Registro!H19="","",IF(Registro!H19="Bloquea",1,IF(Registro!H19="Resiste",2,IF(Registro!H19="Neutral",3,IF(Registro!H19="Favorece",4,IF(Registro!H19="Patrocina",5,""))))))</f>
        <v>1</v>
      </c>
      <c r="L19">
        <f>IF(Registro!B19="","",Registro!K19*1000+ROW())</f>
        <v>66019</v>
      </c>
      <c r="M19">
        <f>IF(OR(Registro!B19="",Registro!R19="",Registro!S19="Cerrado"),"",Registro!R19*1000+ROW())</f>
        <v>46105019</v>
      </c>
      <c r="N19" t="str">
        <f>IF(Registro!K19="","",IF(Registro!K19&gt;=80,"Crítico",IF(Registro!K19&gt;=65,"Alto",IF(Registro!K19&gt;=50,"Medio","Bajo"))))</f>
        <v>Alto</v>
      </c>
      <c r="P19" t="str">
        <f>IF(Registro!R19="","",TEXT(Registro!R19,"dd/mm/yyyy"))</f>
        <v>24/03/yyyy</v>
      </c>
    </row>
    <row r="20" spans="11:16" x14ac:dyDescent="0.25">
      <c r="K20">
        <f>IF(Registro!H20="","",IF(Registro!H20="Bloquea",1,IF(Registro!H20="Resiste",2,IF(Registro!H20="Neutral",3,IF(Registro!H20="Favorece",4,IF(Registro!H20="Patrocina",5,""))))))</f>
        <v>3</v>
      </c>
      <c r="L20">
        <f>IF(Registro!B20="","",Registro!K20*1000+ROW())</f>
        <v>73020</v>
      </c>
      <c r="M20">
        <f>IF(OR(Registro!B20="",Registro!R20="",Registro!S20="Cerrado"),"",Registro!R20*1000+ROW())</f>
        <v>46113020</v>
      </c>
      <c r="N20" t="str">
        <f>IF(Registro!K20="","",IF(Registro!K20&gt;=80,"Crítico",IF(Registro!K20&gt;=65,"Alto",IF(Registro!K20&gt;=50,"Medio","Bajo"))))</f>
        <v>Alto</v>
      </c>
      <c r="P20" t="str">
        <f>IF(Registro!R20="","",TEXT(Registro!R20,"dd/mm/yyyy"))</f>
        <v>01/04/yyyy</v>
      </c>
    </row>
    <row r="21" spans="11:16" x14ac:dyDescent="0.25">
      <c r="K21">
        <f>IF(Registro!H21="","",IF(Registro!H21="Bloquea",1,IF(Registro!H21="Resiste",2,IF(Registro!H21="Neutral",3,IF(Registro!H21="Favorece",4,IF(Registro!H21="Patrocina",5,""))))))</f>
        <v>5</v>
      </c>
      <c r="L21">
        <f>IF(Registro!B21="","",Registro!K21*1000+ROW())</f>
        <v>67021</v>
      </c>
      <c r="M21">
        <f>IF(OR(Registro!B21="",Registro!R21="",Registro!S21="Cerrado"),"",Registro!R21*1000+ROW())</f>
        <v>46121021</v>
      </c>
      <c r="N21" t="str">
        <f>IF(Registro!K21="","",IF(Registro!K21&gt;=80,"Crítico",IF(Registro!K21&gt;=65,"Alto",IF(Registro!K21&gt;=50,"Medio","Bajo"))))</f>
        <v>Alto</v>
      </c>
      <c r="P21" t="str">
        <f>IF(Registro!R21="","",TEXT(Registro!R21,"dd/mm/yyyy"))</f>
        <v>09/04/yyyy</v>
      </c>
    </row>
    <row r="22" spans="11:16" x14ac:dyDescent="0.25">
      <c r="K22">
        <f>IF(Registro!H22="","",IF(Registro!H22="Bloquea",1,IF(Registro!H22="Resiste",2,IF(Registro!H22="Neutral",3,IF(Registro!H22="Favorece",4,IF(Registro!H22="Patrocina",5,""))))))</f>
        <v>4</v>
      </c>
      <c r="L22">
        <f>IF(Registro!B22="","",Registro!K22*1000+ROW())</f>
        <v>74022</v>
      </c>
      <c r="M22">
        <f>IF(OR(Registro!B22="",Registro!R22="",Registro!S22="Cerrado"),"",Registro!R22*1000+ROW())</f>
        <v>46115022</v>
      </c>
      <c r="N22" t="str">
        <f>IF(Registro!K22="","",IF(Registro!K22&gt;=80,"Crítico",IF(Registro!K22&gt;=65,"Alto",IF(Registro!K22&gt;=50,"Medio","Bajo"))))</f>
        <v>Alto</v>
      </c>
      <c r="P22" t="str">
        <f>IF(Registro!R22="","",TEXT(Registro!R22,"dd/mm/yyyy"))</f>
        <v>03/04/yyyy</v>
      </c>
    </row>
    <row r="23" spans="11:16" x14ac:dyDescent="0.25">
      <c r="K23">
        <f>IF(Registro!H23="","",IF(Registro!H23="Bloquea",1,IF(Registro!H23="Resiste",2,IF(Registro!H23="Neutral",3,IF(Registro!H23="Favorece",4,IF(Registro!H23="Patrocina",5,""))))))</f>
        <v>4</v>
      </c>
      <c r="L23">
        <f>IF(Registro!B23="","",Registro!K23*1000+ROW())</f>
        <v>67023</v>
      </c>
      <c r="M23">
        <f>IF(OR(Registro!B23="",Registro!R23="",Registro!S23="Cerrado"),"",Registro!R23*1000+ROW())</f>
        <v>46112023</v>
      </c>
      <c r="N23" t="str">
        <f>IF(Registro!K23="","",IF(Registro!K23&gt;=80,"Crítico",IF(Registro!K23&gt;=65,"Alto",IF(Registro!K23&gt;=50,"Medio","Bajo"))))</f>
        <v>Alto</v>
      </c>
      <c r="P23" t="str">
        <f>IF(Registro!R23="","",TEXT(Registro!R23,"dd/mm/yyyy"))</f>
        <v>31/03/yyyy</v>
      </c>
    </row>
    <row r="24" spans="11:16" x14ac:dyDescent="0.25">
      <c r="K24" t="str">
        <f>IF(Registro!H24="","",IF(Registro!H24="Bloquea",1,IF(Registro!H24="Resiste",2,IF(Registro!H24="Neutral",3,IF(Registro!H24="Favorece",4,IF(Registro!H24="Patrocina",5,""))))))</f>
        <v/>
      </c>
      <c r="L24" t="str">
        <f>IF(Registro!B24="","",Registro!K24*1000+ROW())</f>
        <v/>
      </c>
      <c r="M24" t="str">
        <f>IF(OR(Registro!B24="",Registro!R24="",Registro!S24="Cerrado"),"",Registro!R24*1000+ROW())</f>
        <v/>
      </c>
      <c r="N24" t="str">
        <f>IF(Registro!K24="","",IF(Registro!K24&gt;=80,"Crítico",IF(Registro!K24&gt;=65,"Alto",IF(Registro!K24&gt;=50,"Medio","Bajo"))))</f>
        <v/>
      </c>
      <c r="P24" t="str">
        <f>IF(Registro!R24="","",TEXT(Registro!R24,"dd/mm/yyyy"))</f>
        <v/>
      </c>
    </row>
    <row r="25" spans="11:16" x14ac:dyDescent="0.25">
      <c r="K25" t="str">
        <f>IF(Registro!H25="","",IF(Registro!H25="Bloquea",1,IF(Registro!H25="Resiste",2,IF(Registro!H25="Neutral",3,IF(Registro!H25="Favorece",4,IF(Registro!H25="Patrocina",5,""))))))</f>
        <v/>
      </c>
      <c r="L25" t="str">
        <f>IF(Registro!B25="","",Registro!K25*1000+ROW())</f>
        <v/>
      </c>
      <c r="M25" t="str">
        <f>IF(OR(Registro!B25="",Registro!R25="",Registro!S25="Cerrado"),"",Registro!R25*1000+ROW())</f>
        <v/>
      </c>
      <c r="N25" t="str">
        <f>IF(Registro!K25="","",IF(Registro!K25&gt;=80,"Crítico",IF(Registro!K25&gt;=65,"Alto",IF(Registro!K25&gt;=50,"Medio","Bajo"))))</f>
        <v/>
      </c>
      <c r="P25" t="str">
        <f>IF(Registro!R25="","",TEXT(Registro!R25,"dd/mm/yyyy"))</f>
        <v/>
      </c>
    </row>
    <row r="26" spans="11:16" x14ac:dyDescent="0.25">
      <c r="K26" t="str">
        <f>IF(Registro!H26="","",IF(Registro!H26="Bloquea",1,IF(Registro!H26="Resiste",2,IF(Registro!H26="Neutral",3,IF(Registro!H26="Favorece",4,IF(Registro!H26="Patrocina",5,""))))))</f>
        <v/>
      </c>
      <c r="L26" t="str">
        <f>IF(Registro!B26="","",Registro!K26*1000+ROW())</f>
        <v/>
      </c>
      <c r="M26" t="str">
        <f>IF(OR(Registro!B26="",Registro!R26="",Registro!S26="Cerrado"),"",Registro!R26*1000+ROW())</f>
        <v/>
      </c>
      <c r="N26" t="str">
        <f>IF(Registro!K26="","",IF(Registro!K26&gt;=80,"Crítico",IF(Registro!K26&gt;=65,"Alto",IF(Registro!K26&gt;=50,"Medio","Bajo"))))</f>
        <v/>
      </c>
      <c r="P26" t="str">
        <f>IF(Registro!R26="","",TEXT(Registro!R26,"dd/mm/yyyy"))</f>
        <v/>
      </c>
    </row>
    <row r="27" spans="11:16" x14ac:dyDescent="0.25">
      <c r="K27" t="str">
        <f>IF(Registro!H27="","",IF(Registro!H27="Bloquea",1,IF(Registro!H27="Resiste",2,IF(Registro!H27="Neutral",3,IF(Registro!H27="Favorece",4,IF(Registro!H27="Patrocina",5,""))))))</f>
        <v/>
      </c>
      <c r="L27" t="str">
        <f>IF(Registro!B27="","",Registro!K27*1000+ROW())</f>
        <v/>
      </c>
      <c r="M27" t="str">
        <f>IF(OR(Registro!B27="",Registro!R27="",Registro!S27="Cerrado"),"",Registro!R27*1000+ROW())</f>
        <v/>
      </c>
      <c r="N27" t="str">
        <f>IF(Registro!K27="","",IF(Registro!K27&gt;=80,"Crítico",IF(Registro!K27&gt;=65,"Alto",IF(Registro!K27&gt;=50,"Medio","Bajo"))))</f>
        <v/>
      </c>
      <c r="P27" t="str">
        <f>IF(Registro!R27="","",TEXT(Registro!R27,"dd/mm/yyyy"))</f>
        <v/>
      </c>
    </row>
    <row r="28" spans="11:16" x14ac:dyDescent="0.25">
      <c r="K28" t="str">
        <f>IF(Registro!H28="","",IF(Registro!H28="Bloquea",1,IF(Registro!H28="Resiste",2,IF(Registro!H28="Neutral",3,IF(Registro!H28="Favorece",4,IF(Registro!H28="Patrocina",5,""))))))</f>
        <v/>
      </c>
      <c r="L28" t="str">
        <f>IF(Registro!B28="","",Registro!K28*1000+ROW())</f>
        <v/>
      </c>
      <c r="M28" t="str">
        <f>IF(OR(Registro!B28="",Registro!R28="",Registro!S28="Cerrado"),"",Registro!R28*1000+ROW())</f>
        <v/>
      </c>
      <c r="N28" t="str">
        <f>IF(Registro!K28="","",IF(Registro!K28&gt;=80,"Crítico",IF(Registro!K28&gt;=65,"Alto",IF(Registro!K28&gt;=50,"Medio","Bajo"))))</f>
        <v/>
      </c>
      <c r="P28" t="str">
        <f>IF(Registro!R28="","",TEXT(Registro!R28,"dd/mm/yyyy"))</f>
        <v/>
      </c>
    </row>
    <row r="29" spans="11:16" x14ac:dyDescent="0.25">
      <c r="K29" t="str">
        <f>IF(Registro!H29="","",IF(Registro!H29="Bloquea",1,IF(Registro!H29="Resiste",2,IF(Registro!H29="Neutral",3,IF(Registro!H29="Favorece",4,IF(Registro!H29="Patrocina",5,""))))))</f>
        <v/>
      </c>
      <c r="L29" t="str">
        <f>IF(Registro!B29="","",Registro!K29*1000+ROW())</f>
        <v/>
      </c>
      <c r="M29" t="str">
        <f>IF(OR(Registro!B29="",Registro!R29="",Registro!S29="Cerrado"),"",Registro!R29*1000+ROW())</f>
        <v/>
      </c>
      <c r="N29" t="str">
        <f>IF(Registro!K29="","",IF(Registro!K29&gt;=80,"Crítico",IF(Registro!K29&gt;=65,"Alto",IF(Registro!K29&gt;=50,"Medio","Bajo"))))</f>
        <v/>
      </c>
      <c r="P29" t="str">
        <f>IF(Registro!R29="","",TEXT(Registro!R29,"dd/mm/yyyy"))</f>
        <v/>
      </c>
    </row>
    <row r="30" spans="11:16" x14ac:dyDescent="0.25">
      <c r="K30" t="str">
        <f>IF(Registro!H30="","",IF(Registro!H30="Bloquea",1,IF(Registro!H30="Resiste",2,IF(Registro!H30="Neutral",3,IF(Registro!H30="Favorece",4,IF(Registro!H30="Patrocina",5,""))))))</f>
        <v/>
      </c>
      <c r="L30" t="str">
        <f>IF(Registro!B30="","",Registro!K30*1000+ROW())</f>
        <v/>
      </c>
      <c r="M30" t="str">
        <f>IF(OR(Registro!B30="",Registro!R30="",Registro!S30="Cerrado"),"",Registro!R30*1000+ROW())</f>
        <v/>
      </c>
      <c r="N30" t="str">
        <f>IF(Registro!K30="","",IF(Registro!K30&gt;=80,"Crítico",IF(Registro!K30&gt;=65,"Alto",IF(Registro!K30&gt;=50,"Medio","Bajo"))))</f>
        <v/>
      </c>
      <c r="P30" t="str">
        <f>IF(Registro!R30="","",TEXT(Registro!R30,"dd/mm/yyyy"))</f>
        <v/>
      </c>
    </row>
    <row r="31" spans="11:16" x14ac:dyDescent="0.25">
      <c r="K31" t="str">
        <f>IF(Registro!H31="","",IF(Registro!H31="Bloquea",1,IF(Registro!H31="Resiste",2,IF(Registro!H31="Neutral",3,IF(Registro!H31="Favorece",4,IF(Registro!H31="Patrocina",5,""))))))</f>
        <v/>
      </c>
      <c r="L31" t="str">
        <f>IF(Registro!B31="","",Registro!K31*1000+ROW())</f>
        <v/>
      </c>
      <c r="M31" t="str">
        <f>IF(OR(Registro!B31="",Registro!R31="",Registro!S31="Cerrado"),"",Registro!R31*1000+ROW())</f>
        <v/>
      </c>
      <c r="N31" t="str">
        <f>IF(Registro!K31="","",IF(Registro!K31&gt;=80,"Crítico",IF(Registro!K31&gt;=65,"Alto",IF(Registro!K31&gt;=50,"Medio","Bajo"))))</f>
        <v/>
      </c>
      <c r="P31" t="str">
        <f>IF(Registro!R31="","",TEXT(Registro!R31,"dd/mm/yyyy"))</f>
        <v/>
      </c>
    </row>
    <row r="32" spans="11:16" x14ac:dyDescent="0.25">
      <c r="K32" t="str">
        <f>IF(Registro!H32="","",IF(Registro!H32="Bloquea",1,IF(Registro!H32="Resiste",2,IF(Registro!H32="Neutral",3,IF(Registro!H32="Favorece",4,IF(Registro!H32="Patrocina",5,""))))))</f>
        <v/>
      </c>
      <c r="L32" t="str">
        <f>IF(Registro!B32="","",Registro!K32*1000+ROW())</f>
        <v/>
      </c>
      <c r="M32" t="str">
        <f>IF(OR(Registro!B32="",Registro!R32="",Registro!S32="Cerrado"),"",Registro!R32*1000+ROW())</f>
        <v/>
      </c>
      <c r="N32" t="str">
        <f>IF(Registro!K32="","",IF(Registro!K32&gt;=80,"Crítico",IF(Registro!K32&gt;=65,"Alto",IF(Registro!K32&gt;=50,"Medio","Bajo"))))</f>
        <v/>
      </c>
      <c r="P32" t="str">
        <f>IF(Registro!R32="","",TEXT(Registro!R32,"dd/mm/yyyy"))</f>
        <v/>
      </c>
    </row>
    <row r="33" spans="11:16" x14ac:dyDescent="0.25">
      <c r="K33" t="str">
        <f>IF(Registro!H33="","",IF(Registro!H33="Bloquea",1,IF(Registro!H33="Resiste",2,IF(Registro!H33="Neutral",3,IF(Registro!H33="Favorece",4,IF(Registro!H33="Patrocina",5,""))))))</f>
        <v/>
      </c>
      <c r="L33" t="str">
        <f>IF(Registro!B33="","",Registro!K33*1000+ROW())</f>
        <v/>
      </c>
      <c r="M33" t="str">
        <f>IF(OR(Registro!B33="",Registro!R33="",Registro!S33="Cerrado"),"",Registro!R33*1000+ROW())</f>
        <v/>
      </c>
      <c r="N33" t="str">
        <f>IF(Registro!K33="","",IF(Registro!K33&gt;=80,"Crítico",IF(Registro!K33&gt;=65,"Alto",IF(Registro!K33&gt;=50,"Medio","Bajo"))))</f>
        <v/>
      </c>
      <c r="P33" t="str">
        <f>IF(Registro!R33="","",TEXT(Registro!R33,"dd/mm/yyyy"))</f>
        <v/>
      </c>
    </row>
    <row r="34" spans="11:16" x14ac:dyDescent="0.25">
      <c r="K34" t="str">
        <f>IF(Registro!H34="","",IF(Registro!H34="Bloquea",1,IF(Registro!H34="Resiste",2,IF(Registro!H34="Neutral",3,IF(Registro!H34="Favorece",4,IF(Registro!H34="Patrocina",5,""))))))</f>
        <v/>
      </c>
      <c r="L34" t="str">
        <f>IF(Registro!B34="","",Registro!K34*1000+ROW())</f>
        <v/>
      </c>
      <c r="M34" t="str">
        <f>IF(OR(Registro!B34="",Registro!R34="",Registro!S34="Cerrado"),"",Registro!R34*1000+ROW())</f>
        <v/>
      </c>
      <c r="N34" t="str">
        <f>IF(Registro!K34="","",IF(Registro!K34&gt;=80,"Crítico",IF(Registro!K34&gt;=65,"Alto",IF(Registro!K34&gt;=50,"Medio","Bajo"))))</f>
        <v/>
      </c>
      <c r="P34" t="str">
        <f>IF(Registro!R34="","",TEXT(Registro!R34,"dd/mm/yyyy"))</f>
        <v/>
      </c>
    </row>
    <row r="35" spans="11:16" x14ac:dyDescent="0.25">
      <c r="K35" t="str">
        <f>IF(Registro!H35="","",IF(Registro!H35="Bloquea",1,IF(Registro!H35="Resiste",2,IF(Registro!H35="Neutral",3,IF(Registro!H35="Favorece",4,IF(Registro!H35="Patrocina",5,""))))))</f>
        <v/>
      </c>
      <c r="L35" t="str">
        <f>IF(Registro!B35="","",Registro!K35*1000+ROW())</f>
        <v/>
      </c>
      <c r="M35" t="str">
        <f>IF(OR(Registro!B35="",Registro!R35="",Registro!S35="Cerrado"),"",Registro!R35*1000+ROW())</f>
        <v/>
      </c>
      <c r="N35" t="str">
        <f>IF(Registro!K35="","",IF(Registro!K35&gt;=80,"Crítico",IF(Registro!K35&gt;=65,"Alto",IF(Registro!K35&gt;=50,"Medio","Bajo"))))</f>
        <v/>
      </c>
      <c r="P35" t="str">
        <f>IF(Registro!R35="","",TEXT(Registro!R35,"dd/mm/yyyy"))</f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8</vt:i4>
      </vt:variant>
    </vt:vector>
  </HeadingPairs>
  <TitlesOfParts>
    <vt:vector size="11" baseType="lpstr">
      <vt:lpstr>Mapa</vt:lpstr>
      <vt:lpstr>Registro</vt:lpstr>
      <vt:lpstr>Listas</vt:lpstr>
      <vt:lpstr>lista_apoyo</vt:lpstr>
      <vt:lpstr>lista_canal</vt:lpstr>
      <vt:lpstr>lista_categoria</vt:lpstr>
      <vt:lpstr>lista_estado</vt:lpstr>
      <vt:lpstr>lista_frecuencia</vt:lpstr>
      <vt:lpstr>lista_nivel</vt:lpstr>
      <vt:lpstr>lista_responsable</vt:lpstr>
      <vt:lpstr>lista_tipo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2026-03-16T09:22:06Z</dcterms:modified>
</cp:coreProperties>
</file>