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habit tracker\"/>
    </mc:Choice>
  </mc:AlternateContent>
  <xr:revisionPtr revIDLastSave="0" documentId="13_ncr:1_{F4340FF2-D7BA-4477-9F1E-232EDAE5BF0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racker mensual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AH46" i="1" l="1"/>
  <c r="AI46" i="1" s="1"/>
  <c r="AH45" i="1"/>
  <c r="AI45" i="1" s="1"/>
  <c r="AH44" i="1"/>
  <c r="AI44" i="1" s="1"/>
  <c r="AH43" i="1"/>
  <c r="AI43" i="1" s="1"/>
  <c r="AH42" i="1"/>
  <c r="AI42" i="1" s="1"/>
  <c r="AG38" i="1"/>
  <c r="AG37" i="1"/>
  <c r="AG36" i="1"/>
  <c r="AF22" i="1"/>
  <c r="AE22" i="1"/>
  <c r="AD22" i="1"/>
  <c r="AC22" i="1"/>
  <c r="AB22" i="1"/>
  <c r="AA22" i="1"/>
  <c r="Z22" i="1"/>
  <c r="Y22" i="1"/>
  <c r="X22" i="1"/>
  <c r="W22" i="1"/>
  <c r="V22" i="1"/>
  <c r="U22" i="1"/>
  <c r="T22" i="1"/>
  <c r="S22" i="1"/>
  <c r="R22" i="1"/>
  <c r="Q22" i="1"/>
  <c r="P22" i="1"/>
  <c r="O22" i="1"/>
  <c r="N22" i="1"/>
  <c r="M22" i="1"/>
  <c r="L22" i="1"/>
  <c r="K22" i="1"/>
  <c r="J22" i="1"/>
  <c r="I22" i="1"/>
  <c r="H22" i="1"/>
  <c r="G22" i="1"/>
  <c r="F22" i="1"/>
  <c r="E22" i="1"/>
  <c r="D22" i="1"/>
  <c r="C22" i="1"/>
  <c r="B22" i="1"/>
  <c r="AF21" i="1"/>
  <c r="AE21" i="1"/>
  <c r="AD21" i="1"/>
  <c r="AC21" i="1"/>
  <c r="AB21" i="1"/>
  <c r="AA21" i="1"/>
  <c r="Z21" i="1"/>
  <c r="Y21" i="1"/>
  <c r="X21" i="1"/>
  <c r="W21" i="1"/>
  <c r="V21" i="1"/>
  <c r="U21" i="1"/>
  <c r="T21" i="1"/>
  <c r="S21" i="1"/>
  <c r="R21" i="1"/>
  <c r="Q21" i="1"/>
  <c r="P21" i="1"/>
  <c r="O21" i="1"/>
  <c r="N21" i="1"/>
  <c r="M21" i="1"/>
  <c r="L21" i="1"/>
  <c r="K21" i="1"/>
  <c r="J21" i="1"/>
  <c r="I21" i="1"/>
  <c r="H21" i="1"/>
  <c r="G21" i="1"/>
  <c r="F21" i="1"/>
  <c r="E21" i="1"/>
  <c r="D21" i="1"/>
  <c r="C21" i="1"/>
  <c r="B21" i="1"/>
  <c r="AF20" i="1"/>
  <c r="AE20" i="1"/>
  <c r="AD20" i="1"/>
  <c r="AC20" i="1"/>
  <c r="AB20" i="1"/>
  <c r="AA20" i="1"/>
  <c r="Z20" i="1"/>
  <c r="Y20" i="1"/>
  <c r="X20" i="1"/>
  <c r="W20" i="1"/>
  <c r="V20" i="1"/>
  <c r="U20" i="1"/>
  <c r="T20" i="1"/>
  <c r="S20" i="1"/>
  <c r="R20" i="1"/>
  <c r="Q20" i="1"/>
  <c r="P20" i="1"/>
  <c r="O20" i="1"/>
  <c r="N20" i="1"/>
  <c r="M20" i="1"/>
  <c r="L20" i="1"/>
  <c r="K20" i="1"/>
  <c r="J20" i="1"/>
  <c r="I20" i="1"/>
  <c r="H20" i="1"/>
  <c r="G20" i="1"/>
  <c r="F20" i="1"/>
  <c r="E20" i="1"/>
  <c r="D20" i="1"/>
  <c r="C20" i="1"/>
  <c r="B20" i="1"/>
  <c r="AH18" i="1"/>
  <c r="AI18" i="1" s="1"/>
  <c r="AH17" i="1"/>
  <c r="AI17" i="1" s="1"/>
  <c r="AH16" i="1"/>
  <c r="AI16" i="1" s="1"/>
  <c r="AH15" i="1"/>
  <c r="AI15" i="1" s="1"/>
  <c r="AH14" i="1"/>
  <c r="AI14" i="1" s="1"/>
  <c r="AH13" i="1"/>
  <c r="AI13" i="1" s="1"/>
  <c r="AH12" i="1"/>
  <c r="AI12" i="1" s="1"/>
  <c r="AH11" i="1"/>
  <c r="AH10" i="1"/>
  <c r="AI10" i="1" s="1"/>
  <c r="AH9" i="1"/>
  <c r="AI9" i="1" s="1"/>
  <c r="AF8" i="1"/>
  <c r="AF7" i="1" s="1"/>
  <c r="AE8" i="1"/>
  <c r="AE7" i="1" s="1"/>
  <c r="AD8" i="1"/>
  <c r="AD7" i="1" s="1"/>
  <c r="AC8" i="1"/>
  <c r="AC7" i="1" s="1"/>
  <c r="AB8" i="1"/>
  <c r="AB7" i="1" s="1"/>
  <c r="AA8" i="1"/>
  <c r="AA7" i="1" s="1"/>
  <c r="Z8" i="1"/>
  <c r="Z7" i="1" s="1"/>
  <c r="Y8" i="1"/>
  <c r="Y7" i="1" s="1"/>
  <c r="X8" i="1"/>
  <c r="X7" i="1" s="1"/>
  <c r="W8" i="1"/>
  <c r="W7" i="1" s="1"/>
  <c r="V8" i="1"/>
  <c r="V7" i="1" s="1"/>
  <c r="U8" i="1"/>
  <c r="U7" i="1" s="1"/>
  <c r="T8" i="1"/>
  <c r="T7" i="1" s="1"/>
  <c r="S8" i="1"/>
  <c r="S7" i="1" s="1"/>
  <c r="R8" i="1"/>
  <c r="R7" i="1" s="1"/>
  <c r="Q8" i="1"/>
  <c r="Q7" i="1" s="1"/>
  <c r="P8" i="1"/>
  <c r="P7" i="1" s="1"/>
  <c r="O8" i="1"/>
  <c r="O7" i="1" s="1"/>
  <c r="N8" i="1"/>
  <c r="N7" i="1" s="1"/>
  <c r="M8" i="1"/>
  <c r="M7" i="1" s="1"/>
  <c r="L8" i="1"/>
  <c r="L7" i="1" s="1"/>
  <c r="K8" i="1"/>
  <c r="K7" i="1" s="1"/>
  <c r="J8" i="1"/>
  <c r="J7" i="1" s="1"/>
  <c r="I8" i="1"/>
  <c r="I7" i="1" s="1"/>
  <c r="H8" i="1"/>
  <c r="H7" i="1" s="1"/>
  <c r="G8" i="1"/>
  <c r="G7" i="1" s="1"/>
  <c r="F8" i="1"/>
  <c r="F7" i="1" s="1"/>
  <c r="E8" i="1"/>
  <c r="E7" i="1" s="1"/>
  <c r="D8" i="1"/>
  <c r="D7" i="1" s="1"/>
  <c r="C8" i="1"/>
  <c r="C7" i="1" s="1"/>
  <c r="B8" i="1"/>
  <c r="B7" i="1" s="1"/>
  <c r="P3" i="1"/>
  <c r="M3" i="1"/>
  <c r="A2" i="1"/>
  <c r="T3" i="1" l="1"/>
  <c r="AI11" i="1"/>
  <c r="Y3" i="1"/>
  <c r="Y4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J2" authorId="0" shapeId="0" xr:uid="{00000000-0006-0000-0000-000001000000}">
      <text>
        <r>
          <rPr>
            <sz val="10"/>
            <rFont val="Arial"/>
            <family val="2"/>
          </rPr>
          <t>Año del periodo.</t>
        </r>
      </text>
    </comment>
    <comment ref="J3" authorId="0" shapeId="0" xr:uid="{00000000-0006-0000-0000-000002000000}">
      <text>
        <r>
          <rPr>
            <sz val="10"/>
            <rFont val="Arial"/>
            <family val="2"/>
          </rPr>
          <t>Mes del periodo. El calendario se ajusta automáticamente.</t>
        </r>
      </text>
    </comment>
    <comment ref="AG9" authorId="0" shapeId="0" xr:uid="{00000000-0006-0000-0000-000003000000}">
      <text>
        <r>
          <rPr>
            <sz val="10"/>
            <rFont val="Arial"/>
            <family val="2"/>
          </rPr>
          <t>Meta mensual editable para esta acción.</t>
        </r>
      </text>
    </comment>
    <comment ref="AG10" authorId="0" shapeId="0" xr:uid="{00000000-0006-0000-0000-000004000000}">
      <text>
        <r>
          <rPr>
            <sz val="10"/>
            <rFont val="Arial"/>
            <family val="2"/>
          </rPr>
          <t>Meta mensual editable para esta acción.</t>
        </r>
      </text>
    </comment>
    <comment ref="AG11" authorId="0" shapeId="0" xr:uid="{00000000-0006-0000-0000-000005000000}">
      <text>
        <r>
          <rPr>
            <sz val="10"/>
            <rFont val="Arial"/>
            <family val="2"/>
          </rPr>
          <t>Meta mensual editable para esta acción.</t>
        </r>
      </text>
    </comment>
    <comment ref="AG12" authorId="0" shapeId="0" xr:uid="{00000000-0006-0000-0000-000006000000}">
      <text>
        <r>
          <rPr>
            <sz val="10"/>
            <rFont val="Arial"/>
            <family val="2"/>
          </rPr>
          <t>Meta mensual editable para esta acción.</t>
        </r>
      </text>
    </comment>
    <comment ref="AG13" authorId="0" shapeId="0" xr:uid="{00000000-0006-0000-0000-000007000000}">
      <text>
        <r>
          <rPr>
            <sz val="10"/>
            <rFont val="Arial"/>
            <family val="2"/>
          </rPr>
          <t>Meta mensual editable para esta acción.</t>
        </r>
      </text>
    </comment>
    <comment ref="AG14" authorId="0" shapeId="0" xr:uid="{00000000-0006-0000-0000-000008000000}">
      <text>
        <r>
          <rPr>
            <sz val="10"/>
            <rFont val="Arial"/>
            <family val="2"/>
          </rPr>
          <t>Meta mensual editable para esta acción.</t>
        </r>
      </text>
    </comment>
    <comment ref="AG15" authorId="0" shapeId="0" xr:uid="{00000000-0006-0000-0000-000009000000}">
      <text>
        <r>
          <rPr>
            <sz val="10"/>
            <rFont val="Arial"/>
            <family val="2"/>
          </rPr>
          <t>Meta mensual editable para esta acción.</t>
        </r>
      </text>
    </comment>
    <comment ref="AG16" authorId="0" shapeId="0" xr:uid="{00000000-0006-0000-0000-00000A000000}">
      <text>
        <r>
          <rPr>
            <sz val="10"/>
            <rFont val="Arial"/>
            <family val="2"/>
          </rPr>
          <t>Meta mensual editable para esta acción.</t>
        </r>
      </text>
    </comment>
    <comment ref="AG17" authorId="0" shapeId="0" xr:uid="{00000000-0006-0000-0000-00000B000000}">
      <text>
        <r>
          <rPr>
            <sz val="10"/>
            <rFont val="Arial"/>
            <family val="2"/>
          </rPr>
          <t>Meta mensual editable para esta acción.</t>
        </r>
      </text>
    </comment>
    <comment ref="AG18" authorId="0" shapeId="0" xr:uid="{00000000-0006-0000-0000-00000C000000}">
      <text>
        <r>
          <rPr>
            <sz val="10"/>
            <rFont val="Arial"/>
            <family val="2"/>
          </rPr>
          <t>Meta mensual editable para esta acción.</t>
        </r>
      </text>
    </comment>
  </commentList>
</comments>
</file>

<file path=xl/sharedStrings.xml><?xml version="1.0" encoding="utf-8"?>
<sst xmlns="http://schemas.openxmlformats.org/spreadsheetml/2006/main" count="244" uniqueCount="42">
  <si>
    <t>Año</t>
  </si>
  <si>
    <t>Acciones</t>
  </si>
  <si>
    <t>Meta total</t>
  </si>
  <si>
    <t>Hechas</t>
  </si>
  <si>
    <t>Cumplimiento</t>
  </si>
  <si>
    <t>Mes</t>
  </si>
  <si>
    <t>Edita mes y año · marca ✓</t>
  </si>
  <si>
    <t>ACCIONES DIARIAS</t>
  </si>
  <si>
    <t>Semana 1</t>
  </si>
  <si>
    <t>Semana 2</t>
  </si>
  <si>
    <t>Semana 3</t>
  </si>
  <si>
    <t>Semana 4</t>
  </si>
  <si>
    <t>Semana 5</t>
  </si>
  <si>
    <t>Meta</t>
  </si>
  <si>
    <t>Hecho</t>
  </si>
  <si>
    <t>Cumpl.</t>
  </si>
  <si>
    <t>Definir 3 prioridades</t>
  </si>
  <si>
    <t>✓</t>
  </si>
  <si>
    <t>Bloque de trabajo profundo</t>
  </si>
  <si>
    <t>Seguimiento a clientes</t>
  </si>
  <si>
    <t>Publicar o avanzar visibilidad</t>
  </si>
  <si>
    <t>Revisar caja y cobros</t>
  </si>
  <si>
    <t>Actualizar tablero del proyecto</t>
  </si>
  <si>
    <t>Ordenar CRM / pipeline</t>
  </si>
  <si>
    <t>Documentar aprendizaje clave</t>
  </si>
  <si>
    <t>Cerrar pendientes críticos</t>
  </si>
  <si>
    <t>Preparar arranque de mañana</t>
  </si>
  <si>
    <t>% del día</t>
  </si>
  <si>
    <t>Pendientes</t>
  </si>
  <si>
    <t>REFLEXIÓN DIARIA (1-10)</t>
  </si>
  <si>
    <t>Promedio</t>
  </si>
  <si>
    <t>Claridad</t>
  </si>
  <si>
    <t>Energía</t>
  </si>
  <si>
    <t>Tracción</t>
  </si>
  <si>
    <t>REVISIONES SEMANALES</t>
  </si>
  <si>
    <t>Revisión comercial</t>
  </si>
  <si>
    <t>Revisión financiera</t>
  </si>
  <si>
    <t>Limpieza del backlog</t>
  </si>
  <si>
    <t>Bloque de networking</t>
  </si>
  <si>
    <t>Plan de contenidos</t>
  </si>
  <si>
    <t>Uso: cambia mes y año arriba; ajusta las metas en la columna Meta; marca ✓ en cada acción completada; puntúa la reflexión diaria del 1 al 10.</t>
  </si>
  <si>
    <t>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</si>
</sst>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2" x14ac:knownFonts="1">
    <font>
      <sz val="11"/>
      <color theme="1"/>
      <name val="Calibri"/>
      <family val="2"/>
      <charset val="1"/>
    </font>
    <font>
      <sz val="26"/>
      <color rgb="FFFFFFFF"/>
      <name val="Cambria"/>
      <charset val="1"/>
    </font>
    <font>
      <b/>
      <sz val="9"/>
      <color rgb="FF121528"/>
      <name val="Cambria"/>
      <charset val="1"/>
    </font>
    <font>
      <b/>
      <sz val="10"/>
      <color rgb="FF121528"/>
      <name val="Cambria"/>
      <charset val="1"/>
    </font>
    <font>
      <b/>
      <sz val="16"/>
      <color rgb="FF121528"/>
      <name val="Cambria"/>
      <charset val="1"/>
    </font>
    <font>
      <sz val="8"/>
      <color rgb="FF121528"/>
      <name val="Cambria"/>
      <charset val="1"/>
    </font>
    <font>
      <b/>
      <sz val="12"/>
      <color rgb="FF121528"/>
      <name val="Cambria"/>
      <charset val="1"/>
    </font>
    <font>
      <b/>
      <sz val="11"/>
      <color rgb="FFFFFFFF"/>
      <name val="Cambria"/>
      <charset val="1"/>
    </font>
    <font>
      <sz val="9"/>
      <color rgb="FF121528"/>
      <name val="Cambria"/>
      <charset val="1"/>
    </font>
    <font>
      <sz val="10"/>
      <color rgb="FF121528"/>
      <name val="Cambria"/>
      <charset val="1"/>
    </font>
    <font>
      <sz val="10"/>
      <name val="Arial"/>
      <family val="2"/>
    </font>
    <font>
      <sz val="10"/>
      <color theme="0"/>
      <name val="Cambria"/>
      <family val="1"/>
    </font>
  </fonts>
  <fills count="9">
    <fill>
      <patternFill patternType="none"/>
    </fill>
    <fill>
      <patternFill patternType="gray125"/>
    </fill>
    <fill>
      <patternFill patternType="solid">
        <fgColor rgb="FF121528"/>
        <bgColor rgb="FF000000"/>
      </patternFill>
    </fill>
    <fill>
      <patternFill patternType="solid">
        <fgColor rgb="FFEEECE1"/>
        <bgColor rgb="FFE6E8EE"/>
      </patternFill>
    </fill>
    <fill>
      <patternFill patternType="solid">
        <fgColor rgb="FFF7F6F2"/>
        <bgColor rgb="FFFFFFFF"/>
      </patternFill>
    </fill>
    <fill>
      <patternFill patternType="solid">
        <fgColor rgb="FFD8D6CE"/>
        <bgColor rgb="FFD9D9D9"/>
      </patternFill>
    </fill>
    <fill>
      <patternFill patternType="solid">
        <fgColor rgb="FFE6E8EE"/>
        <bgColor rgb="FFEEECE1"/>
      </patternFill>
    </fill>
    <fill>
      <patternFill patternType="solid">
        <fgColor rgb="FFE5E2D6"/>
        <bgColor rgb="FFE1E1E1"/>
      </patternFill>
    </fill>
    <fill>
      <patternFill patternType="solid">
        <fgColor rgb="FFD9DDE6"/>
        <bgColor rgb="FFD9D9D9"/>
      </patternFill>
    </fill>
  </fills>
  <borders count="2">
    <border>
      <left/>
      <right/>
      <top/>
      <bottom/>
      <diagonal/>
    </border>
    <border>
      <left style="thin">
        <color rgb="FFD6D1C4"/>
      </left>
      <right style="thin">
        <color rgb="FFD6D1C4"/>
      </right>
      <top style="thin">
        <color rgb="FFD6D1C4"/>
      </top>
      <bottom style="thin">
        <color rgb="FFD6D1C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3" fillId="6" borderId="1" xfId="0" applyFont="1" applyFill="1" applyBorder="1" applyAlignment="1">
      <alignment horizontal="center" vertical="center"/>
    </xf>
    <xf numFmtId="2" fontId="3" fillId="4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8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164" fontId="6" fillId="4" borderId="1" xfId="0" applyNumberFormat="1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164" fontId="0" fillId="4" borderId="1" xfId="0" applyNumberForma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/>
    <xf numFmtId="0" fontId="2" fillId="3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2" fillId="8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0" fontId="8" fillId="7" borderId="1" xfId="0" applyFont="1" applyFill="1" applyBorder="1" applyAlignment="1">
      <alignment horizontal="center" vertical="center"/>
    </xf>
    <xf numFmtId="0" fontId="8" fillId="8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left" vertical="center"/>
    </xf>
    <xf numFmtId="0" fontId="9" fillId="3" borderId="1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/>
    </xf>
    <xf numFmtId="0" fontId="9" fillId="7" borderId="1" xfId="0" applyFont="1" applyFill="1" applyBorder="1" applyAlignment="1">
      <alignment horizontal="center" vertical="center"/>
    </xf>
    <xf numFmtId="0" fontId="9" fillId="8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center"/>
    </xf>
    <xf numFmtId="1" fontId="9" fillId="4" borderId="1" xfId="0" applyNumberFormat="1" applyFont="1" applyFill="1" applyBorder="1" applyAlignment="1">
      <alignment horizontal="center" vertical="center"/>
    </xf>
    <xf numFmtId="164" fontId="9" fillId="4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left" vertical="center"/>
    </xf>
    <xf numFmtId="9" fontId="9" fillId="4" borderId="1" xfId="0" applyNumberFormat="1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3" fillId="7" borderId="1" xfId="0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left" vertical="center"/>
    </xf>
    <xf numFmtId="164" fontId="11" fillId="4" borderId="1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8">
    <dxf>
      <font>
        <b/>
        <color rgb="FFFFFFFF"/>
      </font>
      <fill>
        <patternFill>
          <bgColor rgb="FF121528"/>
        </patternFill>
      </fill>
    </dxf>
    <dxf>
      <font>
        <b/>
        <color rgb="FFFFFFFF"/>
      </font>
      <fill>
        <patternFill>
          <bgColor rgb="FF121528"/>
        </patternFill>
      </fill>
    </dxf>
    <dxf>
      <font>
        <b/>
        <color rgb="FFFFFFFF"/>
      </font>
      <fill>
        <patternFill>
          <bgColor rgb="FF121528"/>
        </patternFill>
      </fill>
    </dxf>
    <dxf>
      <font>
        <b/>
        <color rgb="FFFFFFFF"/>
      </font>
      <fill>
        <patternFill>
          <bgColor rgb="FF121528"/>
        </patternFill>
      </fill>
    </dxf>
    <dxf>
      <fill>
        <patternFill>
          <bgColor rgb="FFE1E1E1"/>
        </patternFill>
      </fill>
    </dxf>
    <dxf>
      <font>
        <b/>
        <color rgb="FFFFFFFF"/>
      </font>
      <fill>
        <patternFill>
          <bgColor rgb="FF121528"/>
        </patternFill>
      </fill>
    </dxf>
    <dxf>
      <fill>
        <patternFill>
          <bgColor rgb="FFE1E1E1"/>
        </patternFill>
      </fill>
    </dxf>
    <dxf>
      <font>
        <b/>
        <color rgb="FFFFFFFF"/>
      </font>
      <fill>
        <patternFill>
          <bgColor rgb="FF121528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D6D1C4"/>
      <rgbColor rgb="FF878787"/>
      <rgbColor rgb="FF9999FF"/>
      <rgbColor rgb="FF993366"/>
      <rgbColor rgb="FFF7F6F2"/>
      <rgbColor rgb="FFE6E8EE"/>
      <rgbColor rgb="FF660066"/>
      <rgbColor rgb="FFFF8080"/>
      <rgbColor rgb="FF0066CC"/>
      <rgbColor rgb="FFD9DDE6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1E1E1"/>
      <rgbColor rgb="FFEEECE1"/>
      <rgbColor rgb="FFE5E2D6"/>
      <rgbColor rgb="FFD9D9D9"/>
      <rgbColor rgb="FFFF99CC"/>
      <rgbColor rgb="FFCC99FF"/>
      <rgbColor rgb="FFD8D6CE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121528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c:style val="2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lang="es-ES" sz="1800" b="1" u="none" strike="noStrike">
                <a:solidFill>
                  <a:srgbClr val="000000"/>
                </a:solidFill>
                <a:uFillTx/>
                <a:latin typeface="Calibri"/>
              </a:rPr>
              <a:t>Ritmo diario de ejecución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8000">
              <a:solidFill>
                <a:srgbClr val="121528"/>
              </a:solidFill>
              <a:round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none"/>
              <a:lstStyle/>
              <a:p>
                <a:pPr>
                  <a:defRPr sz="1000" b="0" u="none" strike="noStrike">
                    <a:uFillTx/>
                    <a:latin typeface="Arial"/>
                  </a:defRPr>
                </a:pPr>
                <a:endParaRPr lang="es-ES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18000">
                      <a:solidFill>
                        <a:srgbClr val="000000"/>
                      </a:solidFill>
                    </a:ln>
                  </c:spPr>
                </c15:leaderLines>
              </c:ext>
            </c:extLst>
          </c:dLbls>
          <c:cat>
            <c:strRef>
              <c:f>'Tracker mensual'!$B$8:$AF$8</c:f>
              <c:strCache>
                <c:ptCount val="3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</c:strCache>
            </c:strRef>
          </c:cat>
          <c:val>
            <c:numRef>
              <c:f>'Tracker mensual'!$B$21:$AF$21</c:f>
              <c:numCache>
                <c:formatCode>0</c:formatCode>
                <c:ptCount val="31"/>
                <c:pt idx="0">
                  <c:v>3</c:v>
                </c:pt>
                <c:pt idx="1">
                  <c:v>7</c:v>
                </c:pt>
                <c:pt idx="2">
                  <c:v>9</c:v>
                </c:pt>
                <c:pt idx="3">
                  <c:v>9</c:v>
                </c:pt>
                <c:pt idx="4">
                  <c:v>7</c:v>
                </c:pt>
                <c:pt idx="5">
                  <c:v>7</c:v>
                </c:pt>
                <c:pt idx="6">
                  <c:v>3</c:v>
                </c:pt>
                <c:pt idx="7">
                  <c:v>3</c:v>
                </c:pt>
                <c:pt idx="8">
                  <c:v>7</c:v>
                </c:pt>
                <c:pt idx="9">
                  <c:v>7</c:v>
                </c:pt>
                <c:pt idx="10">
                  <c:v>7</c:v>
                </c:pt>
                <c:pt idx="11">
                  <c:v>4</c:v>
                </c:pt>
                <c:pt idx="12">
                  <c:v>6</c:v>
                </c:pt>
                <c:pt idx="13">
                  <c:v>4</c:v>
                </c:pt>
                <c:pt idx="14">
                  <c:v>7</c:v>
                </c:pt>
                <c:pt idx="15">
                  <c:v>8</c:v>
                </c:pt>
                <c:pt idx="16">
                  <c:v>7</c:v>
                </c:pt>
                <c:pt idx="17">
                  <c:v>6</c:v>
                </c:pt>
                <c:pt idx="18">
                  <c:v>6</c:v>
                </c:pt>
                <c:pt idx="19">
                  <c:v>7</c:v>
                </c:pt>
                <c:pt idx="20">
                  <c:v>4</c:v>
                </c:pt>
                <c:pt idx="21">
                  <c:v>3</c:v>
                </c:pt>
                <c:pt idx="22">
                  <c:v>7</c:v>
                </c:pt>
                <c:pt idx="23">
                  <c:v>6</c:v>
                </c:pt>
                <c:pt idx="24">
                  <c:v>6</c:v>
                </c:pt>
                <c:pt idx="25">
                  <c:v>6</c:v>
                </c:pt>
                <c:pt idx="26">
                  <c:v>3</c:v>
                </c:pt>
                <c:pt idx="27">
                  <c:v>3</c:v>
                </c:pt>
                <c:pt idx="28">
                  <c:v>2</c:v>
                </c:pt>
                <c:pt idx="29">
                  <c:v>5</c:v>
                </c:pt>
                <c:pt idx="30">
                  <c:v>0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AF21-4111-887D-3C0459FD65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0">
              <a:noFill/>
            </a:ln>
          </c:spPr>
        </c:hiLowLines>
        <c:smooth val="0"/>
        <c:axId val="60051964"/>
        <c:axId val="98260675"/>
      </c:lineChart>
      <c:catAx>
        <c:axId val="600519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  <a:endParaRPr lang="es-ES"/>
          </a:p>
        </c:txPr>
        <c:crossAx val="98260675"/>
        <c:crosses val="autoZero"/>
        <c:auto val="1"/>
        <c:lblAlgn val="ctr"/>
        <c:lblOffset val="100"/>
        <c:noMultiLvlLbl val="0"/>
      </c:catAx>
      <c:valAx>
        <c:axId val="98260675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numFmt formatCode="0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  <a:endParaRPr lang="es-ES"/>
          </a:p>
        </c:txPr>
        <c:crossAx val="60051964"/>
        <c:crosses val="autoZero"/>
        <c:crossBetween val="between"/>
      </c:valAx>
      <c:spPr>
        <a:noFill/>
        <a:ln w="0">
          <a:noFill/>
        </a:ln>
      </c:spPr>
    </c:plotArea>
    <c:plotVisOnly val="1"/>
    <c:dispBlanksAs val="gap"/>
    <c:showDLblsOverMax val="1"/>
  </c:chart>
  <c:spPr>
    <a:solidFill>
      <a:schemeClr val="accent1">
        <a:lumMod val="20000"/>
        <a:lumOff val="80000"/>
      </a:schemeClr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201706</xdr:colOff>
      <xdr:row>23</xdr:row>
      <xdr:rowOff>0</xdr:rowOff>
    </xdr:from>
    <xdr:to>
      <xdr:col>34</xdr:col>
      <xdr:colOff>481852</xdr:colOff>
      <xdr:row>32</xdr:row>
      <xdr:rowOff>156882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48"/>
  <sheetViews>
    <sheetView showGridLines="0" tabSelected="1" zoomScale="85" zoomScaleNormal="85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AU32" sqref="AU32"/>
    </sheetView>
  </sheetViews>
  <sheetFormatPr baseColWidth="10" defaultColWidth="8.7109375" defaultRowHeight="15" customHeight="1" x14ac:dyDescent="0.25"/>
  <cols>
    <col min="1" max="1" width="33" customWidth="1"/>
    <col min="2" max="31" width="4.85546875" bestFit="1" customWidth="1"/>
    <col min="32" max="32" width="2.7109375" bestFit="1" customWidth="1"/>
    <col min="33" max="33" width="6.140625" bestFit="1" customWidth="1"/>
    <col min="34" max="34" width="7.5703125" bestFit="1" customWidth="1"/>
    <col min="35" max="35" width="8.140625" bestFit="1" customWidth="1"/>
  </cols>
  <sheetData>
    <row r="1" spans="1:35" ht="6" customHeight="1" x14ac:dyDescent="0.25"/>
    <row r="2" spans="1:35" ht="24" customHeight="1" x14ac:dyDescent="0.25">
      <c r="A2" s="14" t="str">
        <f>UPPER($J$3&amp;" "&amp;$J$2)</f>
        <v>ABRIL 2026</v>
      </c>
      <c r="B2" s="14"/>
      <c r="C2" s="14"/>
      <c r="D2" s="14"/>
      <c r="E2" s="14"/>
      <c r="F2" s="14"/>
      <c r="G2" s="15"/>
      <c r="H2" s="13" t="s">
        <v>0</v>
      </c>
      <c r="I2" s="13"/>
      <c r="J2" s="12">
        <v>2026</v>
      </c>
      <c r="K2" s="12"/>
      <c r="L2" s="15"/>
      <c r="M2" s="13" t="s">
        <v>1</v>
      </c>
      <c r="N2" s="13"/>
      <c r="O2" s="13"/>
      <c r="P2" s="13" t="s">
        <v>2</v>
      </c>
      <c r="Q2" s="13"/>
      <c r="R2" s="13"/>
      <c r="S2" s="13"/>
      <c r="T2" s="13" t="s">
        <v>3</v>
      </c>
      <c r="U2" s="13"/>
      <c r="V2" s="13"/>
      <c r="W2" s="13"/>
      <c r="X2" s="15"/>
      <c r="Y2" s="13" t="s">
        <v>4</v>
      </c>
      <c r="Z2" s="13"/>
      <c r="AA2" s="13"/>
      <c r="AB2" s="13"/>
      <c r="AC2" s="13"/>
      <c r="AD2" s="13"/>
      <c r="AE2" s="13"/>
      <c r="AF2" s="13"/>
      <c r="AG2" s="13"/>
      <c r="AH2" s="13"/>
      <c r="AI2" s="13"/>
    </row>
    <row r="3" spans="1:35" ht="24" customHeight="1" x14ac:dyDescent="0.25">
      <c r="A3" s="14"/>
      <c r="B3" s="14"/>
      <c r="C3" s="14"/>
      <c r="D3" s="14"/>
      <c r="E3" s="14"/>
      <c r="F3" s="14"/>
      <c r="G3" s="15"/>
      <c r="H3" s="13" t="s">
        <v>5</v>
      </c>
      <c r="I3" s="13"/>
      <c r="J3" s="12" t="s">
        <v>41</v>
      </c>
      <c r="K3" s="12"/>
      <c r="L3" s="15"/>
      <c r="M3" s="11">
        <f>COUNTA($A$9:$A$18)+COUNTA($A$42:$A$46)</f>
        <v>15</v>
      </c>
      <c r="N3" s="11"/>
      <c r="O3" s="11"/>
      <c r="P3" s="11">
        <f>SUM($AG$9:$AG$18)+SUM($AG$42:$AG$46)</f>
        <v>198</v>
      </c>
      <c r="Q3" s="11"/>
      <c r="R3" s="11"/>
      <c r="S3" s="11"/>
      <c r="T3" s="11">
        <f>SUM($AH$9:$AH$18)+SUM($AH$42:$AH$46)</f>
        <v>194</v>
      </c>
      <c r="U3" s="11"/>
      <c r="V3" s="11"/>
      <c r="W3" s="11"/>
      <c r="X3" s="15"/>
      <c r="Y3" s="10">
        <f>IFERROR((SUM($AH$9:$AH$18)+SUM($AH$42:$AH$46))/(SUM($AG$9:$AG$18)+SUM($AG$42:$AG$46)),0)</f>
        <v>0.97979797979797978</v>
      </c>
      <c r="Z3" s="10"/>
      <c r="AA3" s="10"/>
      <c r="AB3" s="10"/>
      <c r="AC3" s="10"/>
      <c r="AD3" s="10"/>
      <c r="AE3" s="10"/>
      <c r="AF3" s="10"/>
      <c r="AG3" s="10"/>
      <c r="AH3" s="10"/>
      <c r="AI3" s="10"/>
    </row>
    <row r="4" spans="1:35" ht="24" customHeight="1" x14ac:dyDescent="0.25">
      <c r="A4" s="14"/>
      <c r="B4" s="14"/>
      <c r="C4" s="14"/>
      <c r="D4" s="14"/>
      <c r="E4" s="14"/>
      <c r="F4" s="14"/>
      <c r="G4" s="15"/>
      <c r="H4" s="9" t="s">
        <v>6</v>
      </c>
      <c r="I4" s="9"/>
      <c r="J4" s="9"/>
      <c r="K4" s="9"/>
      <c r="L4" s="15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5"/>
      <c r="Y4" s="8">
        <f>IFERROR((SUM($AH$9:$AH$18)+SUM($AH$42:$AH$46))/(SUM($AG$9:$AG$18)+SUM($AG$42:$AG$46)),0)</f>
        <v>0.97979797979797978</v>
      </c>
      <c r="Z4" s="8"/>
      <c r="AA4" s="8"/>
      <c r="AB4" s="8"/>
      <c r="AC4" s="8"/>
      <c r="AD4" s="8"/>
      <c r="AE4" s="8"/>
      <c r="AF4" s="8"/>
      <c r="AG4" s="8"/>
      <c r="AH4" s="8"/>
      <c r="AI4" s="8"/>
    </row>
    <row r="6" spans="1:35" ht="21.75" customHeight="1" x14ac:dyDescent="0.25">
      <c r="A6" s="17" t="s">
        <v>7</v>
      </c>
      <c r="B6" s="13" t="s">
        <v>8</v>
      </c>
      <c r="C6" s="13"/>
      <c r="D6" s="13"/>
      <c r="E6" s="13"/>
      <c r="F6" s="13"/>
      <c r="G6" s="13"/>
      <c r="H6" s="13"/>
      <c r="I6" s="7" t="s">
        <v>9</v>
      </c>
      <c r="J6" s="7"/>
      <c r="K6" s="7"/>
      <c r="L6" s="7"/>
      <c r="M6" s="7"/>
      <c r="N6" s="7"/>
      <c r="O6" s="7"/>
      <c r="P6" s="6" t="s">
        <v>10</v>
      </c>
      <c r="Q6" s="6"/>
      <c r="R6" s="6"/>
      <c r="S6" s="6"/>
      <c r="T6" s="6"/>
      <c r="U6" s="6"/>
      <c r="V6" s="6"/>
      <c r="W6" s="5" t="s">
        <v>11</v>
      </c>
      <c r="X6" s="5"/>
      <c r="Y6" s="5"/>
      <c r="Z6" s="5"/>
      <c r="AA6" s="5"/>
      <c r="AB6" s="5"/>
      <c r="AC6" s="5"/>
      <c r="AD6" s="4" t="s">
        <v>12</v>
      </c>
      <c r="AE6" s="4"/>
      <c r="AF6" s="4"/>
      <c r="AG6" s="17" t="s">
        <v>13</v>
      </c>
      <c r="AH6" s="17" t="s">
        <v>14</v>
      </c>
      <c r="AI6" s="17" t="s">
        <v>15</v>
      </c>
    </row>
    <row r="7" spans="1:35" ht="18" customHeight="1" x14ac:dyDescent="0.25">
      <c r="B7" s="22" t="str">
        <f>IF(B$8="","",CHOOSE(WEEKDAY(DATE($J$2,MATCH($J$3,{"Enero","Febrero","Marzo","Abril","Mayo","Junio","Julio","Agosto","Septiembre","Octubre","Noviembre","Diciembre"},0),1),2),"L","M","X","J","V","S","D"))</f>
        <v>X</v>
      </c>
      <c r="C7" s="22" t="str">
        <f>IF(C$8="","",CHOOSE(WEEKDAY(DATE($J$2,MATCH($J$3,{"Enero","Febrero","Marzo","Abril","Mayo","Junio","Julio","Agosto","Septiembre","Octubre","Noviembre","Diciembre"},0),2),2),"L","M","X","J","V","S","D"))</f>
        <v>J</v>
      </c>
      <c r="D7" s="22" t="str">
        <f>IF(D$8="","",CHOOSE(WEEKDAY(DATE($J$2,MATCH($J$3,{"Enero","Febrero","Marzo","Abril","Mayo","Junio","Julio","Agosto","Septiembre","Octubre","Noviembre","Diciembre"},0),3),2),"L","M","X","J","V","S","D"))</f>
        <v>V</v>
      </c>
      <c r="E7" s="22" t="str">
        <f>IF(E$8="","",CHOOSE(WEEKDAY(DATE($J$2,MATCH($J$3,{"Enero","Febrero","Marzo","Abril","Mayo","Junio","Julio","Agosto","Septiembre","Octubre","Noviembre","Diciembre"},0),4),2),"L","M","X","J","V","S","D"))</f>
        <v>S</v>
      </c>
      <c r="F7" s="22" t="str">
        <f>IF(F$8="","",CHOOSE(WEEKDAY(DATE($J$2,MATCH($J$3,{"Enero","Febrero","Marzo","Abril","Mayo","Junio","Julio","Agosto","Septiembre","Octubre","Noviembre","Diciembre"},0),5),2),"L","M","X","J","V","S","D"))</f>
        <v>D</v>
      </c>
      <c r="G7" s="22" t="str">
        <f>IF(G$8="","",CHOOSE(WEEKDAY(DATE($J$2,MATCH($J$3,{"Enero","Febrero","Marzo","Abril","Mayo","Junio","Julio","Agosto","Septiembre","Octubre","Noviembre","Diciembre"},0),6),2),"L","M","X","J","V","S","D"))</f>
        <v>L</v>
      </c>
      <c r="H7" s="22" t="str">
        <f>IF(H$8="","",CHOOSE(WEEKDAY(DATE($J$2,MATCH($J$3,{"Enero","Febrero","Marzo","Abril","Mayo","Junio","Julio","Agosto","Septiembre","Octubre","Noviembre","Diciembre"},0),7),2),"L","M","X","J","V","S","D"))</f>
        <v>M</v>
      </c>
      <c r="I7" s="23" t="str">
        <f>IF(I$8="","",CHOOSE(WEEKDAY(DATE($J$2,MATCH($J$3,{"Enero","Febrero","Marzo","Abril","Mayo","Junio","Julio","Agosto","Septiembre","Octubre","Noviembre","Diciembre"},0),8),2),"L","M","X","J","V","S","D"))</f>
        <v>X</v>
      </c>
      <c r="J7" s="23" t="str">
        <f>IF(J$8="","",CHOOSE(WEEKDAY(DATE($J$2,MATCH($J$3,{"Enero","Febrero","Marzo","Abril","Mayo","Junio","Julio","Agosto","Septiembre","Octubre","Noviembre","Diciembre"},0),9),2),"L","M","X","J","V","S","D"))</f>
        <v>J</v>
      </c>
      <c r="K7" s="23" t="str">
        <f>IF(K$8="","",CHOOSE(WEEKDAY(DATE($J$2,MATCH($J$3,{"Enero","Febrero","Marzo","Abril","Mayo","Junio","Julio","Agosto","Septiembre","Octubre","Noviembre","Diciembre"},0),10),2),"L","M","X","J","V","S","D"))</f>
        <v>V</v>
      </c>
      <c r="L7" s="23" t="str">
        <f>IF(L$8="","",CHOOSE(WEEKDAY(DATE($J$2,MATCH($J$3,{"Enero","Febrero","Marzo","Abril","Mayo","Junio","Julio","Agosto","Septiembre","Octubre","Noviembre","Diciembre"},0),11),2),"L","M","X","J","V","S","D"))</f>
        <v>S</v>
      </c>
      <c r="M7" s="23" t="str">
        <f>IF(M$8="","",CHOOSE(WEEKDAY(DATE($J$2,MATCH($J$3,{"Enero","Febrero","Marzo","Abril","Mayo","Junio","Julio","Agosto","Septiembre","Octubre","Noviembre","Diciembre"},0),12),2),"L","M","X","J","V","S","D"))</f>
        <v>D</v>
      </c>
      <c r="N7" s="23" t="str">
        <f>IF(N$8="","",CHOOSE(WEEKDAY(DATE($J$2,MATCH($J$3,{"Enero","Febrero","Marzo","Abril","Mayo","Junio","Julio","Agosto","Septiembre","Octubre","Noviembre","Diciembre"},0),13),2),"L","M","X","J","V","S","D"))</f>
        <v>L</v>
      </c>
      <c r="O7" s="23" t="str">
        <f>IF(O$8="","",CHOOSE(WEEKDAY(DATE($J$2,MATCH($J$3,{"Enero","Febrero","Marzo","Abril","Mayo","Junio","Julio","Agosto","Septiembre","Octubre","Noviembre","Diciembre"},0),14),2),"L","M","X","J","V","S","D"))</f>
        <v>M</v>
      </c>
      <c r="P7" s="24" t="str">
        <f>IF(P$8="","",CHOOSE(WEEKDAY(DATE($J$2,MATCH($J$3,{"Enero","Febrero","Marzo","Abril","Mayo","Junio","Julio","Agosto","Septiembre","Octubre","Noviembre","Diciembre"},0),15),2),"L","M","X","J","V","S","D"))</f>
        <v>X</v>
      </c>
      <c r="Q7" s="24" t="str">
        <f>IF(Q$8="","",CHOOSE(WEEKDAY(DATE($J$2,MATCH($J$3,{"Enero","Febrero","Marzo","Abril","Mayo","Junio","Julio","Agosto","Septiembre","Octubre","Noviembre","Diciembre"},0),16),2),"L","M","X","J","V","S","D"))</f>
        <v>J</v>
      </c>
      <c r="R7" s="24" t="str">
        <f>IF(R$8="","",CHOOSE(WEEKDAY(DATE($J$2,MATCH($J$3,{"Enero","Febrero","Marzo","Abril","Mayo","Junio","Julio","Agosto","Septiembre","Octubre","Noviembre","Diciembre"},0),17),2),"L","M","X","J","V","S","D"))</f>
        <v>V</v>
      </c>
      <c r="S7" s="24" t="str">
        <f>IF(S$8="","",CHOOSE(WEEKDAY(DATE($J$2,MATCH($J$3,{"Enero","Febrero","Marzo","Abril","Mayo","Junio","Julio","Agosto","Septiembre","Octubre","Noviembre","Diciembre"},0),18),2),"L","M","X","J","V","S","D"))</f>
        <v>S</v>
      </c>
      <c r="T7" s="24" t="str">
        <f>IF(T$8="","",CHOOSE(WEEKDAY(DATE($J$2,MATCH($J$3,{"Enero","Febrero","Marzo","Abril","Mayo","Junio","Julio","Agosto","Septiembre","Octubre","Noviembre","Diciembre"},0),19),2),"L","M","X","J","V","S","D"))</f>
        <v>D</v>
      </c>
      <c r="U7" s="24" t="str">
        <f>IF(U$8="","",CHOOSE(WEEKDAY(DATE($J$2,MATCH($J$3,{"Enero","Febrero","Marzo","Abril","Mayo","Junio","Julio","Agosto","Septiembre","Octubre","Noviembre","Diciembre"},0),20),2),"L","M","X","J","V","S","D"))</f>
        <v>L</v>
      </c>
      <c r="V7" s="24" t="str">
        <f>IF(V$8="","",CHOOSE(WEEKDAY(DATE($J$2,MATCH($J$3,{"Enero","Febrero","Marzo","Abril","Mayo","Junio","Julio","Agosto","Septiembre","Octubre","Noviembre","Diciembre"},0),21),2),"L","M","X","J","V","S","D"))</f>
        <v>M</v>
      </c>
      <c r="W7" s="25" t="str">
        <f>IF(W$8="","",CHOOSE(WEEKDAY(DATE($J$2,MATCH($J$3,{"Enero","Febrero","Marzo","Abril","Mayo","Junio","Julio","Agosto","Septiembre","Octubre","Noviembre","Diciembre"},0),22),2),"L","M","X","J","V","S","D"))</f>
        <v>X</v>
      </c>
      <c r="X7" s="25" t="str">
        <f>IF(X$8="","",CHOOSE(WEEKDAY(DATE($J$2,MATCH($J$3,{"Enero","Febrero","Marzo","Abril","Mayo","Junio","Julio","Agosto","Septiembre","Octubre","Noviembre","Diciembre"},0),23),2),"L","M","X","J","V","S","D"))</f>
        <v>J</v>
      </c>
      <c r="Y7" s="25" t="str">
        <f>IF(Y$8="","",CHOOSE(WEEKDAY(DATE($J$2,MATCH($J$3,{"Enero","Febrero","Marzo","Abril","Mayo","Junio","Julio","Agosto","Septiembre","Octubre","Noviembre","Diciembre"},0),24),2),"L","M","X","J","V","S","D"))</f>
        <v>V</v>
      </c>
      <c r="Z7" s="25" t="str">
        <f>IF(Z$8="","",CHOOSE(WEEKDAY(DATE($J$2,MATCH($J$3,{"Enero","Febrero","Marzo","Abril","Mayo","Junio","Julio","Agosto","Septiembre","Octubre","Noviembre","Diciembre"},0),25),2),"L","M","X","J","V","S","D"))</f>
        <v>S</v>
      </c>
      <c r="AA7" s="25" t="str">
        <f>IF(AA$8="","",CHOOSE(WEEKDAY(DATE($J$2,MATCH($J$3,{"Enero","Febrero","Marzo","Abril","Mayo","Junio","Julio","Agosto","Septiembre","Octubre","Noviembre","Diciembre"},0),26),2),"L","M","X","J","V","S","D"))</f>
        <v>D</v>
      </c>
      <c r="AB7" s="25" t="str">
        <f>IF(AB$8="","",CHOOSE(WEEKDAY(DATE($J$2,MATCH($J$3,{"Enero","Febrero","Marzo","Abril","Mayo","Junio","Julio","Agosto","Septiembre","Octubre","Noviembre","Diciembre"},0),27),2),"L","M","X","J","V","S","D"))</f>
        <v>L</v>
      </c>
      <c r="AC7" s="25" t="str">
        <f>IF(AC$8="","",CHOOSE(WEEKDAY(DATE($J$2,MATCH($J$3,{"Enero","Febrero","Marzo","Abril","Mayo","Junio","Julio","Agosto","Septiembre","Octubre","Noviembre","Diciembre"},0),28),2),"L","M","X","J","V","S","D"))</f>
        <v>M</v>
      </c>
      <c r="AD7" s="26" t="str">
        <f>IF(AD$8="","",CHOOSE(WEEKDAY(DATE($J$2,MATCH($J$3,{"Enero","Febrero","Marzo","Abril","Mayo","Junio","Julio","Agosto","Septiembre","Octubre","Noviembre","Diciembre"},0),29),2),"L","M","X","J","V","S","D"))</f>
        <v>X</v>
      </c>
      <c r="AE7" s="26" t="str">
        <f>IF(AE$8="","",CHOOSE(WEEKDAY(DATE($J$2,MATCH($J$3,{"Enero","Febrero","Marzo","Abril","Mayo","Junio","Julio","Agosto","Septiembre","Octubre","Noviembre","Diciembre"},0),30),2),"L","M","X","J","V","S","D"))</f>
        <v>J</v>
      </c>
      <c r="AF7" s="26" t="str">
        <f>IF(AF$8="","",CHOOSE(WEEKDAY(DATE($J$2,MATCH($J$3,{"Enero","Febrero","Marzo","Abril","Mayo","Junio","Julio","Agosto","Septiembre","Octubre","Noviembre","Diciembre"},0),31),2),"L","M","X","J","V","S","D"))</f>
        <v/>
      </c>
    </row>
    <row r="8" spans="1:35" ht="18" customHeight="1" x14ac:dyDescent="0.25">
      <c r="B8" s="16">
        <f>IF(1&lt;=DAY(DATE($J$2,MATCH($J$3,{"Enero","Febrero","Marzo","Abril","Mayo","Junio","Julio","Agosto","Septiembre","Octubre","Noviembre","Diciembre"},0)+1,0)),1,"")</f>
        <v>1</v>
      </c>
      <c r="C8" s="16">
        <f>IF(2&lt;=DAY(DATE($J$2,MATCH($J$3,{"Enero","Febrero","Marzo","Abril","Mayo","Junio","Julio","Agosto","Septiembre","Octubre","Noviembre","Diciembre"},0)+1,0)),2,"")</f>
        <v>2</v>
      </c>
      <c r="D8" s="16">
        <f>IF(3&lt;=DAY(DATE($J$2,MATCH($J$3,{"Enero","Febrero","Marzo","Abril","Mayo","Junio","Julio","Agosto","Septiembre","Octubre","Noviembre","Diciembre"},0)+1,0)),3,"")</f>
        <v>3</v>
      </c>
      <c r="E8" s="16">
        <f>IF(4&lt;=DAY(DATE($J$2,MATCH($J$3,{"Enero","Febrero","Marzo","Abril","Mayo","Junio","Julio","Agosto","Septiembre","Octubre","Noviembre","Diciembre"},0)+1,0)),4,"")</f>
        <v>4</v>
      </c>
      <c r="F8" s="16">
        <f>IF(5&lt;=DAY(DATE($J$2,MATCH($J$3,{"Enero","Febrero","Marzo","Abril","Mayo","Junio","Julio","Agosto","Septiembre","Octubre","Noviembre","Diciembre"},0)+1,0)),5,"")</f>
        <v>5</v>
      </c>
      <c r="G8" s="16">
        <f>IF(6&lt;=DAY(DATE($J$2,MATCH($J$3,{"Enero","Febrero","Marzo","Abril","Mayo","Junio","Julio","Agosto","Septiembre","Octubre","Noviembre","Diciembre"},0)+1,0)),6,"")</f>
        <v>6</v>
      </c>
      <c r="H8" s="16">
        <f>IF(7&lt;=DAY(DATE($J$2,MATCH($J$3,{"Enero","Febrero","Marzo","Abril","Mayo","Junio","Julio","Agosto","Septiembre","Octubre","Noviembre","Diciembre"},0)+1,0)),7,"")</f>
        <v>7</v>
      </c>
      <c r="I8" s="18">
        <f>IF(8&lt;=DAY(DATE($J$2,MATCH($J$3,{"Enero","Febrero","Marzo","Abril","Mayo","Junio","Julio","Agosto","Septiembre","Octubre","Noviembre","Diciembre"},0)+1,0)),8,"")</f>
        <v>8</v>
      </c>
      <c r="J8" s="18">
        <f>IF(9&lt;=DAY(DATE($J$2,MATCH($J$3,{"Enero","Febrero","Marzo","Abril","Mayo","Junio","Julio","Agosto","Septiembre","Octubre","Noviembre","Diciembre"},0)+1,0)),9,"")</f>
        <v>9</v>
      </c>
      <c r="K8" s="18">
        <f>IF(10&lt;=DAY(DATE($J$2,MATCH($J$3,{"Enero","Febrero","Marzo","Abril","Mayo","Junio","Julio","Agosto","Septiembre","Octubre","Noviembre","Diciembre"},0)+1,0)),10,"")</f>
        <v>10</v>
      </c>
      <c r="L8" s="18">
        <f>IF(11&lt;=DAY(DATE($J$2,MATCH($J$3,{"Enero","Febrero","Marzo","Abril","Mayo","Junio","Julio","Agosto","Septiembre","Octubre","Noviembre","Diciembre"},0)+1,0)),11,"")</f>
        <v>11</v>
      </c>
      <c r="M8" s="18">
        <f>IF(12&lt;=DAY(DATE($J$2,MATCH($J$3,{"Enero","Febrero","Marzo","Abril","Mayo","Junio","Julio","Agosto","Septiembre","Octubre","Noviembre","Diciembre"},0)+1,0)),12,"")</f>
        <v>12</v>
      </c>
      <c r="N8" s="18">
        <f>IF(13&lt;=DAY(DATE($J$2,MATCH($J$3,{"Enero","Febrero","Marzo","Abril","Mayo","Junio","Julio","Agosto","Septiembre","Octubre","Noviembre","Diciembre"},0)+1,0)),13,"")</f>
        <v>13</v>
      </c>
      <c r="O8" s="18">
        <f>IF(14&lt;=DAY(DATE($J$2,MATCH($J$3,{"Enero","Febrero","Marzo","Abril","Mayo","Junio","Julio","Agosto","Septiembre","Octubre","Noviembre","Diciembre"},0)+1,0)),14,"")</f>
        <v>14</v>
      </c>
      <c r="P8" s="19">
        <f>IF(15&lt;=DAY(DATE($J$2,MATCH($J$3,{"Enero","Febrero","Marzo","Abril","Mayo","Junio","Julio","Agosto","Septiembre","Octubre","Noviembre","Diciembre"},0)+1,0)),15,"")</f>
        <v>15</v>
      </c>
      <c r="Q8" s="19">
        <f>IF(16&lt;=DAY(DATE($J$2,MATCH($J$3,{"Enero","Febrero","Marzo","Abril","Mayo","Junio","Julio","Agosto","Septiembre","Octubre","Noviembre","Diciembre"},0)+1,0)),16,"")</f>
        <v>16</v>
      </c>
      <c r="R8" s="19">
        <f>IF(17&lt;=DAY(DATE($J$2,MATCH($J$3,{"Enero","Febrero","Marzo","Abril","Mayo","Junio","Julio","Agosto","Septiembre","Octubre","Noviembre","Diciembre"},0)+1,0)),17,"")</f>
        <v>17</v>
      </c>
      <c r="S8" s="19">
        <f>IF(18&lt;=DAY(DATE($J$2,MATCH($J$3,{"Enero","Febrero","Marzo","Abril","Mayo","Junio","Julio","Agosto","Septiembre","Octubre","Noviembre","Diciembre"},0)+1,0)),18,"")</f>
        <v>18</v>
      </c>
      <c r="T8" s="19">
        <f>IF(19&lt;=DAY(DATE($J$2,MATCH($J$3,{"Enero","Febrero","Marzo","Abril","Mayo","Junio","Julio","Agosto","Septiembre","Octubre","Noviembre","Diciembre"},0)+1,0)),19,"")</f>
        <v>19</v>
      </c>
      <c r="U8" s="19">
        <f>IF(20&lt;=DAY(DATE($J$2,MATCH($J$3,{"Enero","Febrero","Marzo","Abril","Mayo","Junio","Julio","Agosto","Septiembre","Octubre","Noviembre","Diciembre"},0)+1,0)),20,"")</f>
        <v>20</v>
      </c>
      <c r="V8" s="19">
        <f>IF(21&lt;=DAY(DATE($J$2,MATCH($J$3,{"Enero","Febrero","Marzo","Abril","Mayo","Junio","Julio","Agosto","Septiembre","Octubre","Noviembre","Diciembre"},0)+1,0)),21,"")</f>
        <v>21</v>
      </c>
      <c r="W8" s="20">
        <f>IF(22&lt;=DAY(DATE($J$2,MATCH($J$3,{"Enero","Febrero","Marzo","Abril","Mayo","Junio","Julio","Agosto","Septiembre","Octubre","Noviembre","Diciembre"},0)+1,0)),22,"")</f>
        <v>22</v>
      </c>
      <c r="X8" s="20">
        <f>IF(23&lt;=DAY(DATE($J$2,MATCH($J$3,{"Enero","Febrero","Marzo","Abril","Mayo","Junio","Julio","Agosto","Septiembre","Octubre","Noviembre","Diciembre"},0)+1,0)),23,"")</f>
        <v>23</v>
      </c>
      <c r="Y8" s="20">
        <f>IF(24&lt;=DAY(DATE($J$2,MATCH($J$3,{"Enero","Febrero","Marzo","Abril","Mayo","Junio","Julio","Agosto","Septiembre","Octubre","Noviembre","Diciembre"},0)+1,0)),24,"")</f>
        <v>24</v>
      </c>
      <c r="Z8" s="20">
        <f>IF(25&lt;=DAY(DATE($J$2,MATCH($J$3,{"Enero","Febrero","Marzo","Abril","Mayo","Junio","Julio","Agosto","Septiembre","Octubre","Noviembre","Diciembre"},0)+1,0)),25,"")</f>
        <v>25</v>
      </c>
      <c r="AA8" s="20">
        <f>IF(26&lt;=DAY(DATE($J$2,MATCH($J$3,{"Enero","Febrero","Marzo","Abril","Mayo","Junio","Julio","Agosto","Septiembre","Octubre","Noviembre","Diciembre"},0)+1,0)),26,"")</f>
        <v>26</v>
      </c>
      <c r="AB8" s="20">
        <f>IF(27&lt;=DAY(DATE($J$2,MATCH($J$3,{"Enero","Febrero","Marzo","Abril","Mayo","Junio","Julio","Agosto","Septiembre","Octubre","Noviembre","Diciembre"},0)+1,0)),27,"")</f>
        <v>27</v>
      </c>
      <c r="AC8" s="20">
        <f>IF(28&lt;=DAY(DATE($J$2,MATCH($J$3,{"Enero","Febrero","Marzo","Abril","Mayo","Junio","Julio","Agosto","Septiembre","Octubre","Noviembre","Diciembre"},0)+1,0)),28,"")</f>
        <v>28</v>
      </c>
      <c r="AD8" s="21">
        <f>IF(29&lt;=DAY(DATE($J$2,MATCH($J$3,{"Enero","Febrero","Marzo","Abril","Mayo","Junio","Julio","Agosto","Septiembre","Octubre","Noviembre","Diciembre"},0)+1,0)),29,"")</f>
        <v>29</v>
      </c>
      <c r="AE8" s="21">
        <f>IF(30&lt;=DAY(DATE($J$2,MATCH($J$3,{"Enero","Febrero","Marzo","Abril","Mayo","Junio","Julio","Agosto","Septiembre","Octubre","Noviembre","Diciembre"},0)+1,0)),30,"")</f>
        <v>30</v>
      </c>
      <c r="AF8" s="21" t="str">
        <f>IF(31&lt;=DAY(DATE($J$2,MATCH($J$3,{"Enero","Febrero","Marzo","Abril","Mayo","Junio","Julio","Agosto","Septiembre","Octubre","Noviembre","Diciembre"},0)+1,0)),31,"")</f>
        <v/>
      </c>
    </row>
    <row r="9" spans="1:35" ht="21.75" customHeight="1" x14ac:dyDescent="0.25">
      <c r="A9" s="27" t="s">
        <v>16</v>
      </c>
      <c r="B9" s="28" t="s">
        <v>17</v>
      </c>
      <c r="C9" s="28" t="s">
        <v>17</v>
      </c>
      <c r="D9" s="28" t="s">
        <v>17</v>
      </c>
      <c r="E9" s="28" t="s">
        <v>17</v>
      </c>
      <c r="F9" s="28" t="s">
        <v>17</v>
      </c>
      <c r="G9" s="28" t="s">
        <v>17</v>
      </c>
      <c r="H9" s="28"/>
      <c r="I9" s="29" t="s">
        <v>17</v>
      </c>
      <c r="J9" s="29" t="s">
        <v>17</v>
      </c>
      <c r="K9" s="29" t="s">
        <v>17</v>
      </c>
      <c r="L9" s="29" t="s">
        <v>17</v>
      </c>
      <c r="M9" s="29" t="s">
        <v>17</v>
      </c>
      <c r="N9" s="29" t="s">
        <v>17</v>
      </c>
      <c r="O9" s="29"/>
      <c r="P9" s="30" t="s">
        <v>17</v>
      </c>
      <c r="Q9" s="30" t="s">
        <v>17</v>
      </c>
      <c r="R9" s="30" t="s">
        <v>17</v>
      </c>
      <c r="S9" s="30" t="s">
        <v>17</v>
      </c>
      <c r="T9" s="30"/>
      <c r="U9" s="30" t="s">
        <v>17</v>
      </c>
      <c r="V9" s="30" t="s">
        <v>17</v>
      </c>
      <c r="W9" s="31"/>
      <c r="X9" s="31" t="s">
        <v>17</v>
      </c>
      <c r="Y9" s="31" t="s">
        <v>17</v>
      </c>
      <c r="Z9" s="31" t="s">
        <v>17</v>
      </c>
      <c r="AA9" s="31" t="s">
        <v>17</v>
      </c>
      <c r="AB9" s="31"/>
      <c r="AC9" s="31"/>
      <c r="AD9" s="32" t="s">
        <v>17</v>
      </c>
      <c r="AE9" s="32" t="s">
        <v>17</v>
      </c>
      <c r="AF9" s="32" t="s">
        <v>17</v>
      </c>
      <c r="AG9" s="33">
        <v>24</v>
      </c>
      <c r="AH9" s="34">
        <f t="shared" ref="AH9:AH18" si="0">COUNTIF(B9:AF9,"✓")</f>
        <v>25</v>
      </c>
      <c r="AI9" s="47">
        <f t="shared" ref="AI9:AI18" si="1">IFERROR(AH9/AG9,0)</f>
        <v>1.0416666666666667</v>
      </c>
    </row>
    <row r="10" spans="1:35" ht="21.75" customHeight="1" x14ac:dyDescent="0.25">
      <c r="A10" s="27" t="s">
        <v>18</v>
      </c>
      <c r="B10" s="28" t="s">
        <v>17</v>
      </c>
      <c r="C10" s="28"/>
      <c r="D10" s="28" t="s">
        <v>17</v>
      </c>
      <c r="E10" s="28" t="s">
        <v>17</v>
      </c>
      <c r="F10" s="28" t="s">
        <v>17</v>
      </c>
      <c r="G10" s="28" t="s">
        <v>17</v>
      </c>
      <c r="H10" s="28"/>
      <c r="I10" s="29"/>
      <c r="J10" s="29"/>
      <c r="K10" s="29" t="s">
        <v>17</v>
      </c>
      <c r="L10" s="29"/>
      <c r="M10" s="29"/>
      <c r="N10" s="29" t="s">
        <v>17</v>
      </c>
      <c r="O10" s="29" t="s">
        <v>17</v>
      </c>
      <c r="P10" s="30" t="s">
        <v>17</v>
      </c>
      <c r="Q10" s="30" t="s">
        <v>17</v>
      </c>
      <c r="R10" s="30" t="s">
        <v>17</v>
      </c>
      <c r="S10" s="30"/>
      <c r="T10" s="30"/>
      <c r="U10" s="30" t="s">
        <v>17</v>
      </c>
      <c r="V10" s="30" t="s">
        <v>17</v>
      </c>
      <c r="W10" s="31"/>
      <c r="X10" s="31"/>
      <c r="Y10" s="31" t="s">
        <v>17</v>
      </c>
      <c r="Z10" s="31" t="s">
        <v>17</v>
      </c>
      <c r="AA10" s="31" t="s">
        <v>17</v>
      </c>
      <c r="AB10" s="31" t="s">
        <v>17</v>
      </c>
      <c r="AC10" s="31"/>
      <c r="AD10" s="32"/>
      <c r="AE10" s="32" t="s">
        <v>17</v>
      </c>
      <c r="AF10" s="32" t="s">
        <v>17</v>
      </c>
      <c r="AG10" s="33">
        <v>20</v>
      </c>
      <c r="AH10" s="34">
        <f t="shared" si="0"/>
        <v>19</v>
      </c>
      <c r="AI10" s="47">
        <f t="shared" si="1"/>
        <v>0.95</v>
      </c>
    </row>
    <row r="11" spans="1:35" ht="21.75" customHeight="1" x14ac:dyDescent="0.25">
      <c r="A11" s="27" t="s">
        <v>19</v>
      </c>
      <c r="B11" s="28"/>
      <c r="C11" s="28" t="s">
        <v>17</v>
      </c>
      <c r="D11" s="28" t="s">
        <v>17</v>
      </c>
      <c r="E11" s="28"/>
      <c r="F11" s="28"/>
      <c r="G11" s="28"/>
      <c r="H11" s="28"/>
      <c r="I11" s="29"/>
      <c r="J11" s="29" t="s">
        <v>17</v>
      </c>
      <c r="K11" s="29" t="s">
        <v>17</v>
      </c>
      <c r="L11" s="29" t="s">
        <v>17</v>
      </c>
      <c r="M11" s="29"/>
      <c r="N11" s="29"/>
      <c r="O11" s="29"/>
      <c r="P11" s="30"/>
      <c r="Q11" s="30" t="s">
        <v>17</v>
      </c>
      <c r="R11" s="30" t="s">
        <v>17</v>
      </c>
      <c r="S11" s="30" t="s">
        <v>17</v>
      </c>
      <c r="T11" s="30"/>
      <c r="U11" s="30" t="s">
        <v>17</v>
      </c>
      <c r="V11" s="30"/>
      <c r="W11" s="31"/>
      <c r="X11" s="31" t="s">
        <v>17</v>
      </c>
      <c r="Y11" s="31" t="s">
        <v>17</v>
      </c>
      <c r="Z11" s="31" t="s">
        <v>17</v>
      </c>
      <c r="AA11" s="31" t="s">
        <v>17</v>
      </c>
      <c r="AB11" s="31"/>
      <c r="AC11" s="31"/>
      <c r="AD11" s="32"/>
      <c r="AE11" s="32" t="s">
        <v>17</v>
      </c>
      <c r="AF11" s="32" t="s">
        <v>17</v>
      </c>
      <c r="AG11" s="33">
        <v>15</v>
      </c>
      <c r="AH11" s="34">
        <f t="shared" si="0"/>
        <v>15</v>
      </c>
      <c r="AI11" s="47">
        <f t="shared" si="1"/>
        <v>1</v>
      </c>
    </row>
    <row r="12" spans="1:35" ht="21.75" customHeight="1" x14ac:dyDescent="0.25">
      <c r="A12" s="27" t="s">
        <v>20</v>
      </c>
      <c r="B12" s="28"/>
      <c r="C12" s="28" t="s">
        <v>17</v>
      </c>
      <c r="D12" s="28"/>
      <c r="E12" s="28" t="s">
        <v>17</v>
      </c>
      <c r="F12" s="28"/>
      <c r="G12" s="28" t="s">
        <v>17</v>
      </c>
      <c r="H12" s="28" t="s">
        <v>17</v>
      </c>
      <c r="I12" s="29"/>
      <c r="J12" s="29"/>
      <c r="K12" s="29"/>
      <c r="L12" s="29" t="s">
        <v>17</v>
      </c>
      <c r="M12" s="29"/>
      <c r="N12" s="29"/>
      <c r="O12" s="29" t="s">
        <v>17</v>
      </c>
      <c r="P12" s="30"/>
      <c r="Q12" s="30"/>
      <c r="R12" s="30"/>
      <c r="S12" s="30"/>
      <c r="T12" s="30" t="s">
        <v>17</v>
      </c>
      <c r="U12" s="30" t="s">
        <v>17</v>
      </c>
      <c r="V12" s="30"/>
      <c r="W12" s="31" t="s">
        <v>17</v>
      </c>
      <c r="X12" s="31" t="s">
        <v>17</v>
      </c>
      <c r="Y12" s="31"/>
      <c r="Z12" s="31"/>
      <c r="AA12" s="31"/>
      <c r="AB12" s="31" t="s">
        <v>17</v>
      </c>
      <c r="AC12" s="31"/>
      <c r="AD12" s="32"/>
      <c r="AE12" s="32"/>
      <c r="AF12" s="32"/>
      <c r="AG12" s="33">
        <v>12</v>
      </c>
      <c r="AH12" s="34">
        <f t="shared" si="0"/>
        <v>11</v>
      </c>
      <c r="AI12" s="47">
        <f t="shared" si="1"/>
        <v>0.91666666666666663</v>
      </c>
    </row>
    <row r="13" spans="1:35" ht="21.75" customHeight="1" x14ac:dyDescent="0.25">
      <c r="A13" s="27" t="s">
        <v>21</v>
      </c>
      <c r="B13" s="28"/>
      <c r="C13" s="28" t="s">
        <v>17</v>
      </c>
      <c r="D13" s="28" t="s">
        <v>17</v>
      </c>
      <c r="E13" s="28" t="s">
        <v>17</v>
      </c>
      <c r="F13" s="28" t="s">
        <v>17</v>
      </c>
      <c r="G13" s="28"/>
      <c r="H13" s="28" t="s">
        <v>17</v>
      </c>
      <c r="I13" s="29"/>
      <c r="J13" s="29" t="s">
        <v>17</v>
      </c>
      <c r="K13" s="29"/>
      <c r="L13" s="29" t="s">
        <v>17</v>
      </c>
      <c r="M13" s="29"/>
      <c r="N13" s="29" t="s">
        <v>17</v>
      </c>
      <c r="O13" s="29"/>
      <c r="P13" s="30"/>
      <c r="Q13" s="30" t="s">
        <v>17</v>
      </c>
      <c r="R13" s="30"/>
      <c r="S13" s="30"/>
      <c r="T13" s="30" t="s">
        <v>17</v>
      </c>
      <c r="U13" s="30"/>
      <c r="V13" s="30"/>
      <c r="W13" s="31"/>
      <c r="X13" s="31" t="s">
        <v>17</v>
      </c>
      <c r="Y13" s="31" t="s">
        <v>17</v>
      </c>
      <c r="Z13" s="31"/>
      <c r="AA13" s="31"/>
      <c r="AB13" s="31"/>
      <c r="AC13" s="31"/>
      <c r="AD13" s="32"/>
      <c r="AE13" s="32"/>
      <c r="AF13" s="32"/>
      <c r="AG13" s="33">
        <v>12</v>
      </c>
      <c r="AH13" s="34">
        <f t="shared" si="0"/>
        <v>12</v>
      </c>
      <c r="AI13" s="47">
        <f t="shared" si="1"/>
        <v>1</v>
      </c>
    </row>
    <row r="14" spans="1:35" ht="21.75" customHeight="1" x14ac:dyDescent="0.25">
      <c r="A14" s="27" t="s">
        <v>22</v>
      </c>
      <c r="B14" s="28"/>
      <c r="C14" s="28" t="s">
        <v>17</v>
      </c>
      <c r="D14" s="28" t="s">
        <v>17</v>
      </c>
      <c r="E14" s="28" t="s">
        <v>17</v>
      </c>
      <c r="F14" s="28" t="s">
        <v>17</v>
      </c>
      <c r="G14" s="28" t="s">
        <v>17</v>
      </c>
      <c r="H14" s="28" t="s">
        <v>17</v>
      </c>
      <c r="I14" s="29" t="s">
        <v>17</v>
      </c>
      <c r="J14" s="29" t="s">
        <v>17</v>
      </c>
      <c r="K14" s="29" t="s">
        <v>17</v>
      </c>
      <c r="L14" s="29"/>
      <c r="M14" s="29"/>
      <c r="N14" s="29" t="s">
        <v>17</v>
      </c>
      <c r="O14" s="29" t="s">
        <v>17</v>
      </c>
      <c r="P14" s="30" t="s">
        <v>17</v>
      </c>
      <c r="Q14" s="30"/>
      <c r="R14" s="30" t="s">
        <v>17</v>
      </c>
      <c r="S14" s="30" t="s">
        <v>17</v>
      </c>
      <c r="T14" s="30"/>
      <c r="U14" s="30"/>
      <c r="V14" s="30"/>
      <c r="W14" s="31" t="s">
        <v>17</v>
      </c>
      <c r="X14" s="31"/>
      <c r="Y14" s="31" t="s">
        <v>17</v>
      </c>
      <c r="Z14" s="31"/>
      <c r="AA14" s="31" t="s">
        <v>17</v>
      </c>
      <c r="AB14" s="31"/>
      <c r="AC14" s="31" t="s">
        <v>17</v>
      </c>
      <c r="AD14" s="32"/>
      <c r="AE14" s="32"/>
      <c r="AF14" s="32"/>
      <c r="AG14" s="33">
        <v>18</v>
      </c>
      <c r="AH14" s="34">
        <f t="shared" si="0"/>
        <v>18</v>
      </c>
      <c r="AI14" s="47">
        <f t="shared" si="1"/>
        <v>1</v>
      </c>
    </row>
    <row r="15" spans="1:35" ht="21.75" customHeight="1" x14ac:dyDescent="0.25">
      <c r="A15" s="27" t="s">
        <v>23</v>
      </c>
      <c r="B15" s="28" t="s">
        <v>17</v>
      </c>
      <c r="C15" s="28"/>
      <c r="D15" s="28" t="s">
        <v>17</v>
      </c>
      <c r="E15" s="28" t="s">
        <v>17</v>
      </c>
      <c r="F15" s="28"/>
      <c r="G15" s="28"/>
      <c r="H15" s="28"/>
      <c r="I15" s="29" t="s">
        <v>17</v>
      </c>
      <c r="J15" s="29" t="s">
        <v>17</v>
      </c>
      <c r="K15" s="29" t="s">
        <v>17</v>
      </c>
      <c r="L15" s="29" t="s">
        <v>17</v>
      </c>
      <c r="M15" s="29" t="s">
        <v>17</v>
      </c>
      <c r="N15" s="29" t="s">
        <v>17</v>
      </c>
      <c r="O15" s="29"/>
      <c r="P15" s="30" t="s">
        <v>17</v>
      </c>
      <c r="Q15" s="30" t="s">
        <v>17</v>
      </c>
      <c r="R15" s="30"/>
      <c r="S15" s="30" t="s">
        <v>17</v>
      </c>
      <c r="T15" s="30" t="s">
        <v>17</v>
      </c>
      <c r="U15" s="30" t="s">
        <v>17</v>
      </c>
      <c r="V15" s="30"/>
      <c r="W15" s="31"/>
      <c r="X15" s="31" t="s">
        <v>17</v>
      </c>
      <c r="Y15" s="31"/>
      <c r="Z15" s="31"/>
      <c r="AA15" s="31"/>
      <c r="AB15" s="31"/>
      <c r="AC15" s="31"/>
      <c r="AD15" s="32"/>
      <c r="AE15" s="32"/>
      <c r="AF15" s="32" t="s">
        <v>17</v>
      </c>
      <c r="AG15" s="33">
        <v>16</v>
      </c>
      <c r="AH15" s="34">
        <f t="shared" si="0"/>
        <v>16</v>
      </c>
      <c r="AI15" s="47">
        <f t="shared" si="1"/>
        <v>1</v>
      </c>
    </row>
    <row r="16" spans="1:35" ht="21.75" customHeight="1" x14ac:dyDescent="0.25">
      <c r="A16" s="27" t="s">
        <v>24</v>
      </c>
      <c r="B16" s="28"/>
      <c r="C16" s="28"/>
      <c r="D16" s="28" t="s">
        <v>17</v>
      </c>
      <c r="E16" s="28" t="s">
        <v>17</v>
      </c>
      <c r="F16" s="28" t="s">
        <v>17</v>
      </c>
      <c r="G16" s="28" t="s">
        <v>17</v>
      </c>
      <c r="H16" s="28"/>
      <c r="I16" s="29"/>
      <c r="J16" s="29" t="s">
        <v>17</v>
      </c>
      <c r="K16" s="29" t="s">
        <v>17</v>
      </c>
      <c r="L16" s="29" t="s">
        <v>17</v>
      </c>
      <c r="M16" s="29"/>
      <c r="N16" s="29"/>
      <c r="O16" s="29"/>
      <c r="P16" s="30" t="s">
        <v>17</v>
      </c>
      <c r="Q16" s="30" t="s">
        <v>17</v>
      </c>
      <c r="R16" s="30" t="s">
        <v>17</v>
      </c>
      <c r="S16" s="30"/>
      <c r="T16" s="30" t="s">
        <v>17</v>
      </c>
      <c r="U16" s="30"/>
      <c r="V16" s="30"/>
      <c r="W16" s="31"/>
      <c r="X16" s="31"/>
      <c r="Y16" s="31"/>
      <c r="Z16" s="31" t="s">
        <v>17</v>
      </c>
      <c r="AA16" s="31" t="s">
        <v>17</v>
      </c>
      <c r="AB16" s="31"/>
      <c r="AC16" s="31"/>
      <c r="AD16" s="32"/>
      <c r="AE16" s="32"/>
      <c r="AF16" s="32"/>
      <c r="AG16" s="33">
        <v>14</v>
      </c>
      <c r="AH16" s="34">
        <f t="shared" si="0"/>
        <v>13</v>
      </c>
      <c r="AI16" s="47">
        <f t="shared" si="1"/>
        <v>0.9285714285714286</v>
      </c>
    </row>
    <row r="17" spans="1:35" ht="21.75" customHeight="1" x14ac:dyDescent="0.25">
      <c r="A17" s="27" t="s">
        <v>25</v>
      </c>
      <c r="B17" s="28"/>
      <c r="C17" s="28" t="s">
        <v>17</v>
      </c>
      <c r="D17" s="28" t="s">
        <v>17</v>
      </c>
      <c r="E17" s="28" t="s">
        <v>17</v>
      </c>
      <c r="F17" s="28" t="s">
        <v>17</v>
      </c>
      <c r="G17" s="28" t="s">
        <v>17</v>
      </c>
      <c r="H17" s="28"/>
      <c r="I17" s="29"/>
      <c r="J17" s="29"/>
      <c r="K17" s="29"/>
      <c r="L17" s="29" t="s">
        <v>17</v>
      </c>
      <c r="M17" s="29" t="s">
        <v>17</v>
      </c>
      <c r="N17" s="29"/>
      <c r="O17" s="29"/>
      <c r="P17" s="30" t="s">
        <v>17</v>
      </c>
      <c r="Q17" s="30" t="s">
        <v>17</v>
      </c>
      <c r="R17" s="30" t="s">
        <v>17</v>
      </c>
      <c r="S17" s="30" t="s">
        <v>17</v>
      </c>
      <c r="T17" s="30" t="s">
        <v>17</v>
      </c>
      <c r="U17" s="30" t="s">
        <v>17</v>
      </c>
      <c r="V17" s="30" t="s">
        <v>17</v>
      </c>
      <c r="W17" s="31"/>
      <c r="X17" s="31" t="s">
        <v>17</v>
      </c>
      <c r="Y17" s="31" t="s">
        <v>17</v>
      </c>
      <c r="Z17" s="31" t="s">
        <v>17</v>
      </c>
      <c r="AA17" s="31"/>
      <c r="AB17" s="31"/>
      <c r="AC17" s="31" t="s">
        <v>17</v>
      </c>
      <c r="AD17" s="32"/>
      <c r="AE17" s="32" t="s">
        <v>17</v>
      </c>
      <c r="AF17" s="32" t="s">
        <v>17</v>
      </c>
      <c r="AG17" s="33">
        <v>20</v>
      </c>
      <c r="AH17" s="34">
        <f t="shared" si="0"/>
        <v>20</v>
      </c>
      <c r="AI17" s="47">
        <f t="shared" si="1"/>
        <v>1</v>
      </c>
    </row>
    <row r="18" spans="1:35" ht="21.75" customHeight="1" x14ac:dyDescent="0.25">
      <c r="A18" s="27" t="s">
        <v>26</v>
      </c>
      <c r="B18" s="28"/>
      <c r="C18" s="28" t="s">
        <v>17</v>
      </c>
      <c r="D18" s="28" t="s">
        <v>17</v>
      </c>
      <c r="E18" s="28" t="s">
        <v>17</v>
      </c>
      <c r="F18" s="28" t="s">
        <v>17</v>
      </c>
      <c r="G18" s="28" t="s">
        <v>17</v>
      </c>
      <c r="H18" s="28"/>
      <c r="I18" s="29"/>
      <c r="J18" s="29" t="s">
        <v>17</v>
      </c>
      <c r="K18" s="29" t="s">
        <v>17</v>
      </c>
      <c r="L18" s="29"/>
      <c r="M18" s="29" t="s">
        <v>17</v>
      </c>
      <c r="N18" s="29" t="s">
        <v>17</v>
      </c>
      <c r="O18" s="29" t="s">
        <v>17</v>
      </c>
      <c r="P18" s="30" t="s">
        <v>17</v>
      </c>
      <c r="Q18" s="30" t="s">
        <v>17</v>
      </c>
      <c r="R18" s="30" t="s">
        <v>17</v>
      </c>
      <c r="S18" s="30" t="s">
        <v>17</v>
      </c>
      <c r="T18" s="30" t="s">
        <v>17</v>
      </c>
      <c r="U18" s="30" t="s">
        <v>17</v>
      </c>
      <c r="V18" s="30" t="s">
        <v>17</v>
      </c>
      <c r="W18" s="31" t="s">
        <v>17</v>
      </c>
      <c r="X18" s="31" t="s">
        <v>17</v>
      </c>
      <c r="Y18" s="31"/>
      <c r="Z18" s="31" t="s">
        <v>17</v>
      </c>
      <c r="AA18" s="31" t="s">
        <v>17</v>
      </c>
      <c r="AB18" s="31" t="s">
        <v>17</v>
      </c>
      <c r="AC18" s="31" t="s">
        <v>17</v>
      </c>
      <c r="AD18" s="32" t="s">
        <v>17</v>
      </c>
      <c r="AE18" s="32" t="s">
        <v>17</v>
      </c>
      <c r="AF18" s="32"/>
      <c r="AG18" s="33">
        <v>24</v>
      </c>
      <c r="AH18" s="34">
        <f t="shared" si="0"/>
        <v>25</v>
      </c>
      <c r="AI18" s="47">
        <f t="shared" si="1"/>
        <v>1.0416666666666667</v>
      </c>
    </row>
    <row r="20" spans="1:35" ht="19.5" customHeight="1" x14ac:dyDescent="0.25">
      <c r="A20" s="36" t="s">
        <v>27</v>
      </c>
      <c r="B20" s="37">
        <f>IF(1&lt;=DAY(DATE($J$2,MATCH($J$3,{"Enero","Febrero","Marzo","Abril","Mayo","Junio","Julio","Agosto","Septiembre","Octubre","Noviembre","Diciembre"},0)+1,0)),COUNTIF(B$9:B$18,"✓")/COUNTA($A$9:$A$18),"")</f>
        <v>0.3</v>
      </c>
      <c r="C20" s="37">
        <f>IF(2&lt;=DAY(DATE($J$2,MATCH($J$3,{"Enero","Febrero","Marzo","Abril","Mayo","Junio","Julio","Agosto","Septiembre","Octubre","Noviembre","Diciembre"},0)+1,0)),COUNTIF(C$9:C$18,"✓")/COUNTA($A$9:$A$18),"")</f>
        <v>0.7</v>
      </c>
      <c r="D20" s="37">
        <f>IF(3&lt;=DAY(DATE($J$2,MATCH($J$3,{"Enero","Febrero","Marzo","Abril","Mayo","Junio","Julio","Agosto","Septiembre","Octubre","Noviembre","Diciembre"},0)+1,0)),COUNTIF(D$9:D$18,"✓")/COUNTA($A$9:$A$18),"")</f>
        <v>0.9</v>
      </c>
      <c r="E20" s="37">
        <f>IF(4&lt;=DAY(DATE($J$2,MATCH($J$3,{"Enero","Febrero","Marzo","Abril","Mayo","Junio","Julio","Agosto","Septiembre","Octubre","Noviembre","Diciembre"},0)+1,0)),COUNTIF(E$9:E$18,"✓")/COUNTA($A$9:$A$18),"")</f>
        <v>0.9</v>
      </c>
      <c r="F20" s="37">
        <f>IF(5&lt;=DAY(DATE($J$2,MATCH($J$3,{"Enero","Febrero","Marzo","Abril","Mayo","Junio","Julio","Agosto","Septiembre","Octubre","Noviembre","Diciembre"},0)+1,0)),COUNTIF(F$9:F$18,"✓")/COUNTA($A$9:$A$18),"")</f>
        <v>0.7</v>
      </c>
      <c r="G20" s="37">
        <f>IF(6&lt;=DAY(DATE($J$2,MATCH($J$3,{"Enero","Febrero","Marzo","Abril","Mayo","Junio","Julio","Agosto","Septiembre","Octubre","Noviembre","Diciembre"},0)+1,0)),COUNTIF(G$9:G$18,"✓")/COUNTA($A$9:$A$18),"")</f>
        <v>0.7</v>
      </c>
      <c r="H20" s="37">
        <f>IF(7&lt;=DAY(DATE($J$2,MATCH($J$3,{"Enero","Febrero","Marzo","Abril","Mayo","Junio","Julio","Agosto","Septiembre","Octubre","Noviembre","Diciembre"},0)+1,0)),COUNTIF(H$9:H$18,"✓")/COUNTA($A$9:$A$18),"")</f>
        <v>0.3</v>
      </c>
      <c r="I20" s="37">
        <f>IF(8&lt;=DAY(DATE($J$2,MATCH($J$3,{"Enero","Febrero","Marzo","Abril","Mayo","Junio","Julio","Agosto","Septiembre","Octubre","Noviembre","Diciembre"},0)+1,0)),COUNTIF(I$9:I$18,"✓")/COUNTA($A$9:$A$18),"")</f>
        <v>0.3</v>
      </c>
      <c r="J20" s="37">
        <f>IF(9&lt;=DAY(DATE($J$2,MATCH($J$3,{"Enero","Febrero","Marzo","Abril","Mayo","Junio","Julio","Agosto","Septiembre","Octubre","Noviembre","Diciembre"},0)+1,0)),COUNTIF(J$9:J$18,"✓")/COUNTA($A$9:$A$18),"")</f>
        <v>0.7</v>
      </c>
      <c r="K20" s="37">
        <f>IF(10&lt;=DAY(DATE($J$2,MATCH($J$3,{"Enero","Febrero","Marzo","Abril","Mayo","Junio","Julio","Agosto","Septiembre","Octubre","Noviembre","Diciembre"},0)+1,0)),COUNTIF(K$9:K$18,"✓")/COUNTA($A$9:$A$18),"")</f>
        <v>0.7</v>
      </c>
      <c r="L20" s="37">
        <f>IF(11&lt;=DAY(DATE($J$2,MATCH($J$3,{"Enero","Febrero","Marzo","Abril","Mayo","Junio","Julio","Agosto","Septiembre","Octubre","Noviembre","Diciembre"},0)+1,0)),COUNTIF(L$9:L$18,"✓")/COUNTA($A$9:$A$18),"")</f>
        <v>0.7</v>
      </c>
      <c r="M20" s="37">
        <f>IF(12&lt;=DAY(DATE($J$2,MATCH($J$3,{"Enero","Febrero","Marzo","Abril","Mayo","Junio","Julio","Agosto","Septiembre","Octubre","Noviembre","Diciembre"},0)+1,0)),COUNTIF(M$9:M$18,"✓")/COUNTA($A$9:$A$18),"")</f>
        <v>0.4</v>
      </c>
      <c r="N20" s="37">
        <f>IF(13&lt;=DAY(DATE($J$2,MATCH($J$3,{"Enero","Febrero","Marzo","Abril","Mayo","Junio","Julio","Agosto","Septiembre","Octubre","Noviembre","Diciembre"},0)+1,0)),COUNTIF(N$9:N$18,"✓")/COUNTA($A$9:$A$18),"")</f>
        <v>0.6</v>
      </c>
      <c r="O20" s="37">
        <f>IF(14&lt;=DAY(DATE($J$2,MATCH($J$3,{"Enero","Febrero","Marzo","Abril","Mayo","Junio","Julio","Agosto","Septiembre","Octubre","Noviembre","Diciembre"},0)+1,0)),COUNTIF(O$9:O$18,"✓")/COUNTA($A$9:$A$18),"")</f>
        <v>0.4</v>
      </c>
      <c r="P20" s="37">
        <f>IF(15&lt;=DAY(DATE($J$2,MATCH($J$3,{"Enero","Febrero","Marzo","Abril","Mayo","Junio","Julio","Agosto","Septiembre","Octubre","Noviembre","Diciembre"},0)+1,0)),COUNTIF(P$9:P$18,"✓")/COUNTA($A$9:$A$18),"")</f>
        <v>0.7</v>
      </c>
      <c r="Q20" s="37">
        <f>IF(16&lt;=DAY(DATE($J$2,MATCH($J$3,{"Enero","Febrero","Marzo","Abril","Mayo","Junio","Julio","Agosto","Septiembre","Octubre","Noviembre","Diciembre"},0)+1,0)),COUNTIF(Q$9:Q$18,"✓")/COUNTA($A$9:$A$18),"")</f>
        <v>0.8</v>
      </c>
      <c r="R20" s="37">
        <f>IF(17&lt;=DAY(DATE($J$2,MATCH($J$3,{"Enero","Febrero","Marzo","Abril","Mayo","Junio","Julio","Agosto","Septiembre","Octubre","Noviembre","Diciembre"},0)+1,0)),COUNTIF(R$9:R$18,"✓")/COUNTA($A$9:$A$18),"")</f>
        <v>0.7</v>
      </c>
      <c r="S20" s="37">
        <f>IF(18&lt;=DAY(DATE($J$2,MATCH($J$3,{"Enero","Febrero","Marzo","Abril","Mayo","Junio","Julio","Agosto","Septiembre","Octubre","Noviembre","Diciembre"},0)+1,0)),COUNTIF(S$9:S$18,"✓")/COUNTA($A$9:$A$18),"")</f>
        <v>0.6</v>
      </c>
      <c r="T20" s="37">
        <f>IF(19&lt;=DAY(DATE($J$2,MATCH($J$3,{"Enero","Febrero","Marzo","Abril","Mayo","Junio","Julio","Agosto","Septiembre","Octubre","Noviembre","Diciembre"},0)+1,0)),COUNTIF(T$9:T$18,"✓")/COUNTA($A$9:$A$18),"")</f>
        <v>0.6</v>
      </c>
      <c r="U20" s="37">
        <f>IF(20&lt;=DAY(DATE($J$2,MATCH($J$3,{"Enero","Febrero","Marzo","Abril","Mayo","Junio","Julio","Agosto","Septiembre","Octubre","Noviembre","Diciembre"},0)+1,0)),COUNTIF(U$9:U$18,"✓")/COUNTA($A$9:$A$18),"")</f>
        <v>0.7</v>
      </c>
      <c r="V20" s="37">
        <f>IF(21&lt;=DAY(DATE($J$2,MATCH($J$3,{"Enero","Febrero","Marzo","Abril","Mayo","Junio","Julio","Agosto","Septiembre","Octubre","Noviembre","Diciembre"},0)+1,0)),COUNTIF(V$9:V$18,"✓")/COUNTA($A$9:$A$18),"")</f>
        <v>0.4</v>
      </c>
      <c r="W20" s="37">
        <f>IF(22&lt;=DAY(DATE($J$2,MATCH($J$3,{"Enero","Febrero","Marzo","Abril","Mayo","Junio","Julio","Agosto","Septiembre","Octubre","Noviembre","Diciembre"},0)+1,0)),COUNTIF(W$9:W$18,"✓")/COUNTA($A$9:$A$18),"")</f>
        <v>0.3</v>
      </c>
      <c r="X20" s="37">
        <f>IF(23&lt;=DAY(DATE($J$2,MATCH($J$3,{"Enero","Febrero","Marzo","Abril","Mayo","Junio","Julio","Agosto","Septiembre","Octubre","Noviembre","Diciembre"},0)+1,0)),COUNTIF(X$9:X$18,"✓")/COUNTA($A$9:$A$18),"")</f>
        <v>0.7</v>
      </c>
      <c r="Y20" s="37">
        <f>IF(24&lt;=DAY(DATE($J$2,MATCH($J$3,{"Enero","Febrero","Marzo","Abril","Mayo","Junio","Julio","Agosto","Septiembre","Octubre","Noviembre","Diciembre"},0)+1,0)),COUNTIF(Y$9:Y$18,"✓")/COUNTA($A$9:$A$18),"")</f>
        <v>0.6</v>
      </c>
      <c r="Z20" s="37">
        <f>IF(25&lt;=DAY(DATE($J$2,MATCH($J$3,{"Enero","Febrero","Marzo","Abril","Mayo","Junio","Julio","Agosto","Septiembre","Octubre","Noviembre","Diciembre"},0)+1,0)),COUNTIF(Z$9:Z$18,"✓")/COUNTA($A$9:$A$18),"")</f>
        <v>0.6</v>
      </c>
      <c r="AA20" s="37">
        <f>IF(26&lt;=DAY(DATE($J$2,MATCH($J$3,{"Enero","Febrero","Marzo","Abril","Mayo","Junio","Julio","Agosto","Septiembre","Octubre","Noviembre","Diciembre"},0)+1,0)),COUNTIF(AA$9:AA$18,"✓")/COUNTA($A$9:$A$18),"")</f>
        <v>0.6</v>
      </c>
      <c r="AB20" s="37">
        <f>IF(27&lt;=DAY(DATE($J$2,MATCH($J$3,{"Enero","Febrero","Marzo","Abril","Mayo","Junio","Julio","Agosto","Septiembre","Octubre","Noviembre","Diciembre"},0)+1,0)),COUNTIF(AB$9:AB$18,"✓")/COUNTA($A$9:$A$18),"")</f>
        <v>0.3</v>
      </c>
      <c r="AC20" s="37">
        <f>IF(28&lt;=DAY(DATE($J$2,MATCH($J$3,{"Enero","Febrero","Marzo","Abril","Mayo","Junio","Julio","Agosto","Septiembre","Octubre","Noviembre","Diciembre"},0)+1,0)),COUNTIF(AC$9:AC$18,"✓")/COUNTA($A$9:$A$18),"")</f>
        <v>0.3</v>
      </c>
      <c r="AD20" s="37">
        <f>IF(29&lt;=DAY(DATE($J$2,MATCH($J$3,{"Enero","Febrero","Marzo","Abril","Mayo","Junio","Julio","Agosto","Septiembre","Octubre","Noviembre","Diciembre"},0)+1,0)),COUNTIF(AD$9:AD$18,"✓")/COUNTA($A$9:$A$18),"")</f>
        <v>0.2</v>
      </c>
      <c r="AE20" s="37">
        <f>IF(30&lt;=DAY(DATE($J$2,MATCH($J$3,{"Enero","Febrero","Marzo","Abril","Mayo","Junio","Julio","Agosto","Septiembre","Octubre","Noviembre","Diciembre"},0)+1,0)),COUNTIF(AE$9:AE$18,"✓")/COUNTA($A$9:$A$18),"")</f>
        <v>0.5</v>
      </c>
      <c r="AF20" s="37" t="str">
        <f>IF(31&lt;=DAY(DATE($J$2,MATCH($J$3,{"Enero","Febrero","Marzo","Abril","Mayo","Junio","Julio","Agosto","Septiembre","Octubre","Noviembre","Diciembre"},0)+1,0)),COUNTIF(AF$9:AF$18,"✓")/COUNTA($A$9:$A$18),"")</f>
        <v/>
      </c>
    </row>
    <row r="21" spans="1:35" ht="19.5" customHeight="1" x14ac:dyDescent="0.25">
      <c r="A21" s="36" t="s">
        <v>3</v>
      </c>
      <c r="B21" s="34">
        <f>IF(1&lt;=DAY(DATE($J$2,MATCH($J$3,{"Enero","Febrero","Marzo","Abril","Mayo","Junio","Julio","Agosto","Septiembre","Octubre","Noviembre","Diciembre"},0)+1,0)),COUNTIF(B$9:B$18,"✓"),"")</f>
        <v>3</v>
      </c>
      <c r="C21" s="34">
        <f>IF(2&lt;=DAY(DATE($J$2,MATCH($J$3,{"Enero","Febrero","Marzo","Abril","Mayo","Junio","Julio","Agosto","Septiembre","Octubre","Noviembre","Diciembre"},0)+1,0)),COUNTIF(C$9:C$18,"✓"),"")</f>
        <v>7</v>
      </c>
      <c r="D21" s="34">
        <f>IF(3&lt;=DAY(DATE($J$2,MATCH($J$3,{"Enero","Febrero","Marzo","Abril","Mayo","Junio","Julio","Agosto","Septiembre","Octubre","Noviembre","Diciembre"},0)+1,0)),COUNTIF(D$9:D$18,"✓"),"")</f>
        <v>9</v>
      </c>
      <c r="E21" s="34">
        <f>IF(4&lt;=DAY(DATE($J$2,MATCH($J$3,{"Enero","Febrero","Marzo","Abril","Mayo","Junio","Julio","Agosto","Septiembre","Octubre","Noviembre","Diciembre"},0)+1,0)),COUNTIF(E$9:E$18,"✓"),"")</f>
        <v>9</v>
      </c>
      <c r="F21" s="34">
        <f>IF(5&lt;=DAY(DATE($J$2,MATCH($J$3,{"Enero","Febrero","Marzo","Abril","Mayo","Junio","Julio","Agosto","Septiembre","Octubre","Noviembre","Diciembre"},0)+1,0)),COUNTIF(F$9:F$18,"✓"),"")</f>
        <v>7</v>
      </c>
      <c r="G21" s="34">
        <f>IF(6&lt;=DAY(DATE($J$2,MATCH($J$3,{"Enero","Febrero","Marzo","Abril","Mayo","Junio","Julio","Agosto","Septiembre","Octubre","Noviembre","Diciembre"},0)+1,0)),COUNTIF(G$9:G$18,"✓"),"")</f>
        <v>7</v>
      </c>
      <c r="H21" s="34">
        <f>IF(7&lt;=DAY(DATE($J$2,MATCH($J$3,{"Enero","Febrero","Marzo","Abril","Mayo","Junio","Julio","Agosto","Septiembre","Octubre","Noviembre","Diciembre"},0)+1,0)),COUNTIF(H$9:H$18,"✓"),"")</f>
        <v>3</v>
      </c>
      <c r="I21" s="34">
        <f>IF(8&lt;=DAY(DATE($J$2,MATCH($J$3,{"Enero","Febrero","Marzo","Abril","Mayo","Junio","Julio","Agosto","Septiembre","Octubre","Noviembre","Diciembre"},0)+1,0)),COUNTIF(I$9:I$18,"✓"),"")</f>
        <v>3</v>
      </c>
      <c r="J21" s="34">
        <f>IF(9&lt;=DAY(DATE($J$2,MATCH($J$3,{"Enero","Febrero","Marzo","Abril","Mayo","Junio","Julio","Agosto","Septiembre","Octubre","Noviembre","Diciembre"},0)+1,0)),COUNTIF(J$9:J$18,"✓"),"")</f>
        <v>7</v>
      </c>
      <c r="K21" s="34">
        <f>IF(10&lt;=DAY(DATE($J$2,MATCH($J$3,{"Enero","Febrero","Marzo","Abril","Mayo","Junio","Julio","Agosto","Septiembre","Octubre","Noviembre","Diciembre"},0)+1,0)),COUNTIF(K$9:K$18,"✓"),"")</f>
        <v>7</v>
      </c>
      <c r="L21" s="34">
        <f>IF(11&lt;=DAY(DATE($J$2,MATCH($J$3,{"Enero","Febrero","Marzo","Abril","Mayo","Junio","Julio","Agosto","Septiembre","Octubre","Noviembre","Diciembre"},0)+1,0)),COUNTIF(L$9:L$18,"✓"),"")</f>
        <v>7</v>
      </c>
      <c r="M21" s="34">
        <f>IF(12&lt;=DAY(DATE($J$2,MATCH($J$3,{"Enero","Febrero","Marzo","Abril","Mayo","Junio","Julio","Agosto","Septiembre","Octubre","Noviembre","Diciembre"},0)+1,0)),COUNTIF(M$9:M$18,"✓"),"")</f>
        <v>4</v>
      </c>
      <c r="N21" s="34">
        <f>IF(13&lt;=DAY(DATE($J$2,MATCH($J$3,{"Enero","Febrero","Marzo","Abril","Mayo","Junio","Julio","Agosto","Septiembre","Octubre","Noviembre","Diciembre"},0)+1,0)),COUNTIF(N$9:N$18,"✓"),"")</f>
        <v>6</v>
      </c>
      <c r="O21" s="34">
        <f>IF(14&lt;=DAY(DATE($J$2,MATCH($J$3,{"Enero","Febrero","Marzo","Abril","Mayo","Junio","Julio","Agosto","Septiembre","Octubre","Noviembre","Diciembre"},0)+1,0)),COUNTIF(O$9:O$18,"✓"),"")</f>
        <v>4</v>
      </c>
      <c r="P21" s="34">
        <f>IF(15&lt;=DAY(DATE($J$2,MATCH($J$3,{"Enero","Febrero","Marzo","Abril","Mayo","Junio","Julio","Agosto","Septiembre","Octubre","Noviembre","Diciembre"},0)+1,0)),COUNTIF(P$9:P$18,"✓"),"")</f>
        <v>7</v>
      </c>
      <c r="Q21" s="34">
        <f>IF(16&lt;=DAY(DATE($J$2,MATCH($J$3,{"Enero","Febrero","Marzo","Abril","Mayo","Junio","Julio","Agosto","Septiembre","Octubre","Noviembre","Diciembre"},0)+1,0)),COUNTIF(Q$9:Q$18,"✓"),"")</f>
        <v>8</v>
      </c>
      <c r="R21" s="34">
        <f>IF(17&lt;=DAY(DATE($J$2,MATCH($J$3,{"Enero","Febrero","Marzo","Abril","Mayo","Junio","Julio","Agosto","Septiembre","Octubre","Noviembre","Diciembre"},0)+1,0)),COUNTIF(R$9:R$18,"✓"),"")</f>
        <v>7</v>
      </c>
      <c r="S21" s="34">
        <f>IF(18&lt;=DAY(DATE($J$2,MATCH($J$3,{"Enero","Febrero","Marzo","Abril","Mayo","Junio","Julio","Agosto","Septiembre","Octubre","Noviembre","Diciembre"},0)+1,0)),COUNTIF(S$9:S$18,"✓"),"")</f>
        <v>6</v>
      </c>
      <c r="T21" s="34">
        <f>IF(19&lt;=DAY(DATE($J$2,MATCH($J$3,{"Enero","Febrero","Marzo","Abril","Mayo","Junio","Julio","Agosto","Septiembre","Octubre","Noviembre","Diciembre"},0)+1,0)),COUNTIF(T$9:T$18,"✓"),"")</f>
        <v>6</v>
      </c>
      <c r="U21" s="34">
        <f>IF(20&lt;=DAY(DATE($J$2,MATCH($J$3,{"Enero","Febrero","Marzo","Abril","Mayo","Junio","Julio","Agosto","Septiembre","Octubre","Noviembre","Diciembre"},0)+1,0)),COUNTIF(U$9:U$18,"✓"),"")</f>
        <v>7</v>
      </c>
      <c r="V21" s="34">
        <f>IF(21&lt;=DAY(DATE($J$2,MATCH($J$3,{"Enero","Febrero","Marzo","Abril","Mayo","Junio","Julio","Agosto","Septiembre","Octubre","Noviembre","Diciembre"},0)+1,0)),COUNTIF(V$9:V$18,"✓"),"")</f>
        <v>4</v>
      </c>
      <c r="W21" s="34">
        <f>IF(22&lt;=DAY(DATE($J$2,MATCH($J$3,{"Enero","Febrero","Marzo","Abril","Mayo","Junio","Julio","Agosto","Septiembre","Octubre","Noviembre","Diciembre"},0)+1,0)),COUNTIF(W$9:W$18,"✓"),"")</f>
        <v>3</v>
      </c>
      <c r="X21" s="34">
        <f>IF(23&lt;=DAY(DATE($J$2,MATCH($J$3,{"Enero","Febrero","Marzo","Abril","Mayo","Junio","Julio","Agosto","Septiembre","Octubre","Noviembre","Diciembre"},0)+1,0)),COUNTIF(X$9:X$18,"✓"),"")</f>
        <v>7</v>
      </c>
      <c r="Y21" s="34">
        <f>IF(24&lt;=DAY(DATE($J$2,MATCH($J$3,{"Enero","Febrero","Marzo","Abril","Mayo","Junio","Julio","Agosto","Septiembre","Octubre","Noviembre","Diciembre"},0)+1,0)),COUNTIF(Y$9:Y$18,"✓"),"")</f>
        <v>6</v>
      </c>
      <c r="Z21" s="34">
        <f>IF(25&lt;=DAY(DATE($J$2,MATCH($J$3,{"Enero","Febrero","Marzo","Abril","Mayo","Junio","Julio","Agosto","Septiembre","Octubre","Noviembre","Diciembre"},0)+1,0)),COUNTIF(Z$9:Z$18,"✓"),"")</f>
        <v>6</v>
      </c>
      <c r="AA21" s="34">
        <f>IF(26&lt;=DAY(DATE($J$2,MATCH($J$3,{"Enero","Febrero","Marzo","Abril","Mayo","Junio","Julio","Agosto","Septiembre","Octubre","Noviembre","Diciembre"},0)+1,0)),COUNTIF(AA$9:AA$18,"✓"),"")</f>
        <v>6</v>
      </c>
      <c r="AB21" s="34">
        <f>IF(27&lt;=DAY(DATE($J$2,MATCH($J$3,{"Enero","Febrero","Marzo","Abril","Mayo","Junio","Julio","Agosto","Septiembre","Octubre","Noviembre","Diciembre"},0)+1,0)),COUNTIF(AB$9:AB$18,"✓"),"")</f>
        <v>3</v>
      </c>
      <c r="AC21" s="34">
        <f>IF(28&lt;=DAY(DATE($J$2,MATCH($J$3,{"Enero","Febrero","Marzo","Abril","Mayo","Junio","Julio","Agosto","Septiembre","Octubre","Noviembre","Diciembre"},0)+1,0)),COUNTIF(AC$9:AC$18,"✓"),"")</f>
        <v>3</v>
      </c>
      <c r="AD21" s="34">
        <f>IF(29&lt;=DAY(DATE($J$2,MATCH($J$3,{"Enero","Febrero","Marzo","Abril","Mayo","Junio","Julio","Agosto","Septiembre","Octubre","Noviembre","Diciembre"},0)+1,0)),COUNTIF(AD$9:AD$18,"✓"),"")</f>
        <v>2</v>
      </c>
      <c r="AE21" s="34">
        <f>IF(30&lt;=DAY(DATE($J$2,MATCH($J$3,{"Enero","Febrero","Marzo","Abril","Mayo","Junio","Julio","Agosto","Septiembre","Octubre","Noviembre","Diciembre"},0)+1,0)),COUNTIF(AE$9:AE$18,"✓"),"")</f>
        <v>5</v>
      </c>
      <c r="AF21" s="34" t="str">
        <f>IF(31&lt;=DAY(DATE($J$2,MATCH($J$3,{"Enero","Febrero","Marzo","Abril","Mayo","Junio","Julio","Agosto","Septiembre","Octubre","Noviembre","Diciembre"},0)+1,0)),COUNTIF(AF$9:AF$18,"✓"),"")</f>
        <v/>
      </c>
    </row>
    <row r="22" spans="1:35" ht="19.5" customHeight="1" x14ac:dyDescent="0.25">
      <c r="A22" s="36" t="s">
        <v>28</v>
      </c>
      <c r="B22" s="34">
        <f>IF(1&lt;=DAY(DATE($J$2,MATCH($J$3,{"Enero","Febrero","Marzo","Abril","Mayo","Junio","Julio","Agosto","Septiembre","Octubre","Noviembre","Diciembre"},0)+1,0)),COUNTA($A$9:$A$18)-COUNTIF(B$9:B$18,"✓"),"")</f>
        <v>7</v>
      </c>
      <c r="C22" s="34">
        <f>IF(2&lt;=DAY(DATE($J$2,MATCH($J$3,{"Enero","Febrero","Marzo","Abril","Mayo","Junio","Julio","Agosto","Septiembre","Octubre","Noviembre","Diciembre"},0)+1,0)),COUNTA($A$9:$A$18)-COUNTIF(C$9:C$18,"✓"),"")</f>
        <v>3</v>
      </c>
      <c r="D22" s="34">
        <f>IF(3&lt;=DAY(DATE($J$2,MATCH($J$3,{"Enero","Febrero","Marzo","Abril","Mayo","Junio","Julio","Agosto","Septiembre","Octubre","Noviembre","Diciembre"},0)+1,0)),COUNTA($A$9:$A$18)-COUNTIF(D$9:D$18,"✓"),"")</f>
        <v>1</v>
      </c>
      <c r="E22" s="34">
        <f>IF(4&lt;=DAY(DATE($J$2,MATCH($J$3,{"Enero","Febrero","Marzo","Abril","Mayo","Junio","Julio","Agosto","Septiembre","Octubre","Noviembre","Diciembre"},0)+1,0)),COUNTA($A$9:$A$18)-COUNTIF(E$9:E$18,"✓"),"")</f>
        <v>1</v>
      </c>
      <c r="F22" s="34">
        <f>IF(5&lt;=DAY(DATE($J$2,MATCH($J$3,{"Enero","Febrero","Marzo","Abril","Mayo","Junio","Julio","Agosto","Septiembre","Octubre","Noviembre","Diciembre"},0)+1,0)),COUNTA($A$9:$A$18)-COUNTIF(F$9:F$18,"✓"),"")</f>
        <v>3</v>
      </c>
      <c r="G22" s="34">
        <f>IF(6&lt;=DAY(DATE($J$2,MATCH($J$3,{"Enero","Febrero","Marzo","Abril","Mayo","Junio","Julio","Agosto","Septiembre","Octubre","Noviembre","Diciembre"},0)+1,0)),COUNTA($A$9:$A$18)-COUNTIF(G$9:G$18,"✓"),"")</f>
        <v>3</v>
      </c>
      <c r="H22" s="34">
        <f>IF(7&lt;=DAY(DATE($J$2,MATCH($J$3,{"Enero","Febrero","Marzo","Abril","Mayo","Junio","Julio","Agosto","Septiembre","Octubre","Noviembre","Diciembre"},0)+1,0)),COUNTA($A$9:$A$18)-COUNTIF(H$9:H$18,"✓"),"")</f>
        <v>7</v>
      </c>
      <c r="I22" s="34">
        <f>IF(8&lt;=DAY(DATE($J$2,MATCH($J$3,{"Enero","Febrero","Marzo","Abril","Mayo","Junio","Julio","Agosto","Septiembre","Octubre","Noviembre","Diciembre"},0)+1,0)),COUNTA($A$9:$A$18)-COUNTIF(I$9:I$18,"✓"),"")</f>
        <v>7</v>
      </c>
      <c r="J22" s="34">
        <f>IF(9&lt;=DAY(DATE($J$2,MATCH($J$3,{"Enero","Febrero","Marzo","Abril","Mayo","Junio","Julio","Agosto","Septiembre","Octubre","Noviembre","Diciembre"},0)+1,0)),COUNTA($A$9:$A$18)-COUNTIF(J$9:J$18,"✓"),"")</f>
        <v>3</v>
      </c>
      <c r="K22" s="34">
        <f>IF(10&lt;=DAY(DATE($J$2,MATCH($J$3,{"Enero","Febrero","Marzo","Abril","Mayo","Junio","Julio","Agosto","Septiembre","Octubre","Noviembre","Diciembre"},0)+1,0)),COUNTA($A$9:$A$18)-COUNTIF(K$9:K$18,"✓"),"")</f>
        <v>3</v>
      </c>
      <c r="L22" s="34">
        <f>IF(11&lt;=DAY(DATE($J$2,MATCH($J$3,{"Enero","Febrero","Marzo","Abril","Mayo","Junio","Julio","Agosto","Septiembre","Octubre","Noviembre","Diciembre"},0)+1,0)),COUNTA($A$9:$A$18)-COUNTIF(L$9:L$18,"✓"),"")</f>
        <v>3</v>
      </c>
      <c r="M22" s="34">
        <f>IF(12&lt;=DAY(DATE($J$2,MATCH($J$3,{"Enero","Febrero","Marzo","Abril","Mayo","Junio","Julio","Agosto","Septiembre","Octubre","Noviembre","Diciembre"},0)+1,0)),COUNTA($A$9:$A$18)-COUNTIF(M$9:M$18,"✓"),"")</f>
        <v>6</v>
      </c>
      <c r="N22" s="34">
        <f>IF(13&lt;=DAY(DATE($J$2,MATCH($J$3,{"Enero","Febrero","Marzo","Abril","Mayo","Junio","Julio","Agosto","Septiembre","Octubre","Noviembre","Diciembre"},0)+1,0)),COUNTA($A$9:$A$18)-COUNTIF(N$9:N$18,"✓"),"")</f>
        <v>4</v>
      </c>
      <c r="O22" s="34">
        <f>IF(14&lt;=DAY(DATE($J$2,MATCH($J$3,{"Enero","Febrero","Marzo","Abril","Mayo","Junio","Julio","Agosto","Septiembre","Octubre","Noviembre","Diciembre"},0)+1,0)),COUNTA($A$9:$A$18)-COUNTIF(O$9:O$18,"✓"),"")</f>
        <v>6</v>
      </c>
      <c r="P22" s="34">
        <f>IF(15&lt;=DAY(DATE($J$2,MATCH($J$3,{"Enero","Febrero","Marzo","Abril","Mayo","Junio","Julio","Agosto","Septiembre","Octubre","Noviembre","Diciembre"},0)+1,0)),COUNTA($A$9:$A$18)-COUNTIF(P$9:P$18,"✓"),"")</f>
        <v>3</v>
      </c>
      <c r="Q22" s="34">
        <f>IF(16&lt;=DAY(DATE($J$2,MATCH($J$3,{"Enero","Febrero","Marzo","Abril","Mayo","Junio","Julio","Agosto","Septiembre","Octubre","Noviembre","Diciembre"},0)+1,0)),COUNTA($A$9:$A$18)-COUNTIF(Q$9:Q$18,"✓"),"")</f>
        <v>2</v>
      </c>
      <c r="R22" s="34">
        <f>IF(17&lt;=DAY(DATE($J$2,MATCH($J$3,{"Enero","Febrero","Marzo","Abril","Mayo","Junio","Julio","Agosto","Septiembre","Octubre","Noviembre","Diciembre"},0)+1,0)),COUNTA($A$9:$A$18)-COUNTIF(R$9:R$18,"✓"),"")</f>
        <v>3</v>
      </c>
      <c r="S22" s="34">
        <f>IF(18&lt;=DAY(DATE($J$2,MATCH($J$3,{"Enero","Febrero","Marzo","Abril","Mayo","Junio","Julio","Agosto","Septiembre","Octubre","Noviembre","Diciembre"},0)+1,0)),COUNTA($A$9:$A$18)-COUNTIF(S$9:S$18,"✓"),"")</f>
        <v>4</v>
      </c>
      <c r="T22" s="34">
        <f>IF(19&lt;=DAY(DATE($J$2,MATCH($J$3,{"Enero","Febrero","Marzo","Abril","Mayo","Junio","Julio","Agosto","Septiembre","Octubre","Noviembre","Diciembre"},0)+1,0)),COUNTA($A$9:$A$18)-COUNTIF(T$9:T$18,"✓"),"")</f>
        <v>4</v>
      </c>
      <c r="U22" s="34">
        <f>IF(20&lt;=DAY(DATE($J$2,MATCH($J$3,{"Enero","Febrero","Marzo","Abril","Mayo","Junio","Julio","Agosto","Septiembre","Octubre","Noviembre","Diciembre"},0)+1,0)),COUNTA($A$9:$A$18)-COUNTIF(U$9:U$18,"✓"),"")</f>
        <v>3</v>
      </c>
      <c r="V22" s="34">
        <f>IF(21&lt;=DAY(DATE($J$2,MATCH($J$3,{"Enero","Febrero","Marzo","Abril","Mayo","Junio","Julio","Agosto","Septiembre","Octubre","Noviembre","Diciembre"},0)+1,0)),COUNTA($A$9:$A$18)-COUNTIF(V$9:V$18,"✓"),"")</f>
        <v>6</v>
      </c>
      <c r="W22" s="34">
        <f>IF(22&lt;=DAY(DATE($J$2,MATCH($J$3,{"Enero","Febrero","Marzo","Abril","Mayo","Junio","Julio","Agosto","Septiembre","Octubre","Noviembre","Diciembre"},0)+1,0)),COUNTA($A$9:$A$18)-COUNTIF(W$9:W$18,"✓"),"")</f>
        <v>7</v>
      </c>
      <c r="X22" s="34">
        <f>IF(23&lt;=DAY(DATE($J$2,MATCH($J$3,{"Enero","Febrero","Marzo","Abril","Mayo","Junio","Julio","Agosto","Septiembre","Octubre","Noviembre","Diciembre"},0)+1,0)),COUNTA($A$9:$A$18)-COUNTIF(X$9:X$18,"✓"),"")</f>
        <v>3</v>
      </c>
      <c r="Y22" s="34">
        <f>IF(24&lt;=DAY(DATE($J$2,MATCH($J$3,{"Enero","Febrero","Marzo","Abril","Mayo","Junio","Julio","Agosto","Septiembre","Octubre","Noviembre","Diciembre"},0)+1,0)),COUNTA($A$9:$A$18)-COUNTIF(Y$9:Y$18,"✓"),"")</f>
        <v>4</v>
      </c>
      <c r="Z22" s="34">
        <f>IF(25&lt;=DAY(DATE($J$2,MATCH($J$3,{"Enero","Febrero","Marzo","Abril","Mayo","Junio","Julio","Agosto","Septiembre","Octubre","Noviembre","Diciembre"},0)+1,0)),COUNTA($A$9:$A$18)-COUNTIF(Z$9:Z$18,"✓"),"")</f>
        <v>4</v>
      </c>
      <c r="AA22" s="34">
        <f>IF(26&lt;=DAY(DATE($J$2,MATCH($J$3,{"Enero","Febrero","Marzo","Abril","Mayo","Junio","Julio","Agosto","Septiembre","Octubre","Noviembre","Diciembre"},0)+1,0)),COUNTA($A$9:$A$18)-COUNTIF(AA$9:AA$18,"✓"),"")</f>
        <v>4</v>
      </c>
      <c r="AB22" s="34">
        <f>IF(27&lt;=DAY(DATE($J$2,MATCH($J$3,{"Enero","Febrero","Marzo","Abril","Mayo","Junio","Julio","Agosto","Septiembre","Octubre","Noviembre","Diciembre"},0)+1,0)),COUNTA($A$9:$A$18)-COUNTIF(AB$9:AB$18,"✓"),"")</f>
        <v>7</v>
      </c>
      <c r="AC22" s="34">
        <f>IF(28&lt;=DAY(DATE($J$2,MATCH($J$3,{"Enero","Febrero","Marzo","Abril","Mayo","Junio","Julio","Agosto","Septiembre","Octubre","Noviembre","Diciembre"},0)+1,0)),COUNTA($A$9:$A$18)-COUNTIF(AC$9:AC$18,"✓"),"")</f>
        <v>7</v>
      </c>
      <c r="AD22" s="34">
        <f>IF(29&lt;=DAY(DATE($J$2,MATCH($J$3,{"Enero","Febrero","Marzo","Abril","Mayo","Junio","Julio","Agosto","Septiembre","Octubre","Noviembre","Diciembre"},0)+1,0)),COUNTA($A$9:$A$18)-COUNTIF(AD$9:AD$18,"✓"),"")</f>
        <v>8</v>
      </c>
      <c r="AE22" s="34">
        <f>IF(30&lt;=DAY(DATE($J$2,MATCH($J$3,{"Enero","Febrero","Marzo","Abril","Mayo","Junio","Julio","Agosto","Septiembre","Octubre","Noviembre","Diciembre"},0)+1,0)),COUNTA($A$9:$A$18)-COUNTIF(AE$9:AE$18,"✓"),"")</f>
        <v>5</v>
      </c>
      <c r="AF22" s="34" t="str">
        <f>IF(31&lt;=DAY(DATE($J$2,MATCH($J$3,{"Enero","Febrero","Marzo","Abril","Mayo","Junio","Julio","Agosto","Septiembre","Octubre","Noviembre","Diciembre"},0)+1,0)),COUNTA($A$9:$A$18)-COUNTIF(AF$9:AF$18,"✓"),"")</f>
        <v/>
      </c>
    </row>
    <row r="35" spans="1:35" ht="21.75" customHeight="1" x14ac:dyDescent="0.25">
      <c r="A35" s="3" t="s">
        <v>29</v>
      </c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 t="s">
        <v>30</v>
      </c>
      <c r="AH35" s="3"/>
      <c r="AI35" s="3"/>
    </row>
    <row r="36" spans="1:35" ht="21.75" customHeight="1" x14ac:dyDescent="0.25">
      <c r="A36" s="27" t="s">
        <v>31</v>
      </c>
      <c r="B36" s="38">
        <v>7</v>
      </c>
      <c r="C36" s="38">
        <v>8</v>
      </c>
      <c r="D36" s="38">
        <v>9</v>
      </c>
      <c r="E36" s="38">
        <v>7</v>
      </c>
      <c r="F36" s="38">
        <v>8</v>
      </c>
      <c r="G36" s="38">
        <v>9</v>
      </c>
      <c r="H36" s="38">
        <v>7</v>
      </c>
      <c r="I36" s="39">
        <v>8</v>
      </c>
      <c r="J36" s="39">
        <v>10</v>
      </c>
      <c r="K36" s="39">
        <v>8</v>
      </c>
      <c r="L36" s="39">
        <v>9</v>
      </c>
      <c r="M36" s="39">
        <v>8</v>
      </c>
      <c r="N36" s="39">
        <v>8</v>
      </c>
      <c r="O36" s="39">
        <v>9</v>
      </c>
      <c r="P36" s="40">
        <v>9</v>
      </c>
      <c r="Q36" s="40">
        <v>8</v>
      </c>
      <c r="R36" s="40">
        <v>9</v>
      </c>
      <c r="S36" s="40">
        <v>9</v>
      </c>
      <c r="T36" s="40">
        <v>8</v>
      </c>
      <c r="U36" s="40">
        <v>8</v>
      </c>
      <c r="V36" s="40">
        <v>8</v>
      </c>
      <c r="W36" s="41">
        <v>8</v>
      </c>
      <c r="X36" s="41">
        <v>7</v>
      </c>
      <c r="Y36" s="41">
        <v>7</v>
      </c>
      <c r="Z36" s="41">
        <v>8</v>
      </c>
      <c r="AA36" s="41">
        <v>9</v>
      </c>
      <c r="AB36" s="41">
        <v>9</v>
      </c>
      <c r="AC36" s="41">
        <v>9</v>
      </c>
      <c r="AD36" s="42">
        <v>8</v>
      </c>
      <c r="AE36" s="42">
        <v>8</v>
      </c>
      <c r="AF36" s="42">
        <v>9</v>
      </c>
      <c r="AG36" s="2">
        <f>IFERROR(AVERAGE(B36:AF36),0)</f>
        <v>8.258064516129032</v>
      </c>
      <c r="AH36" s="2"/>
      <c r="AI36" s="2"/>
    </row>
    <row r="37" spans="1:35" ht="21.75" customHeight="1" x14ac:dyDescent="0.25">
      <c r="A37" s="27" t="s">
        <v>32</v>
      </c>
      <c r="B37" s="38">
        <v>7</v>
      </c>
      <c r="C37" s="38">
        <v>8</v>
      </c>
      <c r="D37" s="38">
        <v>10</v>
      </c>
      <c r="E37" s="38">
        <v>8</v>
      </c>
      <c r="F37" s="38">
        <v>8</v>
      </c>
      <c r="G37" s="38">
        <v>6</v>
      </c>
      <c r="H37" s="38">
        <v>9</v>
      </c>
      <c r="I37" s="39">
        <v>8</v>
      </c>
      <c r="J37" s="39">
        <v>9</v>
      </c>
      <c r="K37" s="39">
        <v>8</v>
      </c>
      <c r="L37" s="39">
        <v>7</v>
      </c>
      <c r="M37" s="39">
        <v>8</v>
      </c>
      <c r="N37" s="39">
        <v>7</v>
      </c>
      <c r="O37" s="39">
        <v>8</v>
      </c>
      <c r="P37" s="40">
        <v>9</v>
      </c>
      <c r="Q37" s="40">
        <v>8</v>
      </c>
      <c r="R37" s="40">
        <v>6</v>
      </c>
      <c r="S37" s="40">
        <v>8</v>
      </c>
      <c r="T37" s="40">
        <v>8</v>
      </c>
      <c r="U37" s="40">
        <v>7</v>
      </c>
      <c r="V37" s="40">
        <v>9</v>
      </c>
      <c r="W37" s="41">
        <v>7</v>
      </c>
      <c r="X37" s="41">
        <v>8</v>
      </c>
      <c r="Y37" s="41">
        <v>7</v>
      </c>
      <c r="Z37" s="41">
        <v>9</v>
      </c>
      <c r="AA37" s="41">
        <v>7</v>
      </c>
      <c r="AB37" s="41">
        <v>7</v>
      </c>
      <c r="AC37" s="41">
        <v>9</v>
      </c>
      <c r="AD37" s="42">
        <v>9</v>
      </c>
      <c r="AE37" s="42">
        <v>7</v>
      </c>
      <c r="AF37" s="42">
        <v>7</v>
      </c>
      <c r="AG37" s="2">
        <f>IFERROR(AVERAGE(B37:AF37),0)</f>
        <v>7.838709677419355</v>
      </c>
      <c r="AH37" s="2"/>
      <c r="AI37" s="2"/>
    </row>
    <row r="38" spans="1:35" ht="21.75" customHeight="1" x14ac:dyDescent="0.25">
      <c r="A38" s="27" t="s">
        <v>33</v>
      </c>
      <c r="B38" s="38">
        <v>8</v>
      </c>
      <c r="C38" s="38">
        <v>7</v>
      </c>
      <c r="D38" s="38">
        <v>7</v>
      </c>
      <c r="E38" s="38">
        <v>8</v>
      </c>
      <c r="F38" s="38">
        <v>8</v>
      </c>
      <c r="G38" s="38">
        <v>8</v>
      </c>
      <c r="H38" s="38">
        <v>8</v>
      </c>
      <c r="I38" s="39">
        <v>9</v>
      </c>
      <c r="J38" s="39">
        <v>9</v>
      </c>
      <c r="K38" s="39">
        <v>9</v>
      </c>
      <c r="L38" s="39">
        <v>7</v>
      </c>
      <c r="M38" s="39">
        <v>9</v>
      </c>
      <c r="N38" s="39">
        <v>8</v>
      </c>
      <c r="O38" s="39">
        <v>10</v>
      </c>
      <c r="P38" s="40">
        <v>9</v>
      </c>
      <c r="Q38" s="40">
        <v>8</v>
      </c>
      <c r="R38" s="40">
        <v>8</v>
      </c>
      <c r="S38" s="40">
        <v>8</v>
      </c>
      <c r="T38" s="40">
        <v>8</v>
      </c>
      <c r="U38" s="40">
        <v>9</v>
      </c>
      <c r="V38" s="40">
        <v>6</v>
      </c>
      <c r="W38" s="41">
        <v>8</v>
      </c>
      <c r="X38" s="41">
        <v>8</v>
      </c>
      <c r="Y38" s="41">
        <v>9</v>
      </c>
      <c r="Z38" s="41">
        <v>8</v>
      </c>
      <c r="AA38" s="41">
        <v>9</v>
      </c>
      <c r="AB38" s="41">
        <v>8</v>
      </c>
      <c r="AC38" s="41">
        <v>10</v>
      </c>
      <c r="AD38" s="42">
        <v>9</v>
      </c>
      <c r="AE38" s="42">
        <v>8</v>
      </c>
      <c r="AF38" s="42">
        <v>8</v>
      </c>
      <c r="AG38" s="2">
        <f>IFERROR(AVERAGE(B38:AF38),0)</f>
        <v>8.258064516129032</v>
      </c>
      <c r="AH38" s="2"/>
      <c r="AI38" s="2"/>
    </row>
    <row r="41" spans="1:35" ht="21.75" customHeight="1" x14ac:dyDescent="0.25">
      <c r="A41" s="17" t="s">
        <v>34</v>
      </c>
      <c r="B41" s="13" t="s">
        <v>8</v>
      </c>
      <c r="C41" s="13"/>
      <c r="D41" s="13"/>
      <c r="E41" s="13"/>
      <c r="F41" s="13"/>
      <c r="G41" s="13"/>
      <c r="H41" s="13"/>
      <c r="I41" s="7" t="s">
        <v>9</v>
      </c>
      <c r="J41" s="7"/>
      <c r="K41" s="7"/>
      <c r="L41" s="7"/>
      <c r="M41" s="7"/>
      <c r="N41" s="7"/>
      <c r="O41" s="7"/>
      <c r="P41" s="6" t="s">
        <v>10</v>
      </c>
      <c r="Q41" s="6"/>
      <c r="R41" s="6"/>
      <c r="S41" s="6"/>
      <c r="T41" s="6"/>
      <c r="U41" s="6"/>
      <c r="V41" s="6"/>
      <c r="W41" s="5" t="s">
        <v>11</v>
      </c>
      <c r="X41" s="5"/>
      <c r="Y41" s="5"/>
      <c r="Z41" s="5"/>
      <c r="AA41" s="5"/>
      <c r="AB41" s="5"/>
      <c r="AC41" s="5"/>
      <c r="AD41" s="4" t="s">
        <v>12</v>
      </c>
      <c r="AE41" s="4"/>
      <c r="AF41" s="4"/>
      <c r="AG41" s="17" t="s">
        <v>13</v>
      </c>
      <c r="AH41" s="17" t="s">
        <v>14</v>
      </c>
      <c r="AI41" s="17" t="s">
        <v>15</v>
      </c>
    </row>
    <row r="42" spans="1:35" ht="21.75" customHeight="1" x14ac:dyDescent="0.25">
      <c r="A42" s="27" t="s">
        <v>35</v>
      </c>
      <c r="B42" s="12" t="s">
        <v>17</v>
      </c>
      <c r="C42" s="12"/>
      <c r="D42" s="12"/>
      <c r="E42" s="12"/>
      <c r="F42" s="12"/>
      <c r="G42" s="12"/>
      <c r="H42" s="12"/>
      <c r="I42" s="1" t="s">
        <v>17</v>
      </c>
      <c r="J42" s="1"/>
      <c r="K42" s="1"/>
      <c r="L42" s="1"/>
      <c r="M42" s="1"/>
      <c r="N42" s="1"/>
      <c r="O42" s="1"/>
      <c r="P42" s="43" t="s">
        <v>17</v>
      </c>
      <c r="Q42" s="43"/>
      <c r="R42" s="43"/>
      <c r="S42" s="43"/>
      <c r="T42" s="43"/>
      <c r="U42" s="43"/>
      <c r="V42" s="43"/>
      <c r="W42" s="44" t="s">
        <v>17</v>
      </c>
      <c r="X42" s="44"/>
      <c r="Y42" s="44"/>
      <c r="Z42" s="44"/>
      <c r="AA42" s="44"/>
      <c r="AB42" s="44"/>
      <c r="AC42" s="44"/>
      <c r="AD42" s="45" t="s">
        <v>17</v>
      </c>
      <c r="AE42" s="45"/>
      <c r="AF42" s="45"/>
      <c r="AG42" s="33">
        <v>5</v>
      </c>
      <c r="AH42" s="34">
        <f>COUNTIF(B42:AF42,"✓")</f>
        <v>5</v>
      </c>
      <c r="AI42" s="35">
        <f>IFERROR(AH42/AG42,0)</f>
        <v>1</v>
      </c>
    </row>
    <row r="43" spans="1:35" ht="21.75" customHeight="1" x14ac:dyDescent="0.25">
      <c r="A43" s="27" t="s">
        <v>36</v>
      </c>
      <c r="B43" s="12" t="s">
        <v>17</v>
      </c>
      <c r="C43" s="12"/>
      <c r="D43" s="12"/>
      <c r="E43" s="12"/>
      <c r="F43" s="12"/>
      <c r="G43" s="12"/>
      <c r="H43" s="12"/>
      <c r="I43" s="1"/>
      <c r="J43" s="1"/>
      <c r="K43" s="1"/>
      <c r="L43" s="1"/>
      <c r="M43" s="1"/>
      <c r="N43" s="1"/>
      <c r="O43" s="1"/>
      <c r="P43" s="43" t="s">
        <v>17</v>
      </c>
      <c r="Q43" s="43"/>
      <c r="R43" s="43"/>
      <c r="S43" s="43"/>
      <c r="T43" s="43"/>
      <c r="U43" s="43"/>
      <c r="V43" s="43"/>
      <c r="W43" s="44" t="s">
        <v>17</v>
      </c>
      <c r="X43" s="44"/>
      <c r="Y43" s="44"/>
      <c r="Z43" s="44"/>
      <c r="AA43" s="44"/>
      <c r="AB43" s="44"/>
      <c r="AC43" s="44"/>
      <c r="AD43" s="45" t="s">
        <v>17</v>
      </c>
      <c r="AE43" s="45"/>
      <c r="AF43" s="45"/>
      <c r="AG43" s="33">
        <v>4</v>
      </c>
      <c r="AH43" s="34">
        <f>COUNTIF(B43:AF43,"✓")</f>
        <v>4</v>
      </c>
      <c r="AI43" s="35">
        <f>IFERROR(AH43/AG43,0)</f>
        <v>1</v>
      </c>
    </row>
    <row r="44" spans="1:35" ht="21.75" customHeight="1" x14ac:dyDescent="0.25">
      <c r="A44" s="27" t="s">
        <v>37</v>
      </c>
      <c r="B44" s="12" t="s">
        <v>17</v>
      </c>
      <c r="C44" s="12"/>
      <c r="D44" s="12"/>
      <c r="E44" s="12"/>
      <c r="F44" s="12"/>
      <c r="G44" s="12"/>
      <c r="H44" s="12"/>
      <c r="I44" s="1" t="s">
        <v>17</v>
      </c>
      <c r="J44" s="1"/>
      <c r="K44" s="1"/>
      <c r="L44" s="1"/>
      <c r="M44" s="1"/>
      <c r="N44" s="1"/>
      <c r="O44" s="1"/>
      <c r="P44" s="43" t="s">
        <v>17</v>
      </c>
      <c r="Q44" s="43"/>
      <c r="R44" s="43"/>
      <c r="S44" s="43"/>
      <c r="T44" s="43"/>
      <c r="U44" s="43"/>
      <c r="V44" s="43"/>
      <c r="W44" s="44" t="s">
        <v>17</v>
      </c>
      <c r="X44" s="44"/>
      <c r="Y44" s="44"/>
      <c r="Z44" s="44"/>
      <c r="AA44" s="44"/>
      <c r="AB44" s="44"/>
      <c r="AC44" s="44"/>
      <c r="AD44" s="45"/>
      <c r="AE44" s="45"/>
      <c r="AF44" s="45"/>
      <c r="AG44" s="33">
        <v>5</v>
      </c>
      <c r="AH44" s="34">
        <f>COUNTIF(B44:AF44,"✓")</f>
        <v>4</v>
      </c>
      <c r="AI44" s="35">
        <f>IFERROR(AH44/AG44,0)</f>
        <v>0.8</v>
      </c>
    </row>
    <row r="45" spans="1:35" ht="21.75" customHeight="1" x14ac:dyDescent="0.25">
      <c r="A45" s="27" t="s">
        <v>38</v>
      </c>
      <c r="B45" s="12"/>
      <c r="C45" s="12"/>
      <c r="D45" s="12"/>
      <c r="E45" s="12"/>
      <c r="F45" s="12"/>
      <c r="G45" s="12"/>
      <c r="H45" s="12"/>
      <c r="I45" s="1" t="s">
        <v>17</v>
      </c>
      <c r="J45" s="1"/>
      <c r="K45" s="1"/>
      <c r="L45" s="1"/>
      <c r="M45" s="1"/>
      <c r="N45" s="1"/>
      <c r="O45" s="1"/>
      <c r="P45" s="43" t="s">
        <v>17</v>
      </c>
      <c r="Q45" s="43"/>
      <c r="R45" s="43"/>
      <c r="S45" s="43"/>
      <c r="T45" s="43"/>
      <c r="U45" s="43"/>
      <c r="V45" s="43"/>
      <c r="W45" s="44"/>
      <c r="X45" s="44"/>
      <c r="Y45" s="44"/>
      <c r="Z45" s="44"/>
      <c r="AA45" s="44"/>
      <c r="AB45" s="44"/>
      <c r="AC45" s="44"/>
      <c r="AD45" s="45" t="s">
        <v>17</v>
      </c>
      <c r="AE45" s="45"/>
      <c r="AF45" s="45"/>
      <c r="AG45" s="33">
        <v>4</v>
      </c>
      <c r="AH45" s="34">
        <f>COUNTIF(B45:AF45,"✓")</f>
        <v>3</v>
      </c>
      <c r="AI45" s="35">
        <f>IFERROR(AH45/AG45,0)</f>
        <v>0.75</v>
      </c>
    </row>
    <row r="46" spans="1:35" ht="21.75" customHeight="1" x14ac:dyDescent="0.25">
      <c r="A46" s="27" t="s">
        <v>39</v>
      </c>
      <c r="B46" s="12" t="s">
        <v>17</v>
      </c>
      <c r="C46" s="12"/>
      <c r="D46" s="12"/>
      <c r="E46" s="12"/>
      <c r="F46" s="12"/>
      <c r="G46" s="12"/>
      <c r="H46" s="12"/>
      <c r="I46" s="1" t="s">
        <v>17</v>
      </c>
      <c r="J46" s="1"/>
      <c r="K46" s="1"/>
      <c r="L46" s="1"/>
      <c r="M46" s="1"/>
      <c r="N46" s="1"/>
      <c r="O46" s="1"/>
      <c r="P46" s="43"/>
      <c r="Q46" s="43"/>
      <c r="R46" s="43"/>
      <c r="S46" s="43"/>
      <c r="T46" s="43"/>
      <c r="U46" s="43"/>
      <c r="V46" s="43"/>
      <c r="W46" s="44" t="s">
        <v>17</v>
      </c>
      <c r="X46" s="44"/>
      <c r="Y46" s="44"/>
      <c r="Z46" s="44"/>
      <c r="AA46" s="44"/>
      <c r="AB46" s="44"/>
      <c r="AC46" s="44"/>
      <c r="AD46" s="45" t="s">
        <v>17</v>
      </c>
      <c r="AE46" s="45"/>
      <c r="AF46" s="45"/>
      <c r="AG46" s="33">
        <v>5</v>
      </c>
      <c r="AH46" s="34">
        <f>COUNTIF(B46:AF46,"✓")</f>
        <v>4</v>
      </c>
      <c r="AI46" s="35">
        <f>IFERROR(AH46/AG46,0)</f>
        <v>0.8</v>
      </c>
    </row>
    <row r="48" spans="1:35" ht="25.5" customHeight="1" x14ac:dyDescent="0.25">
      <c r="A48" s="46" t="s">
        <v>40</v>
      </c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46"/>
      <c r="X48" s="46"/>
      <c r="Y48" s="46"/>
      <c r="Z48" s="46"/>
      <c r="AA48" s="46"/>
      <c r="AB48" s="46"/>
      <c r="AC48" s="46"/>
      <c r="AD48" s="46"/>
      <c r="AE48" s="46"/>
      <c r="AF48" s="46"/>
      <c r="AG48" s="46"/>
      <c r="AH48" s="46"/>
      <c r="AI48" s="46"/>
    </row>
  </sheetData>
  <mergeCells count="56">
    <mergeCell ref="A48:AI48"/>
    <mergeCell ref="B46:H46"/>
    <mergeCell ref="I46:O46"/>
    <mergeCell ref="P46:V46"/>
    <mergeCell ref="W46:AC46"/>
    <mergeCell ref="AD46:AF46"/>
    <mergeCell ref="B45:H45"/>
    <mergeCell ref="I45:O45"/>
    <mergeCell ref="P45:V45"/>
    <mergeCell ref="W45:AC45"/>
    <mergeCell ref="AD45:AF45"/>
    <mergeCell ref="B44:H44"/>
    <mergeCell ref="I44:O44"/>
    <mergeCell ref="P44:V44"/>
    <mergeCell ref="W44:AC44"/>
    <mergeCell ref="AD44:AF44"/>
    <mergeCell ref="B43:H43"/>
    <mergeCell ref="I43:O43"/>
    <mergeCell ref="P43:V43"/>
    <mergeCell ref="W43:AC43"/>
    <mergeCell ref="AD43:AF43"/>
    <mergeCell ref="B42:H42"/>
    <mergeCell ref="I42:O42"/>
    <mergeCell ref="P42:V42"/>
    <mergeCell ref="W42:AC42"/>
    <mergeCell ref="AD42:AF42"/>
    <mergeCell ref="B41:H41"/>
    <mergeCell ref="I41:O41"/>
    <mergeCell ref="P41:V41"/>
    <mergeCell ref="W41:AC41"/>
    <mergeCell ref="AD41:AF41"/>
    <mergeCell ref="A35:AF35"/>
    <mergeCell ref="AG35:AI35"/>
    <mergeCell ref="AG36:AI36"/>
    <mergeCell ref="AG37:AI37"/>
    <mergeCell ref="AG38:AI38"/>
    <mergeCell ref="B6:H6"/>
    <mergeCell ref="I6:O6"/>
    <mergeCell ref="P6:V6"/>
    <mergeCell ref="W6:AC6"/>
    <mergeCell ref="AD6:AF6"/>
    <mergeCell ref="T2:W2"/>
    <mergeCell ref="Y2:AI2"/>
    <mergeCell ref="H3:I3"/>
    <mergeCell ref="J3:K3"/>
    <mergeCell ref="M3:O4"/>
    <mergeCell ref="P3:S4"/>
    <mergeCell ref="T3:W4"/>
    <mergeCell ref="Y3:AI3"/>
    <mergeCell ref="H4:K4"/>
    <mergeCell ref="Y4:AI4"/>
    <mergeCell ref="A2:F4"/>
    <mergeCell ref="H2:I2"/>
    <mergeCell ref="J2:K2"/>
    <mergeCell ref="M2:O2"/>
    <mergeCell ref="P2:S2"/>
  </mergeCells>
  <conditionalFormatting sqref="B42:B46">
    <cfRule type="expression" dxfId="7" priority="3">
      <formula>B42="✓"</formula>
    </cfRule>
  </conditionalFormatting>
  <conditionalFormatting sqref="B7:AF22">
    <cfRule type="expression" dxfId="6" priority="28">
      <formula>B$8=""</formula>
    </cfRule>
  </conditionalFormatting>
  <conditionalFormatting sqref="B9:AF18">
    <cfRule type="expression" dxfId="5" priority="2">
      <formula>B9="✓"</formula>
    </cfRule>
  </conditionalFormatting>
  <conditionalFormatting sqref="B20:AF20">
    <cfRule type="dataBar" priority="33">
      <dataBar>
        <cfvo type="num" val="0"/>
        <cfvo type="num" val="1"/>
        <color rgb="FF121528"/>
      </dataBar>
      <extLst>
        <ext xmlns:x14="http://schemas.microsoft.com/office/spreadsheetml/2009/9/main" uri="{B025F937-C7B1-47D3-B67F-A62EFF666E3E}">
          <x14:id>{1BD3109E-B2D0-40E3-992D-A76D31BB92D6}</x14:id>
        </ext>
      </extLst>
    </cfRule>
  </conditionalFormatting>
  <conditionalFormatting sqref="B36:AF38">
    <cfRule type="expression" dxfId="4" priority="29">
      <formula>B$8=""</formula>
    </cfRule>
  </conditionalFormatting>
  <conditionalFormatting sqref="I42:I46">
    <cfRule type="expression" dxfId="3" priority="4">
      <formula>I42="✓"</formula>
    </cfRule>
  </conditionalFormatting>
  <conditionalFormatting sqref="P42:P46">
    <cfRule type="expression" dxfId="2" priority="5">
      <formula>P42="✓"</formula>
    </cfRule>
  </conditionalFormatting>
  <conditionalFormatting sqref="W42:W46">
    <cfRule type="expression" dxfId="1" priority="6">
      <formula>W42="✓"</formula>
    </cfRule>
  </conditionalFormatting>
  <conditionalFormatting sqref="Y3">
    <cfRule type="dataBar" priority="30">
      <dataBar>
        <cfvo type="num" val="0"/>
        <cfvo type="num" val="1"/>
        <color rgb="FF121528"/>
      </dataBar>
      <extLst>
        <ext xmlns:x14="http://schemas.microsoft.com/office/spreadsheetml/2009/9/main" uri="{B025F937-C7B1-47D3-B67F-A62EFF666E3E}">
          <x14:id>{52CAE427-F5B7-4510-8935-3F939FFE68D9}</x14:id>
        </ext>
      </extLst>
    </cfRule>
  </conditionalFormatting>
  <conditionalFormatting sqref="AD42:AD46">
    <cfRule type="expression" dxfId="0" priority="7">
      <formula>AD42="✓"</formula>
    </cfRule>
  </conditionalFormatting>
  <conditionalFormatting sqref="AI9:AI18">
    <cfRule type="dataBar" priority="31">
      <dataBar>
        <cfvo type="num" val="0"/>
        <cfvo type="num" val="1"/>
        <color rgb="FF121528"/>
      </dataBar>
      <extLst>
        <ext xmlns:x14="http://schemas.microsoft.com/office/spreadsheetml/2009/9/main" uri="{B025F937-C7B1-47D3-B67F-A62EFF666E3E}">
          <x14:id>{BBB08460-385F-44D3-948C-9A8050B234C0}</x14:id>
        </ext>
      </extLst>
    </cfRule>
  </conditionalFormatting>
  <conditionalFormatting sqref="AI42:AI46">
    <cfRule type="dataBar" priority="32">
      <dataBar>
        <cfvo type="num" val="0"/>
        <cfvo type="num" val="1"/>
        <color rgb="FF121528"/>
      </dataBar>
      <extLst>
        <ext xmlns:x14="http://schemas.microsoft.com/office/spreadsheetml/2009/9/main" uri="{B025F937-C7B1-47D3-B67F-A62EFF666E3E}">
          <x14:id>{877411DB-DB71-4A76-8A8E-4D549BC71E55}</x14:id>
        </ext>
      </extLst>
    </cfRule>
  </conditionalFormatting>
  <dataValidations count="4">
    <dataValidation type="whole" sqref="J2" xr:uid="{00000000-0002-0000-0000-000000000000}">
      <formula1>2024</formula1>
      <formula2>2035</formula2>
    </dataValidation>
    <dataValidation type="list" sqref="J3" xr:uid="{00000000-0002-0000-0000-000001000000}">
      <formula1>"Enero,Febrero,Marzo,Abril,Mayo,Junio,Julio,Agosto,Septiembre,Octubre,Noviembre,Diciembre"</formula1>
      <formula2>0</formula2>
    </dataValidation>
    <dataValidation type="custom" allowBlank="1" sqref="B9:AF18 B42:B46 I42:I46 P42:P46 W42:W46 AD42:AD46" xr:uid="{00000000-0002-0000-0000-000002000000}">
      <formula1>OR(B9="✓",B9="")</formula1>
      <formula2>0</formula2>
    </dataValidation>
    <dataValidation type="whole" allowBlank="1" sqref="B36:AF38" xr:uid="{00000000-0002-0000-0000-000003000000}">
      <formula1>1</formula1>
      <formula2>10</formula2>
    </dataValidation>
  </dataValidations>
  <pageMargins left="0.75" right="0.75" top="1" bottom="1" header="0.511811023622047" footer="0.511811023622047"/>
  <pageSetup orientation="landscape" horizontalDpi="300" verticalDpi="300"/>
  <drawing r:id="rId1"/>
  <legacy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1BD3109E-B2D0-40E3-992D-A76D31BB92D6}">
            <x14:dataBar axisPosition="none">
              <x14:cfvo type="num">
                <xm:f>0</xm:f>
              </x14:cfvo>
              <x14:cfvo type="num">
                <xm:f>1</xm:f>
              </x14:cfvo>
              <x14:negativeFillColor rgb="FF121528"/>
            </x14:dataBar>
          </x14:cfRule>
          <xm:sqref>B20:AF20</xm:sqref>
        </x14:conditionalFormatting>
        <x14:conditionalFormatting xmlns:xm="http://schemas.microsoft.com/office/excel/2006/main">
          <x14:cfRule type="dataBar" id="{52CAE427-F5B7-4510-8935-3F939FFE68D9}">
            <x14:dataBar axisPosition="none">
              <x14:cfvo type="num">
                <xm:f>0</xm:f>
              </x14:cfvo>
              <x14:cfvo type="num">
                <xm:f>1</xm:f>
              </x14:cfvo>
              <x14:negativeFillColor rgb="FF121528"/>
            </x14:dataBar>
          </x14:cfRule>
          <xm:sqref>Y3</xm:sqref>
        </x14:conditionalFormatting>
        <x14:conditionalFormatting xmlns:xm="http://schemas.microsoft.com/office/excel/2006/main">
          <x14:cfRule type="dataBar" id="{BBB08460-385F-44D3-948C-9A8050B234C0}">
            <x14:dataBar axisPosition="none">
              <x14:cfvo type="num">
                <xm:f>0</xm:f>
              </x14:cfvo>
              <x14:cfvo type="num">
                <xm:f>1</xm:f>
              </x14:cfvo>
              <x14:negativeFillColor rgb="FF121528"/>
            </x14:dataBar>
          </x14:cfRule>
          <xm:sqref>AI9:AI18</xm:sqref>
        </x14:conditionalFormatting>
        <x14:conditionalFormatting xmlns:xm="http://schemas.microsoft.com/office/excel/2006/main">
          <x14:cfRule type="dataBar" id="{877411DB-DB71-4A76-8A8E-4D549BC71E55}">
            <x14:dataBar axisPosition="none">
              <x14:cfvo type="num">
                <xm:f>0</xm:f>
              </x14:cfvo>
              <x14:cfvo type="num">
                <xm:f>1</xm:f>
              </x14:cfvo>
              <x14:negativeFillColor rgb="FF121528"/>
            </x14:dataBar>
          </x14:cfRule>
          <xm:sqref>AI42:AI46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Tracker mensual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2026-03-10T07:24:38Z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2026-03-10T07:07:37Z</dcterms:created>
  <dc:creator>openpyxl</dc:creator>
  <dc:description/>
  <dc:language>en-US</dc:language>
  <cp:lastModifiedBy/>
  <dcterms:modified xsi:type="dcterms:W3CDTF">2026-03-10T07:10:05Z</dcterms:modified>
  <cp:revision>0</cp:revision>
  <dc:subject/>
  <dc:title/>
</cp:coreProperties>
</file>