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apa de stakeholders\"/>
    </mc:Choice>
  </mc:AlternateContent>
  <xr:revisionPtr revIDLastSave="0" documentId="13_ncr:1_{3E6E9360-93AF-48A5-8C78-BA8A1835FF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pa" sheetId="1" r:id="rId1"/>
    <sheet name="Listas" sheetId="2" state="hidden" r:id="rId2"/>
  </sheets>
  <definedNames>
    <definedName name="_xlnm._FilterDatabase" localSheetId="0" hidden="1">Mapa!$A$11:$P$40</definedName>
    <definedName name="_xlnm.Print_Titles" localSheetId="0">Mapa!$1:$11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40" i="1" l="1"/>
  <c r="P40" i="1"/>
  <c r="L40" i="1"/>
  <c r="K40" i="1"/>
  <c r="J40" i="1"/>
  <c r="T40" i="1" s="1"/>
  <c r="I40" i="1"/>
  <c r="U39" i="1"/>
  <c r="P39" i="1"/>
  <c r="L39" i="1"/>
  <c r="K39" i="1"/>
  <c r="J39" i="1"/>
  <c r="T39" i="1" s="1"/>
  <c r="I39" i="1"/>
  <c r="U38" i="1"/>
  <c r="P38" i="1"/>
  <c r="L38" i="1"/>
  <c r="K38" i="1"/>
  <c r="J38" i="1"/>
  <c r="S38" i="1" s="1"/>
  <c r="I38" i="1"/>
  <c r="U37" i="1"/>
  <c r="P37" i="1"/>
  <c r="L37" i="1"/>
  <c r="K37" i="1"/>
  <c r="J37" i="1"/>
  <c r="T37" i="1" s="1"/>
  <c r="I37" i="1"/>
  <c r="U36" i="1"/>
  <c r="P36" i="1"/>
  <c r="L36" i="1"/>
  <c r="K36" i="1"/>
  <c r="J36" i="1"/>
  <c r="Q36" i="1" s="1"/>
  <c r="I36" i="1"/>
  <c r="U35" i="1"/>
  <c r="P35" i="1"/>
  <c r="L35" i="1"/>
  <c r="K35" i="1"/>
  <c r="J35" i="1"/>
  <c r="T35" i="1" s="1"/>
  <c r="I35" i="1"/>
  <c r="U34" i="1"/>
  <c r="P34" i="1"/>
  <c r="L34" i="1"/>
  <c r="K34" i="1"/>
  <c r="J34" i="1"/>
  <c r="T34" i="1" s="1"/>
  <c r="I34" i="1"/>
  <c r="U33" i="1"/>
  <c r="P33" i="1"/>
  <c r="L33" i="1"/>
  <c r="K33" i="1"/>
  <c r="J33" i="1"/>
  <c r="T33" i="1" s="1"/>
  <c r="I33" i="1"/>
  <c r="U32" i="1"/>
  <c r="P32" i="1"/>
  <c r="L32" i="1"/>
  <c r="K32" i="1"/>
  <c r="J32" i="1"/>
  <c r="S32" i="1" s="1"/>
  <c r="I32" i="1"/>
  <c r="U31" i="1"/>
  <c r="P31" i="1"/>
  <c r="L31" i="1"/>
  <c r="K31" i="1"/>
  <c r="J31" i="1"/>
  <c r="T31" i="1" s="1"/>
  <c r="I31" i="1"/>
  <c r="U30" i="1"/>
  <c r="P30" i="1"/>
  <c r="L30" i="1"/>
  <c r="K30" i="1"/>
  <c r="J30" i="1"/>
  <c r="S30" i="1" s="1"/>
  <c r="I30" i="1"/>
  <c r="U29" i="1"/>
  <c r="P29" i="1"/>
  <c r="L29" i="1"/>
  <c r="K29" i="1"/>
  <c r="J29" i="1"/>
  <c r="T29" i="1" s="1"/>
  <c r="I29" i="1"/>
  <c r="U28" i="1"/>
  <c r="P28" i="1"/>
  <c r="L28" i="1"/>
  <c r="K28" i="1"/>
  <c r="J28" i="1"/>
  <c r="R28" i="1" s="1"/>
  <c r="I28" i="1"/>
  <c r="U27" i="1"/>
  <c r="P27" i="1"/>
  <c r="L27" i="1"/>
  <c r="K27" i="1"/>
  <c r="J27" i="1"/>
  <c r="T27" i="1" s="1"/>
  <c r="I27" i="1"/>
  <c r="P26" i="1"/>
  <c r="J26" i="1"/>
  <c r="I26" i="1"/>
  <c r="P25" i="1"/>
  <c r="J25" i="1"/>
  <c r="T25" i="1" s="1"/>
  <c r="I25" i="1"/>
  <c r="P24" i="1"/>
  <c r="J24" i="1"/>
  <c r="Q24" i="1" s="1"/>
  <c r="I24" i="1"/>
  <c r="P23" i="1"/>
  <c r="J23" i="1"/>
  <c r="T23" i="1" s="1"/>
  <c r="I23" i="1"/>
  <c r="P22" i="1"/>
  <c r="J22" i="1"/>
  <c r="R22" i="1" s="1"/>
  <c r="I22" i="1"/>
  <c r="P21" i="1"/>
  <c r="J21" i="1"/>
  <c r="I21" i="1"/>
  <c r="P20" i="1"/>
  <c r="J20" i="1"/>
  <c r="T20" i="1" s="1"/>
  <c r="I20" i="1"/>
  <c r="P19" i="1"/>
  <c r="J19" i="1"/>
  <c r="T19" i="1" s="1"/>
  <c r="I19" i="1"/>
  <c r="P18" i="1"/>
  <c r="J18" i="1"/>
  <c r="L18" i="1" s="1"/>
  <c r="I18" i="1"/>
  <c r="P17" i="1"/>
  <c r="J17" i="1"/>
  <c r="T17" i="1" s="1"/>
  <c r="I17" i="1"/>
  <c r="P16" i="1"/>
  <c r="J16" i="1"/>
  <c r="I16" i="1"/>
  <c r="P15" i="1"/>
  <c r="J15" i="1"/>
  <c r="T15" i="1" s="1"/>
  <c r="I15" i="1"/>
  <c r="U15" i="1" s="1"/>
  <c r="P14" i="1"/>
  <c r="J14" i="1"/>
  <c r="K14" i="1" s="1"/>
  <c r="I14" i="1"/>
  <c r="P13" i="1"/>
  <c r="J13" i="1"/>
  <c r="T13" i="1" s="1"/>
  <c r="I13" i="1"/>
  <c r="P12" i="1"/>
  <c r="J12" i="1"/>
  <c r="R12" i="1" s="1"/>
  <c r="I12" i="1"/>
  <c r="J8" i="1"/>
  <c r="F8" i="1"/>
  <c r="N5" i="1"/>
  <c r="F5" i="1"/>
  <c r="U25" i="1" l="1"/>
  <c r="U12" i="1"/>
  <c r="N66" i="1" s="1"/>
  <c r="U19" i="1"/>
  <c r="U17" i="1"/>
  <c r="U21" i="1"/>
  <c r="U13" i="1"/>
  <c r="T21" i="1"/>
  <c r="N8" i="1"/>
  <c r="U23" i="1"/>
  <c r="U24" i="1"/>
  <c r="U26" i="1"/>
  <c r="U14" i="1"/>
  <c r="N69" i="1" s="1"/>
  <c r="T26" i="1"/>
  <c r="U16" i="1"/>
  <c r="S16" i="1"/>
  <c r="U22" i="1"/>
  <c r="U18" i="1"/>
  <c r="U20" i="1"/>
  <c r="A56" i="1"/>
  <c r="N70" i="1"/>
  <c r="I66" i="1"/>
  <c r="G66" i="1"/>
  <c r="K12" i="1"/>
  <c r="K20" i="1"/>
  <c r="K26" i="1"/>
  <c r="L12" i="1"/>
  <c r="L16" i="1"/>
  <c r="L20" i="1"/>
  <c r="L26" i="1"/>
  <c r="Q16" i="1"/>
  <c r="Q22" i="1"/>
  <c r="Q30" i="1"/>
  <c r="Q38" i="1"/>
  <c r="R14" i="1"/>
  <c r="R20" i="1"/>
  <c r="R24" i="1"/>
  <c r="R30" i="1"/>
  <c r="R36" i="1"/>
  <c r="R38" i="1"/>
  <c r="S22" i="1"/>
  <c r="T18" i="1"/>
  <c r="T22" i="1"/>
  <c r="T28" i="1"/>
  <c r="T32" i="1"/>
  <c r="T36" i="1"/>
  <c r="T38" i="1"/>
  <c r="A47" i="1"/>
  <c r="K16" i="1"/>
  <c r="K22" i="1"/>
  <c r="K24" i="1"/>
  <c r="L22" i="1"/>
  <c r="Q12" i="1"/>
  <c r="Q20" i="1"/>
  <c r="Q26" i="1"/>
  <c r="Q32" i="1"/>
  <c r="Q34" i="1"/>
  <c r="Q40" i="1"/>
  <c r="R16" i="1"/>
  <c r="R26" i="1"/>
  <c r="R34" i="1"/>
  <c r="S14" i="1"/>
  <c r="S20" i="1"/>
  <c r="S28" i="1"/>
  <c r="S34" i="1"/>
  <c r="T12" i="1"/>
  <c r="T30" i="1"/>
  <c r="J47" i="1"/>
  <c r="K13" i="1"/>
  <c r="K15" i="1"/>
  <c r="K17" i="1"/>
  <c r="K19" i="1"/>
  <c r="K21" i="1"/>
  <c r="K23" i="1"/>
  <c r="K25" i="1"/>
  <c r="L13" i="1"/>
  <c r="L15" i="1"/>
  <c r="L17" i="1"/>
  <c r="L19" i="1"/>
  <c r="L21" i="1"/>
  <c r="L23" i="1"/>
  <c r="L25" i="1"/>
  <c r="K18" i="1"/>
  <c r="L14" i="1"/>
  <c r="J56" i="1"/>
  <c r="Q18" i="1"/>
  <c r="Q28" i="1"/>
  <c r="R18" i="1"/>
  <c r="S12" i="1"/>
  <c r="S18" i="1"/>
  <c r="S24" i="1"/>
  <c r="S40" i="1"/>
  <c r="T16" i="1"/>
  <c r="T24" i="1"/>
  <c r="J5" i="1"/>
  <c r="Q13" i="1"/>
  <c r="Q15" i="1"/>
  <c r="Q17" i="1"/>
  <c r="Q19" i="1"/>
  <c r="Q21" i="1"/>
  <c r="Q23" i="1"/>
  <c r="Q25" i="1"/>
  <c r="Q27" i="1"/>
  <c r="Q29" i="1"/>
  <c r="Q31" i="1"/>
  <c r="Q33" i="1"/>
  <c r="Q35" i="1"/>
  <c r="Q37" i="1"/>
  <c r="Q39" i="1"/>
  <c r="L24" i="1"/>
  <c r="Q14" i="1"/>
  <c r="R32" i="1"/>
  <c r="R40" i="1"/>
  <c r="S26" i="1"/>
  <c r="S36" i="1"/>
  <c r="T14" i="1"/>
  <c r="R13" i="1"/>
  <c r="J48" i="1" s="1"/>
  <c r="R15" i="1"/>
  <c r="R17" i="1"/>
  <c r="R19" i="1"/>
  <c r="R21" i="1"/>
  <c r="R23" i="1"/>
  <c r="R25" i="1"/>
  <c r="R27" i="1"/>
  <c r="R29" i="1"/>
  <c r="R31" i="1"/>
  <c r="R33" i="1"/>
  <c r="R35" i="1"/>
  <c r="R37" i="1"/>
  <c r="R39" i="1"/>
  <c r="S13" i="1"/>
  <c r="S15" i="1"/>
  <c r="S17" i="1"/>
  <c r="S19" i="1"/>
  <c r="S21" i="1"/>
  <c r="S23" i="1"/>
  <c r="S25" i="1"/>
  <c r="S27" i="1"/>
  <c r="S29" i="1"/>
  <c r="S31" i="1"/>
  <c r="S33" i="1"/>
  <c r="S35" i="1"/>
  <c r="S37" i="1"/>
  <c r="S39" i="1"/>
  <c r="L67" i="1" l="1"/>
  <c r="I67" i="1"/>
  <c r="B69" i="1"/>
  <c r="G69" i="1"/>
  <c r="L66" i="1"/>
  <c r="B67" i="1"/>
  <c r="N67" i="1"/>
  <c r="N68" i="1"/>
  <c r="I69" i="1"/>
  <c r="G70" i="1"/>
  <c r="B66" i="1"/>
  <c r="B70" i="1"/>
  <c r="B68" i="1"/>
  <c r="L69" i="1"/>
  <c r="L70" i="1"/>
  <c r="I70" i="1"/>
  <c r="L68" i="1"/>
  <c r="G67" i="1"/>
  <c r="J50" i="1"/>
  <c r="G68" i="1"/>
  <c r="I68" i="1"/>
  <c r="J49" i="1"/>
  <c r="A51" i="1"/>
  <c r="A49" i="1"/>
  <c r="A50" i="1"/>
  <c r="A48" i="1"/>
  <c r="A52" i="1"/>
  <c r="A59" i="1"/>
  <c r="A61" i="1"/>
  <c r="A58" i="1"/>
  <c r="A60" i="1"/>
  <c r="A57" i="1"/>
  <c r="J51" i="1"/>
  <c r="J52" i="1"/>
  <c r="J59" i="1"/>
  <c r="J57" i="1"/>
  <c r="J61" i="1"/>
  <c r="J60" i="1"/>
  <c r="J5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E11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Influencia del stakeholder sobre decisiones, recursos o legitimidad del proyecto.</t>
        </r>
      </text>
    </comment>
    <comment ref="F11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Interés real del stakeholder en el proyecto y su resultado.</t>
        </r>
      </text>
    </comment>
    <comment ref="G11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Apoyo actual: 1 oposición abierta, 3 neutral, 5 promotor.</t>
        </r>
      </text>
    </comment>
    <comment ref="I11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Prioridad calculada automáticamente a partir de los pesos editables.</t>
        </r>
      </text>
    </comment>
    <comment ref="J11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Cuadrante automático según los umbrales de influencia e interés.</t>
        </r>
      </text>
    </comment>
  </commentList>
</comments>
</file>

<file path=xl/sharedStrings.xml><?xml version="1.0" encoding="utf-8"?>
<sst xmlns="http://schemas.openxmlformats.org/spreadsheetml/2006/main" count="154" uniqueCount="113">
  <si>
    <t>MAPA DE STAKEHOLDERS</t>
  </si>
  <si>
    <t>Modelo funcional listo para usar | ejemplo cargado: sistema municipal de bicicletas eléctricas compartidas</t>
  </si>
  <si>
    <t>Celdas beige = editables. Escala 1-5: Influencia e Interés (1 bajo, 5 alto) · Apoyo (1 oposición, 3 neutral, 5 promotor) · Urgencia (1 puede esperar, 5 inmediata).</t>
  </si>
  <si>
    <t>Parámetros del mapa</t>
  </si>
  <si>
    <t>Stakeholders cargados</t>
  </si>
  <si>
    <t>Actores clave</t>
  </si>
  <si>
    <t>Oposición crítica</t>
  </si>
  <si>
    <t>Umbral influencia alta</t>
  </si>
  <si>
    <t>Editar</t>
  </si>
  <si>
    <t>Umbral interés alto</t>
  </si>
  <si>
    <t>Peso influencia</t>
  </si>
  <si>
    <t>Acciones pendientes</t>
  </si>
  <si>
    <t>Apoyo medio</t>
  </si>
  <si>
    <t>Prioridad media</t>
  </si>
  <si>
    <t>Peso interés</t>
  </si>
  <si>
    <t>Peso apoyo inverso</t>
  </si>
  <si>
    <t>Peso urgencia</t>
  </si>
  <si>
    <t>ID</t>
  </si>
  <si>
    <t>Stakeholder</t>
  </si>
  <si>
    <t>Tipo</t>
  </si>
  <si>
    <t>Qué le importa</t>
  </si>
  <si>
    <t>Influencia</t>
  </si>
  <si>
    <t>Interés</t>
  </si>
  <si>
    <t>Apoyo</t>
  </si>
  <si>
    <t>Urgencia</t>
  </si>
  <si>
    <t>Prioridad</t>
  </si>
  <si>
    <t>Cuadrante</t>
  </si>
  <si>
    <t>Estrategia sugerida</t>
  </si>
  <si>
    <t>Frecuencia</t>
  </si>
  <si>
    <t>Responsable</t>
  </si>
  <si>
    <t>Próxima acción</t>
  </si>
  <si>
    <t>Estado</t>
  </si>
  <si>
    <t>Riesgo</t>
  </si>
  <si>
    <t>Concejalía de Movilidad</t>
  </si>
  <si>
    <t>Institución</t>
  </si>
  <si>
    <t>Cumplir objetivos de movilidad sostenible y evitar rechazo político</t>
  </si>
  <si>
    <t>Dirección del programa</t>
  </si>
  <si>
    <t>Comité quincenal con KPIs y puntos críticos</t>
  </si>
  <si>
    <t>En curso</t>
  </si>
  <si>
    <t>Policía Local</t>
  </si>
  <si>
    <t>Seguridad vial, orden público y protocolos ante incidencias</t>
  </si>
  <si>
    <t>Líder de operaciones</t>
  </si>
  <si>
    <t>Validar protocolo de incidencias y retirada de bicis</t>
  </si>
  <si>
    <t>Pendiente</t>
  </si>
  <si>
    <t>Asociación de Comerciantes del Centro</t>
  </si>
  <si>
    <t>Comunidad</t>
  </si>
  <si>
    <t>Impacto en tráfico peatonal, reparto y visibilidad comercial</t>
  </si>
  <si>
    <t>Relaciones institucionales</t>
  </si>
  <si>
    <t>Taller de diseño sobre ubicación de estaciones</t>
  </si>
  <si>
    <t>Bloqueado</t>
  </si>
  <si>
    <t>Colectivo Ciclista Urbano</t>
  </si>
  <si>
    <t>Sociedad civil</t>
  </si>
  <si>
    <t>Calidad de carriles, cobertura y experiencia de uso</t>
  </si>
  <si>
    <t>Responsable de comunidad</t>
  </si>
  <si>
    <t>Mesa de codiseño de rutas prioritarias</t>
  </si>
  <si>
    <t>Vecindario de barrios piloto</t>
  </si>
  <si>
    <t>Ruido, ocupación del espacio público y política tarifaria</t>
  </si>
  <si>
    <t>Participación ciudadana</t>
  </si>
  <si>
    <t>Sesiones informativas por barrio antes del despliegue</t>
  </si>
  <si>
    <t>Universidad local</t>
  </si>
  <si>
    <t>Aliado</t>
  </si>
  <si>
    <t>Facilitar desplazamientos al campus y reducir uso del coche</t>
  </si>
  <si>
    <t>Partnerships</t>
  </si>
  <si>
    <t>Negociar estaciones y plan de abonos estudiante</t>
  </si>
  <si>
    <t>Operador tecnológico de la app</t>
  </si>
  <si>
    <t>Proveedor</t>
  </si>
  <si>
    <t>Integración de pagos, disponibilidad y trazabilidad del servicio</t>
  </si>
  <si>
    <t>PM técnico</t>
  </si>
  <si>
    <t>Cerrar plan de integración API y pruebas de carga</t>
  </si>
  <si>
    <t>Proveedor de mantenimiento</t>
  </si>
  <si>
    <t>SLA, piezas críticas y coste por bicicleta operativa</t>
  </si>
  <si>
    <t>Gerencia de operaciones</t>
  </si>
  <si>
    <t>Definir stock de repuestos y tiempos máximos de respuesta</t>
  </si>
  <si>
    <t>Aseguradora del servicio</t>
  </si>
  <si>
    <t>Siniestralidad, coberturas y límites de responsabilidad</t>
  </si>
  <si>
    <t>Legal y compliance</t>
  </si>
  <si>
    <t>Revisar póliza, franquicias y exclusiones</t>
  </si>
  <si>
    <t>Medios locales</t>
  </si>
  <si>
    <t>Medios</t>
  </si>
  <si>
    <t>Acceso a datos, relato público y gestión de incidencias visibles</t>
  </si>
  <si>
    <t>Comunicación</t>
  </si>
  <si>
    <t>Preparar press kit y protocolo de portavoz</t>
  </si>
  <si>
    <t>Usuarios corporativos</t>
  </si>
  <si>
    <t>Cliente</t>
  </si>
  <si>
    <t>Abonos empresa, reporting ESG y facilidad de uso</t>
  </si>
  <si>
    <t>B2B</t>
  </si>
  <si>
    <t>Diseñar piloto con 3 empresas tractoras</t>
  </si>
  <si>
    <t>Alineado</t>
  </si>
  <si>
    <t>Agencia regional de energía</t>
  </si>
  <si>
    <t>Regulador</t>
  </si>
  <si>
    <t>Seguimiento de emisiones evitadas y cumplimiento del convenio</t>
  </si>
  <si>
    <t>Dirección de programa</t>
  </si>
  <si>
    <t>Enviar reporte mensual con KPIs de impacto</t>
  </si>
  <si>
    <t>Turistas ocasionales</t>
  </si>
  <si>
    <t>Señalética simple, pago rápido y cobertura céntrica</t>
  </si>
  <si>
    <t>Marketing de producto</t>
  </si>
  <si>
    <t>Test rápido de señalética en estaciones de alto tráfico</t>
  </si>
  <si>
    <t>Asociación de personas con movilidad reducida</t>
  </si>
  <si>
    <t>Accesibilidad de estaciones y convivencia peatonal</t>
  </si>
  <si>
    <t>Diseño de servicio</t>
  </si>
  <si>
    <t>Auditoría de accesibilidad y mejoras de señalización</t>
  </si>
  <si>
    <t>Operadores de parking privado</t>
  </si>
  <si>
    <t>Competencia</t>
  </si>
  <si>
    <t>Posible sustitución de parte de la demanda de aparcamiento</t>
  </si>
  <si>
    <t>Monitorear discurso sectorial y posibles objeciones</t>
  </si>
  <si>
    <t>Gestionar de cerca</t>
  </si>
  <si>
    <t>Mantener satisfecho</t>
  </si>
  <si>
    <t>Mantener informado</t>
  </si>
  <si>
    <t>Monitorear</t>
  </si>
  <si>
    <t>Top 5 de gestión inmediata</t>
  </si>
  <si>
    <t>Rank</t>
  </si>
  <si>
    <t>Cómo usarla: ajusta umbrales y pesos, edita los stakeholders en la tabla y el mapa se reordena solo. El ejemplo está cargado para mostrar el funcionamiento completo.</t>
  </si>
  <si>
    <t>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</si>
</sst>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sz val="11"/>
      <color rgb="FF121528"/>
      <name val="Calibri"/>
    </font>
    <font>
      <sz val="10"/>
      <color rgb="FF121528"/>
      <name val="Calibri"/>
    </font>
    <font>
      <b/>
      <sz val="12"/>
      <color rgb="FFFFFFFF"/>
      <name val="Calibri"/>
    </font>
    <font>
      <b/>
      <sz val="10"/>
      <color rgb="FF121528"/>
      <name val="Calibri"/>
    </font>
    <font>
      <i/>
      <sz val="9"/>
      <color rgb="FF6B7280"/>
      <name val="Calibri"/>
    </font>
    <font>
      <b/>
      <sz val="10"/>
      <color rgb="FFFFFFFF"/>
      <name val="Calibri"/>
    </font>
    <font>
      <b/>
      <sz val="17"/>
      <color rgb="FF121528"/>
      <name val="Calibri"/>
    </font>
    <font>
      <b/>
      <sz val="12"/>
      <color rgb="FF121528"/>
      <name val="Calibri"/>
    </font>
    <font>
      <b/>
      <sz val="11"/>
      <color rgb="FF121528"/>
      <name val="Calibri"/>
    </font>
  </fonts>
  <fills count="8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6F4EE"/>
      </patternFill>
    </fill>
    <fill>
      <patternFill patternType="solid">
        <fgColor rgb="FFFFFFFF"/>
      </patternFill>
    </fill>
    <fill>
      <patternFill patternType="solid">
        <fgColor rgb="FF44506A"/>
      </patternFill>
    </fill>
    <fill>
      <patternFill patternType="solid">
        <fgColor rgb="FFD8D3C6"/>
      </patternFill>
    </fill>
  </fills>
  <borders count="7">
    <border>
      <left/>
      <right/>
      <top/>
      <bottom/>
      <diagonal/>
    </border>
    <border>
      <left style="thin">
        <color rgb="FF121528"/>
      </left>
      <right style="thin">
        <color rgb="FF121528"/>
      </right>
      <top style="thin">
        <color rgb="FF121528"/>
      </top>
      <bottom style="thin">
        <color rgb="FF121528"/>
      </bottom>
      <diagonal/>
    </border>
    <border>
      <left style="thin">
        <color rgb="FF121528"/>
      </left>
      <right/>
      <top style="thin">
        <color rgb="FF121528"/>
      </top>
      <bottom style="thin">
        <color rgb="FF121528"/>
      </bottom>
      <diagonal/>
    </border>
    <border>
      <left/>
      <right/>
      <top style="thin">
        <color rgb="FF121528"/>
      </top>
      <bottom style="thin">
        <color rgb="FF121528"/>
      </bottom>
      <diagonal/>
    </border>
    <border>
      <left/>
      <right style="thin">
        <color rgb="FF121528"/>
      </right>
      <top style="thin">
        <color rgb="FF121528"/>
      </top>
      <bottom style="thin">
        <color rgb="FF121528"/>
      </bottom>
      <diagonal/>
    </border>
    <border>
      <left style="thin">
        <color rgb="FF121528"/>
      </left>
      <right/>
      <top style="thin">
        <color rgb="FF121528"/>
      </top>
      <bottom/>
      <diagonal/>
    </border>
    <border>
      <left/>
      <right style="thin">
        <color rgb="FF121528"/>
      </right>
      <top style="thin">
        <color rgb="FF121528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4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/>
    </xf>
    <xf numFmtId="0" fontId="0" fillId="0" borderId="1" xfId="0" applyBorder="1"/>
    <xf numFmtId="0" fontId="4" fillId="2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left" vertical="center"/>
    </xf>
    <xf numFmtId="0" fontId="3" fillId="5" borderId="6" xfId="0" applyFont="1" applyFill="1" applyBorder="1" applyAlignment="1">
      <alignment horizontal="left" vertical="center"/>
    </xf>
  </cellXfs>
  <cellStyles count="1">
    <cellStyle name="Normal" xfId="0" builtinId="0"/>
  </cellStyles>
  <dxfs count="12">
    <dxf>
      <font>
        <b/>
        <color rgb="FF121528"/>
      </font>
      <fill>
        <patternFill patternType="solid">
          <fgColor rgb="FFD9EAD3"/>
        </patternFill>
      </fill>
    </dxf>
    <dxf>
      <font>
        <b/>
        <color rgb="FF121528"/>
      </font>
      <fill>
        <patternFill patternType="solid">
          <fgColor rgb="FFFFF2CC"/>
        </patternFill>
      </fill>
    </dxf>
    <dxf>
      <font>
        <b/>
        <color rgb="FF121528"/>
      </font>
      <fill>
        <patternFill patternType="solid">
          <fgColor rgb="FFF4CCCC"/>
        </patternFill>
      </fill>
    </dxf>
    <dxf>
      <font>
        <b/>
        <color rgb="FF121528"/>
      </font>
      <fill>
        <patternFill patternType="solid">
          <fgColor rgb="FFEEECE1"/>
        </patternFill>
      </fill>
    </dxf>
    <dxf>
      <font>
        <b/>
        <color rgb="FF121528"/>
      </font>
      <fill>
        <patternFill patternType="solid">
          <fgColor rgb="FFF4CCCC"/>
        </patternFill>
      </fill>
    </dxf>
    <dxf>
      <font>
        <b/>
        <color rgb="FF121528"/>
      </font>
      <fill>
        <patternFill patternType="solid">
          <fgColor rgb="FFD9EAD3"/>
        </patternFill>
      </fill>
    </dxf>
    <dxf>
      <font>
        <b/>
        <color rgb="FF121528"/>
      </font>
      <fill>
        <patternFill patternType="solid">
          <fgColor rgb="FFD9E6F2"/>
        </patternFill>
      </fill>
    </dxf>
    <dxf>
      <font>
        <b/>
        <color rgb="FF121528"/>
      </font>
      <fill>
        <patternFill patternType="solid">
          <fgColor rgb="FFFFF2CC"/>
        </patternFill>
      </fill>
    </dxf>
    <dxf>
      <font>
        <b/>
        <color rgb="FF121528"/>
      </font>
      <fill>
        <patternFill patternType="solid">
          <fgColor rgb="FFD8D3C6"/>
        </patternFill>
      </fill>
    </dxf>
    <dxf>
      <font>
        <b/>
        <color rgb="FF121528"/>
      </font>
      <fill>
        <patternFill patternType="solid">
          <fgColor rgb="FFEEECE1"/>
        </patternFill>
      </fill>
    </dxf>
    <dxf>
      <font>
        <b/>
        <color rgb="FFFFFFFF"/>
      </font>
      <fill>
        <patternFill patternType="solid">
          <fgColor rgb="FF44506A"/>
        </patternFill>
      </fill>
    </dxf>
    <dxf>
      <font>
        <b/>
        <color rgb="FFFFFFFF"/>
      </font>
      <fill>
        <patternFill patternType="solid">
          <fgColor rgb="FF121528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4"/>
  <sheetViews>
    <sheetView showGridLines="0" tabSelected="1" workbookViewId="0">
      <pane ySplit="11" topLeftCell="A13" activePane="bottomLeft" state="frozen"/>
      <selection pane="bottomLeft" activeCell="I7" sqref="I7"/>
    </sheetView>
  </sheetViews>
  <sheetFormatPr baseColWidth="10" defaultColWidth="9.140625" defaultRowHeight="15" x14ac:dyDescent="0.25"/>
  <cols>
    <col min="1" max="1" width="4.85546875" customWidth="1"/>
    <col min="2" max="2" width="39.5703125" bestFit="1" customWidth="1"/>
    <col min="3" max="3" width="12" bestFit="1" customWidth="1"/>
    <col min="4" max="4" width="54.7109375" bestFit="1" customWidth="1"/>
    <col min="5" max="5" width="13" bestFit="1" customWidth="1"/>
    <col min="6" max="6" width="11.140625" bestFit="1" customWidth="1"/>
    <col min="7" max="7" width="10.5703125" bestFit="1" customWidth="1"/>
    <col min="8" max="8" width="12.28515625" bestFit="1" customWidth="1"/>
    <col min="9" max="9" width="12.7109375" bestFit="1" customWidth="1"/>
    <col min="10" max="10" width="17.5703125" bestFit="1" customWidth="1"/>
    <col min="11" max="11" width="23.140625" bestFit="1" customWidth="1"/>
    <col min="12" max="12" width="13.85546875" bestFit="1" customWidth="1"/>
    <col min="13" max="13" width="22.85546875" bestFit="1" customWidth="1"/>
    <col min="14" max="14" width="48.42578125" bestFit="1" customWidth="1"/>
    <col min="15" max="15" width="10.7109375" bestFit="1" customWidth="1"/>
    <col min="16" max="16" width="10.5703125" bestFit="1" customWidth="1"/>
    <col min="17" max="20" width="2" bestFit="1" customWidth="1"/>
    <col min="21" max="21" width="3" bestFit="1" customWidth="1"/>
  </cols>
  <sheetData>
    <row r="1" spans="1:21" ht="27.95" customHeight="1" x14ac:dyDescent="0.2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21" ht="24" customHeight="1" x14ac:dyDescent="0.2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21" ht="21" customHeight="1" x14ac:dyDescent="0.25">
      <c r="A3" s="16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pans="1:21" ht="21" customHeight="1" x14ac:dyDescent="0.25">
      <c r="A4" s="26" t="s">
        <v>3</v>
      </c>
      <c r="B4" s="27"/>
      <c r="C4" s="27"/>
      <c r="D4" s="28"/>
      <c r="F4" s="14" t="s">
        <v>4</v>
      </c>
      <c r="G4" s="14"/>
      <c r="H4" s="14"/>
      <c r="J4" s="14" t="s">
        <v>5</v>
      </c>
      <c r="K4" s="14"/>
      <c r="L4" s="14"/>
      <c r="N4" s="14" t="s">
        <v>6</v>
      </c>
      <c r="O4" s="14"/>
      <c r="P4" s="14"/>
    </row>
    <row r="5" spans="1:21" ht="21" customHeight="1" x14ac:dyDescent="0.25">
      <c r="A5" s="29" t="s">
        <v>7</v>
      </c>
      <c r="B5" s="30"/>
      <c r="C5" s="3">
        <v>4</v>
      </c>
      <c r="D5" s="4" t="s">
        <v>8</v>
      </c>
      <c r="F5" s="17">
        <f>COUNTA($B$12:$B$40)</f>
        <v>15</v>
      </c>
      <c r="G5" s="18"/>
      <c r="H5" s="18"/>
      <c r="J5" s="17">
        <f>COUNTIF($J$12:$J$40,"Gestionar de cerca")</f>
        <v>4</v>
      </c>
      <c r="K5" s="18"/>
      <c r="L5" s="18"/>
      <c r="N5" s="17">
        <f>COUNTIFS($E$12:$E$40,"&gt;="&amp;$C$5,$G$12:$G$40,"&lt;=2")</f>
        <v>1</v>
      </c>
      <c r="O5" s="18"/>
      <c r="P5" s="18"/>
    </row>
    <row r="6" spans="1:21" ht="21" customHeight="1" x14ac:dyDescent="0.25">
      <c r="A6" s="29" t="s">
        <v>9</v>
      </c>
      <c r="B6" s="30"/>
      <c r="C6" s="3">
        <v>4</v>
      </c>
      <c r="D6" s="4" t="s">
        <v>8</v>
      </c>
      <c r="F6" s="18"/>
      <c r="G6" s="18"/>
      <c r="H6" s="18"/>
      <c r="J6" s="18"/>
      <c r="K6" s="18"/>
      <c r="L6" s="18"/>
      <c r="N6" s="18"/>
      <c r="O6" s="18"/>
      <c r="P6" s="18"/>
    </row>
    <row r="7" spans="1:21" ht="21" customHeight="1" x14ac:dyDescent="0.25">
      <c r="A7" s="29" t="s">
        <v>10</v>
      </c>
      <c r="B7" s="30"/>
      <c r="C7" s="3">
        <v>35</v>
      </c>
      <c r="D7" s="4" t="s">
        <v>8</v>
      </c>
      <c r="F7" s="14" t="s">
        <v>11</v>
      </c>
      <c r="G7" s="14"/>
      <c r="H7" s="14"/>
      <c r="J7" s="14" t="s">
        <v>12</v>
      </c>
      <c r="K7" s="14"/>
      <c r="L7" s="14"/>
      <c r="N7" s="14" t="s">
        <v>13</v>
      </c>
      <c r="O7" s="14"/>
      <c r="P7" s="14"/>
    </row>
    <row r="8" spans="1:21" ht="21" customHeight="1" x14ac:dyDescent="0.25">
      <c r="A8" s="29" t="s">
        <v>14</v>
      </c>
      <c r="B8" s="30"/>
      <c r="C8" s="3">
        <v>25</v>
      </c>
      <c r="D8" s="4" t="s">
        <v>8</v>
      </c>
      <c r="F8" s="17">
        <f>COUNTIF($O$12:$O$40,"Pendiente")</f>
        <v>8</v>
      </c>
      <c r="G8" s="18"/>
      <c r="H8" s="18"/>
      <c r="J8" s="17">
        <f>IFERROR(ROUND(AVERAGE($G$12:$G$40),1),"")</f>
        <v>3.5</v>
      </c>
      <c r="K8" s="18"/>
      <c r="L8" s="18"/>
      <c r="N8" s="17">
        <f>IFERROR(ROUND(AVERAGE($I$12:$I$40),0),"")</f>
        <v>67</v>
      </c>
      <c r="O8" s="18"/>
      <c r="P8" s="18"/>
    </row>
    <row r="9" spans="1:21" ht="21" customHeight="1" x14ac:dyDescent="0.25">
      <c r="A9" s="29" t="s">
        <v>15</v>
      </c>
      <c r="B9" s="30"/>
      <c r="C9" s="3">
        <v>20</v>
      </c>
      <c r="D9" s="4" t="s">
        <v>8</v>
      </c>
      <c r="F9" s="18"/>
      <c r="G9" s="18"/>
      <c r="H9" s="18"/>
      <c r="J9" s="18"/>
      <c r="K9" s="18"/>
      <c r="L9" s="18"/>
      <c r="N9" s="18"/>
      <c r="O9" s="18"/>
      <c r="P9" s="18"/>
    </row>
    <row r="10" spans="1:21" ht="21" customHeight="1" x14ac:dyDescent="0.25">
      <c r="A10" s="29" t="s">
        <v>16</v>
      </c>
      <c r="B10" s="30"/>
      <c r="C10" s="3">
        <v>20</v>
      </c>
      <c r="D10" s="4" t="s">
        <v>8</v>
      </c>
    </row>
    <row r="11" spans="1:21" ht="32.1" customHeight="1" x14ac:dyDescent="0.25">
      <c r="A11" s="2" t="s">
        <v>17</v>
      </c>
      <c r="B11" s="2" t="s">
        <v>18</v>
      </c>
      <c r="C11" s="2" t="s">
        <v>19</v>
      </c>
      <c r="D11" s="2" t="s">
        <v>20</v>
      </c>
      <c r="E11" s="2" t="s">
        <v>21</v>
      </c>
      <c r="F11" s="2" t="s">
        <v>22</v>
      </c>
      <c r="G11" s="2" t="s">
        <v>23</v>
      </c>
      <c r="H11" s="2" t="s">
        <v>24</v>
      </c>
      <c r="I11" s="2" t="s">
        <v>25</v>
      </c>
      <c r="J11" s="2" t="s">
        <v>26</v>
      </c>
      <c r="K11" s="2" t="s">
        <v>27</v>
      </c>
      <c r="L11" s="2" t="s">
        <v>28</v>
      </c>
      <c r="M11" s="2" t="s">
        <v>29</v>
      </c>
      <c r="N11" s="2" t="s">
        <v>30</v>
      </c>
      <c r="O11" s="2" t="s">
        <v>31</v>
      </c>
      <c r="P11" s="2" t="s">
        <v>32</v>
      </c>
    </row>
    <row r="12" spans="1:21" ht="21" customHeight="1" x14ac:dyDescent="0.25">
      <c r="A12" s="5">
        <v>1</v>
      </c>
      <c r="B12" s="6" t="s">
        <v>33</v>
      </c>
      <c r="C12" s="6" t="s">
        <v>34</v>
      </c>
      <c r="D12" s="6" t="s">
        <v>35</v>
      </c>
      <c r="E12" s="6">
        <v>5</v>
      </c>
      <c r="F12" s="6">
        <v>5</v>
      </c>
      <c r="G12" s="6">
        <v>4</v>
      </c>
      <c r="H12" s="6">
        <v>5</v>
      </c>
      <c r="I12" s="7">
        <f>IF($B12="","",ROUND((E12*$C$7+F12*$C$8+(6-G12)*$C$9+H12*$C$10)/SUM($C$7:$C$10)*20,0))</f>
        <v>88</v>
      </c>
      <c r="J12" s="7" t="str">
        <f>IF($B12="","",IF(AND(E12&gt;=$C$5,F12&gt;=$C$6),"Gestionar de cerca",IF(AND(E12&gt;=$C$5,F12&lt;$C$6),"Mantener satisfecho",IF(AND(E12&lt;$C$5,F12&gt;=$C$6),"Mantener informado","Monitorear"))))</f>
        <v>Gestionar de cerca</v>
      </c>
      <c r="K12" s="1" t="str">
        <f t="shared" ref="K12:K40" si="0">IF($B12="","",IF(AND(J12="Gestionar de cerca",G12&lt;=2),"Reconducir y negociar",IF(J12="Gestionar de cerca","Codiseñar y revisar",IF(J12="Mantener satisfecho","Mantener conformidad",IF(J12="Mantener informado","Informar y escuchar","Monitorear sin sobreactuar")))))</f>
        <v>Codiseñar y revisar</v>
      </c>
      <c r="L12" s="1" t="str">
        <f t="shared" ref="L12:L40" si="1">IF($B12="","",IF(J12="Gestionar de cerca","Semanal",IF(J12="Mantener satisfecho","Quincenal",IF(J12="Mantener informado","Mensual","Bimestral"))))</f>
        <v>Semanal</v>
      </c>
      <c r="M12" s="6" t="s">
        <v>36</v>
      </c>
      <c r="N12" s="6" t="s">
        <v>37</v>
      </c>
      <c r="O12" s="6" t="s">
        <v>38</v>
      </c>
      <c r="P12" s="8" t="str">
        <f>IF($B12="","",IF(AND(E12&gt;=$C$5,G12&lt;=2),"Alto",IF(AND(E12&gt;=3,G12=3),"Medio","Bajo")))</f>
        <v>Bajo</v>
      </c>
      <c r="Q12" s="9">
        <f>IF($J12="Gestionar de cerca",COUNTIF($J$12:J12,"Gestionar de cerca"),"")</f>
        <v>1</v>
      </c>
      <c r="R12" s="9" t="str">
        <f>IF($J12="Mantener satisfecho",COUNTIF($J$12:J12,"Mantener satisfecho"),"")</f>
        <v/>
      </c>
      <c r="S12" s="9" t="str">
        <f>IF($J12="Mantener informado",COUNTIF($J$12:J12,"Mantener informado"),"")</f>
        <v/>
      </c>
      <c r="T12" s="9" t="str">
        <f>IF($J12="Monitorear",COUNTIF($J$12:J12,"Monitorear"),"")</f>
        <v/>
      </c>
      <c r="U12" s="9">
        <f>IF($B12="","",COUNTIF($I$12:$I$40,"&gt;"&amp;$I12)+COUNTIF($I$12:I12,$I12))</f>
        <v>1</v>
      </c>
    </row>
    <row r="13" spans="1:21" ht="21" customHeight="1" x14ac:dyDescent="0.25">
      <c r="A13" s="5">
        <v>2</v>
      </c>
      <c r="B13" s="6" t="s">
        <v>39</v>
      </c>
      <c r="C13" s="6" t="s">
        <v>34</v>
      </c>
      <c r="D13" s="6" t="s">
        <v>40</v>
      </c>
      <c r="E13" s="6">
        <v>4</v>
      </c>
      <c r="F13" s="6">
        <v>3</v>
      </c>
      <c r="G13" s="6">
        <v>3</v>
      </c>
      <c r="H13" s="6">
        <v>4</v>
      </c>
      <c r="I13" s="7">
        <f>IF($B13="","",ROUND((E13*$C$7+F13*$C$8+(6-G13)*$C$9+H13*$C$10)/SUM($C$7:$C$10)*20,0))</f>
        <v>71</v>
      </c>
      <c r="J13" s="7" t="str">
        <f>IF($B13="","",IF(AND(E13&gt;=$C$5,F13&gt;=$C$6),"Gestionar de cerca",IF(AND(E13&gt;=$C$5,F13&lt;$C$6),"Mantener satisfecho",IF(AND(E13&lt;$C$5,F13&gt;=$C$6),"Mantener informado","Monitorear"))))</f>
        <v>Mantener satisfecho</v>
      </c>
      <c r="K13" s="1" t="str">
        <f t="shared" si="0"/>
        <v>Mantener conformidad</v>
      </c>
      <c r="L13" s="1" t="str">
        <f t="shared" si="1"/>
        <v>Quincenal</v>
      </c>
      <c r="M13" s="6" t="s">
        <v>41</v>
      </c>
      <c r="N13" s="6" t="s">
        <v>42</v>
      </c>
      <c r="O13" s="6" t="s">
        <v>43</v>
      </c>
      <c r="P13" s="8" t="str">
        <f>IF($B13="","",IF(AND(E13&gt;=$C$5,G13&lt;=2),"Alto",IF(AND(E13&gt;=3,G13=3),"Medio","Bajo")))</f>
        <v>Medio</v>
      </c>
      <c r="Q13" s="9" t="str">
        <f>IF($J13="Gestionar de cerca",COUNTIF($J$12:J13,"Gestionar de cerca"),"")</f>
        <v/>
      </c>
      <c r="R13" s="9">
        <f>IF($J13="Mantener satisfecho",COUNTIF($J$12:J13,"Mantener satisfecho"),"")</f>
        <v>1</v>
      </c>
      <c r="S13" s="9" t="str">
        <f>IF($J13="Mantener informado",COUNTIF($J$12:J13,"Mantener informado"),"")</f>
        <v/>
      </c>
      <c r="T13" s="9" t="str">
        <f>IF($J13="Monitorear",COUNTIF($J$12:J13,"Monitorear"),"")</f>
        <v/>
      </c>
      <c r="U13" s="9">
        <f>IF($B13="","",COUNTIF($I$12:$I$40,"&gt;"&amp;$I13)+COUNTIF($I$12:I13,$I13))</f>
        <v>7</v>
      </c>
    </row>
    <row r="14" spans="1:21" ht="21" customHeight="1" x14ac:dyDescent="0.25">
      <c r="A14" s="5">
        <v>3</v>
      </c>
      <c r="B14" s="6" t="s">
        <v>44</v>
      </c>
      <c r="C14" s="6" t="s">
        <v>45</v>
      </c>
      <c r="D14" s="6" t="s">
        <v>46</v>
      </c>
      <c r="E14" s="6">
        <v>4</v>
      </c>
      <c r="F14" s="6">
        <v>4</v>
      </c>
      <c r="G14" s="6">
        <v>2</v>
      </c>
      <c r="H14" s="6">
        <v>4</v>
      </c>
      <c r="I14" s="7">
        <f>IF($B14="","",ROUND((E14*$C$7+F14*$C$8+(6-G14)*$C$9+H14*$C$10)/SUM($C$7:$C$10)*20,0))</f>
        <v>80</v>
      </c>
      <c r="J14" s="7" t="str">
        <f>IF($B14="","",IF(AND(E14&gt;=$C$5,F14&gt;=$C$6),"Gestionar de cerca",IF(AND(E14&gt;=$C$5,F14&lt;$C$6),"Mantener satisfecho",IF(AND(E14&lt;$C$5,F14&gt;=$C$6),"Mantener informado","Monitorear"))))</f>
        <v>Gestionar de cerca</v>
      </c>
      <c r="K14" s="1" t="str">
        <f t="shared" si="0"/>
        <v>Reconducir y negociar</v>
      </c>
      <c r="L14" s="1" t="str">
        <f t="shared" si="1"/>
        <v>Semanal</v>
      </c>
      <c r="M14" s="6" t="s">
        <v>47</v>
      </c>
      <c r="N14" s="6" t="s">
        <v>48</v>
      </c>
      <c r="O14" s="6" t="s">
        <v>49</v>
      </c>
      <c r="P14" s="8" t="str">
        <f>IF($B14="","",IF(AND(E14&gt;=$C$5,G14&lt;=2),"Alto",IF(AND(E14&gt;=3,G14=3),"Medio","Bajo")))</f>
        <v>Alto</v>
      </c>
      <c r="Q14" s="9">
        <f>IF($J14="Gestionar de cerca",COUNTIF($J$12:J14,"Gestionar de cerca"),"")</f>
        <v>2</v>
      </c>
      <c r="R14" s="9" t="str">
        <f>IF($J14="Mantener satisfecho",COUNTIF($J$12:J14,"Mantener satisfecho"),"")</f>
        <v/>
      </c>
      <c r="S14" s="9" t="str">
        <f>IF($J14="Mantener informado",COUNTIF($J$12:J14,"Mantener informado"),"")</f>
        <v/>
      </c>
      <c r="T14" s="9" t="str">
        <f>IF($J14="Monitorear",COUNTIF($J$12:J14,"Monitorear"),"")</f>
        <v/>
      </c>
      <c r="U14" s="9">
        <f>IF($B14="","",COUNTIF($I$12:$I$40,"&gt;"&amp;$I14)+COUNTIF($I$12:I14,$I14))</f>
        <v>4</v>
      </c>
    </row>
    <row r="15" spans="1:21" ht="21" customHeight="1" x14ac:dyDescent="0.25">
      <c r="A15" s="5">
        <v>4</v>
      </c>
      <c r="B15" s="6" t="s">
        <v>50</v>
      </c>
      <c r="C15" s="6" t="s">
        <v>51</v>
      </c>
      <c r="D15" s="6" t="s">
        <v>52</v>
      </c>
      <c r="E15" s="6">
        <v>3</v>
      </c>
      <c r="F15" s="6">
        <v>5</v>
      </c>
      <c r="G15" s="6">
        <v>5</v>
      </c>
      <c r="H15" s="6">
        <v>3</v>
      </c>
      <c r="I15" s="7">
        <f>IF($B15="","",ROUND((E15*$C$7+F15*$C$8+(6-G15)*$C$9+H15*$C$10)/SUM($C$7:$C$10)*20,0))</f>
        <v>62</v>
      </c>
      <c r="J15" s="7" t="str">
        <f>IF($B15="","",IF(AND(E15&gt;=$C$5,F15&gt;=$C$6),"Gestionar de cerca",IF(AND(E15&gt;=$C$5,F15&lt;$C$6),"Mantener satisfecho",IF(AND(E15&lt;$C$5,F15&gt;=$C$6),"Mantener informado","Monitorear"))))</f>
        <v>Mantener informado</v>
      </c>
      <c r="K15" s="1" t="str">
        <f t="shared" si="0"/>
        <v>Informar y escuchar</v>
      </c>
      <c r="L15" s="1" t="str">
        <f t="shared" si="1"/>
        <v>Mensual</v>
      </c>
      <c r="M15" s="6" t="s">
        <v>53</v>
      </c>
      <c r="N15" s="6" t="s">
        <v>54</v>
      </c>
      <c r="O15" s="6" t="s">
        <v>38</v>
      </c>
      <c r="P15" s="8" t="str">
        <f>IF($B15="","",IF(AND(E15&gt;=$C$5,G15&lt;=2),"Alto",IF(AND(E15&gt;=3,G15=3),"Medio","Bajo")))</f>
        <v>Bajo</v>
      </c>
      <c r="Q15" s="9" t="str">
        <f>IF($J15="Gestionar de cerca",COUNTIF($J$12:J15,"Gestionar de cerca"),"")</f>
        <v/>
      </c>
      <c r="R15" s="9" t="str">
        <f>IF($J15="Mantener satisfecho",COUNTIF($J$12:J15,"Mantener satisfecho"),"")</f>
        <v/>
      </c>
      <c r="S15" s="9">
        <f>IF($J15="Mantener informado",COUNTIF($J$12:J15,"Mantener informado"),"")</f>
        <v>1</v>
      </c>
      <c r="T15" s="9" t="str">
        <f>IF($J15="Monitorear",COUNTIF($J$12:J15,"Monitorear"),"")</f>
        <v/>
      </c>
      <c r="U15" s="9">
        <f>IF($B15="","",COUNTIF($I$12:$I$40,"&gt;"&amp;$I15)+COUNTIF($I$12:I15,$I15))</f>
        <v>10</v>
      </c>
    </row>
    <row r="16" spans="1:21" ht="21" customHeight="1" x14ac:dyDescent="0.25">
      <c r="A16" s="5">
        <v>5</v>
      </c>
      <c r="B16" s="6" t="s">
        <v>55</v>
      </c>
      <c r="C16" s="6" t="s">
        <v>45</v>
      </c>
      <c r="D16" s="6" t="s">
        <v>56</v>
      </c>
      <c r="E16" s="6">
        <v>3</v>
      </c>
      <c r="F16" s="6">
        <v>4</v>
      </c>
      <c r="G16" s="6">
        <v>2</v>
      </c>
      <c r="H16" s="6">
        <v>4</v>
      </c>
      <c r="I16" s="7">
        <f>IF($B16="","",ROUND((E16*$C$7+F16*$C$8+(6-G16)*$C$9+H16*$C$10)/SUM($C$7:$C$10)*20,0))</f>
        <v>73</v>
      </c>
      <c r="J16" s="7" t="str">
        <f>IF($B16="","",IF(AND(E16&gt;=$C$5,F16&gt;=$C$6),"Gestionar de cerca",IF(AND(E16&gt;=$C$5,F16&lt;$C$6),"Mantener satisfecho",IF(AND(E16&lt;$C$5,F16&gt;=$C$6),"Mantener informado","Monitorear"))))</f>
        <v>Mantener informado</v>
      </c>
      <c r="K16" s="1" t="str">
        <f t="shared" si="0"/>
        <v>Informar y escuchar</v>
      </c>
      <c r="L16" s="1" t="str">
        <f t="shared" si="1"/>
        <v>Mensual</v>
      </c>
      <c r="M16" s="6" t="s">
        <v>57</v>
      </c>
      <c r="N16" s="6" t="s">
        <v>58</v>
      </c>
      <c r="O16" s="6" t="s">
        <v>43</v>
      </c>
      <c r="P16" s="8" t="str">
        <f>IF($B16="","",IF(AND(E16&gt;=$C$5,G16&lt;=2),"Alto",IF(AND(E16&gt;=3,G16=3),"Medio","Bajo")))</f>
        <v>Bajo</v>
      </c>
      <c r="Q16" s="9" t="str">
        <f>IF($J16="Gestionar de cerca",COUNTIF($J$12:J16,"Gestionar de cerca"),"")</f>
        <v/>
      </c>
      <c r="R16" s="9" t="str">
        <f>IF($J16="Mantener satisfecho",COUNTIF($J$12:J16,"Mantener satisfecho"),"")</f>
        <v/>
      </c>
      <c r="S16" s="9">
        <f>IF($J16="Mantener informado",COUNTIF($J$12:J16,"Mantener informado"),"")</f>
        <v>2</v>
      </c>
      <c r="T16" s="9" t="str">
        <f>IF($J16="Monitorear",COUNTIF($J$12:J16,"Monitorear"),"")</f>
        <v/>
      </c>
      <c r="U16" s="9">
        <f>IF($B16="","",COUNTIF($I$12:$I$40,"&gt;"&amp;$I16)+COUNTIF($I$12:I16,$I16))</f>
        <v>6</v>
      </c>
    </row>
    <row r="17" spans="1:21" ht="21" customHeight="1" x14ac:dyDescent="0.25">
      <c r="A17" s="5">
        <v>6</v>
      </c>
      <c r="B17" s="6" t="s">
        <v>59</v>
      </c>
      <c r="C17" s="6" t="s">
        <v>60</v>
      </c>
      <c r="D17" s="6" t="s">
        <v>61</v>
      </c>
      <c r="E17" s="6">
        <v>3</v>
      </c>
      <c r="F17" s="6">
        <v>4</v>
      </c>
      <c r="G17" s="6">
        <v>4</v>
      </c>
      <c r="H17" s="6">
        <v>3</v>
      </c>
      <c r="I17" s="7">
        <f>IF($B17="","",ROUND((E17*$C$7+F17*$C$8+(6-G17)*$C$9+H17*$C$10)/SUM($C$7:$C$10)*20,0))</f>
        <v>61</v>
      </c>
      <c r="J17" s="7" t="str">
        <f>IF($B17="","",IF(AND(E17&gt;=$C$5,F17&gt;=$C$6),"Gestionar de cerca",IF(AND(E17&gt;=$C$5,F17&lt;$C$6),"Mantener satisfecho",IF(AND(E17&lt;$C$5,F17&gt;=$C$6),"Mantener informado","Monitorear"))))</f>
        <v>Mantener informado</v>
      </c>
      <c r="K17" s="1" t="str">
        <f t="shared" si="0"/>
        <v>Informar y escuchar</v>
      </c>
      <c r="L17" s="1" t="str">
        <f t="shared" si="1"/>
        <v>Mensual</v>
      </c>
      <c r="M17" s="6" t="s">
        <v>62</v>
      </c>
      <c r="N17" s="6" t="s">
        <v>63</v>
      </c>
      <c r="O17" s="6" t="s">
        <v>38</v>
      </c>
      <c r="P17" s="8" t="str">
        <f>IF($B17="","",IF(AND(E17&gt;=$C$5,G17&lt;=2),"Alto",IF(AND(E17&gt;=3,G17=3),"Medio","Bajo")))</f>
        <v>Bajo</v>
      </c>
      <c r="Q17" s="9" t="str">
        <f>IF($J17="Gestionar de cerca",COUNTIF($J$12:J17,"Gestionar de cerca"),"")</f>
        <v/>
      </c>
      <c r="R17" s="9" t="str">
        <f>IF($J17="Mantener satisfecho",COUNTIF($J$12:J17,"Mantener satisfecho"),"")</f>
        <v/>
      </c>
      <c r="S17" s="9">
        <f>IF($J17="Mantener informado",COUNTIF($J$12:J17,"Mantener informado"),"")</f>
        <v>3</v>
      </c>
      <c r="T17" s="9" t="str">
        <f>IF($J17="Monitorear",COUNTIF($J$12:J17,"Monitorear"),"")</f>
        <v/>
      </c>
      <c r="U17" s="9">
        <f>IF($B17="","",COUNTIF($I$12:$I$40,"&gt;"&amp;$I17)+COUNTIF($I$12:I17,$I17))</f>
        <v>11</v>
      </c>
    </row>
    <row r="18" spans="1:21" ht="21" customHeight="1" x14ac:dyDescent="0.25">
      <c r="A18" s="5">
        <v>7</v>
      </c>
      <c r="B18" s="6" t="s">
        <v>64</v>
      </c>
      <c r="C18" s="6" t="s">
        <v>65</v>
      </c>
      <c r="D18" s="6" t="s">
        <v>66</v>
      </c>
      <c r="E18" s="6">
        <v>4</v>
      </c>
      <c r="F18" s="6">
        <v>5</v>
      </c>
      <c r="G18" s="6">
        <v>4</v>
      </c>
      <c r="H18" s="6">
        <v>5</v>
      </c>
      <c r="I18" s="7">
        <f>IF($B18="","",ROUND((E18*$C$7+F18*$C$8+(6-G18)*$C$9+H18*$C$10)/SUM($C$7:$C$10)*20,0))</f>
        <v>81</v>
      </c>
      <c r="J18" s="7" t="str">
        <f>IF($B18="","",IF(AND(E18&gt;=$C$5,F18&gt;=$C$6),"Gestionar de cerca",IF(AND(E18&gt;=$C$5,F18&lt;$C$6),"Mantener satisfecho",IF(AND(E18&lt;$C$5,F18&gt;=$C$6),"Mantener informado","Monitorear"))))</f>
        <v>Gestionar de cerca</v>
      </c>
      <c r="K18" s="1" t="str">
        <f t="shared" si="0"/>
        <v>Codiseñar y revisar</v>
      </c>
      <c r="L18" s="1" t="str">
        <f t="shared" si="1"/>
        <v>Semanal</v>
      </c>
      <c r="M18" s="6" t="s">
        <v>67</v>
      </c>
      <c r="N18" s="6" t="s">
        <v>68</v>
      </c>
      <c r="O18" s="6" t="s">
        <v>38</v>
      </c>
      <c r="P18" s="8" t="str">
        <f>IF($B18="","",IF(AND(E18&gt;=$C$5,G18&lt;=2),"Alto",IF(AND(E18&gt;=3,G18=3),"Medio","Bajo")))</f>
        <v>Bajo</v>
      </c>
      <c r="Q18" s="9">
        <f>IF($J18="Gestionar de cerca",COUNTIF($J$12:J18,"Gestionar de cerca"),"")</f>
        <v>3</v>
      </c>
      <c r="R18" s="9" t="str">
        <f>IF($J18="Mantener satisfecho",COUNTIF($J$12:J18,"Mantener satisfecho"),"")</f>
        <v/>
      </c>
      <c r="S18" s="9" t="str">
        <f>IF($J18="Mantener informado",COUNTIF($J$12:J18,"Mantener informado"),"")</f>
        <v/>
      </c>
      <c r="T18" s="9" t="str">
        <f>IF($J18="Monitorear",COUNTIF($J$12:J18,"Monitorear"),"")</f>
        <v/>
      </c>
      <c r="U18" s="9">
        <f>IF($B18="","",COUNTIF($I$12:$I$40,"&gt;"&amp;$I18)+COUNTIF($I$12:I18,$I18))</f>
        <v>3</v>
      </c>
    </row>
    <row r="19" spans="1:21" ht="21" customHeight="1" x14ac:dyDescent="0.25">
      <c r="A19" s="5">
        <v>8</v>
      </c>
      <c r="B19" s="6" t="s">
        <v>69</v>
      </c>
      <c r="C19" s="6" t="s">
        <v>65</v>
      </c>
      <c r="D19" s="6" t="s">
        <v>70</v>
      </c>
      <c r="E19" s="6">
        <v>4</v>
      </c>
      <c r="F19" s="6">
        <v>3</v>
      </c>
      <c r="G19" s="6">
        <v>4</v>
      </c>
      <c r="H19" s="6">
        <v>5</v>
      </c>
      <c r="I19" s="7">
        <f>IF($B19="","",ROUND((E19*$C$7+F19*$C$8+(6-G19)*$C$9+H19*$C$10)/SUM($C$7:$C$10)*20,0))</f>
        <v>71</v>
      </c>
      <c r="J19" s="7" t="str">
        <f>IF($B19="","",IF(AND(E19&gt;=$C$5,F19&gt;=$C$6),"Gestionar de cerca",IF(AND(E19&gt;=$C$5,F19&lt;$C$6),"Mantener satisfecho",IF(AND(E19&lt;$C$5,F19&gt;=$C$6),"Mantener informado","Monitorear"))))</f>
        <v>Mantener satisfecho</v>
      </c>
      <c r="K19" s="1" t="str">
        <f t="shared" si="0"/>
        <v>Mantener conformidad</v>
      </c>
      <c r="L19" s="1" t="str">
        <f t="shared" si="1"/>
        <v>Quincenal</v>
      </c>
      <c r="M19" s="6" t="s">
        <v>71</v>
      </c>
      <c r="N19" s="6" t="s">
        <v>72</v>
      </c>
      <c r="O19" s="6" t="s">
        <v>43</v>
      </c>
      <c r="P19" s="8" t="str">
        <f>IF($B19="","",IF(AND(E19&gt;=$C$5,G19&lt;=2),"Alto",IF(AND(E19&gt;=3,G19=3),"Medio","Bajo")))</f>
        <v>Bajo</v>
      </c>
      <c r="Q19" s="9" t="str">
        <f>IF($J19="Gestionar de cerca",COUNTIF($J$12:J19,"Gestionar de cerca"),"")</f>
        <v/>
      </c>
      <c r="R19" s="9">
        <f>IF($J19="Mantener satisfecho",COUNTIF($J$12:J19,"Mantener satisfecho"),"")</f>
        <v>2</v>
      </c>
      <c r="S19" s="9" t="str">
        <f>IF($J19="Mantener informado",COUNTIF($J$12:J19,"Mantener informado"),"")</f>
        <v/>
      </c>
      <c r="T19" s="9" t="str">
        <f>IF($J19="Monitorear",COUNTIF($J$12:J19,"Monitorear"),"")</f>
        <v/>
      </c>
      <c r="U19" s="9">
        <f>IF($B19="","",COUNTIF($I$12:$I$40,"&gt;"&amp;$I19)+COUNTIF($I$12:I19,$I19))</f>
        <v>8</v>
      </c>
    </row>
    <row r="20" spans="1:21" ht="21" customHeight="1" x14ac:dyDescent="0.25">
      <c r="A20" s="5">
        <v>9</v>
      </c>
      <c r="B20" s="6" t="s">
        <v>73</v>
      </c>
      <c r="C20" s="6" t="s">
        <v>60</v>
      </c>
      <c r="D20" s="6" t="s">
        <v>74</v>
      </c>
      <c r="E20" s="6">
        <v>4</v>
      </c>
      <c r="F20" s="6">
        <v>2</v>
      </c>
      <c r="G20" s="6">
        <v>3</v>
      </c>
      <c r="H20" s="6">
        <v>4</v>
      </c>
      <c r="I20" s="7">
        <f>IF($B20="","",ROUND((E20*$C$7+F20*$C$8+(6-G20)*$C$9+H20*$C$10)/SUM($C$7:$C$10)*20,0))</f>
        <v>66</v>
      </c>
      <c r="J20" s="7" t="str">
        <f>IF($B20="","",IF(AND(E20&gt;=$C$5,F20&gt;=$C$6),"Gestionar de cerca",IF(AND(E20&gt;=$C$5,F20&lt;$C$6),"Mantener satisfecho",IF(AND(E20&lt;$C$5,F20&gt;=$C$6),"Mantener informado","Monitorear"))))</f>
        <v>Mantener satisfecho</v>
      </c>
      <c r="K20" s="1" t="str">
        <f t="shared" si="0"/>
        <v>Mantener conformidad</v>
      </c>
      <c r="L20" s="1" t="str">
        <f t="shared" si="1"/>
        <v>Quincenal</v>
      </c>
      <c r="M20" s="6" t="s">
        <v>75</v>
      </c>
      <c r="N20" s="6" t="s">
        <v>76</v>
      </c>
      <c r="O20" s="6" t="s">
        <v>43</v>
      </c>
      <c r="P20" s="8" t="str">
        <f>IF($B20="","",IF(AND(E20&gt;=$C$5,G20&lt;=2),"Alto",IF(AND(E20&gt;=3,G20=3),"Medio","Bajo")))</f>
        <v>Medio</v>
      </c>
      <c r="Q20" s="9" t="str">
        <f>IF($J20="Gestionar de cerca",COUNTIF($J$12:J20,"Gestionar de cerca"),"")</f>
        <v/>
      </c>
      <c r="R20" s="9">
        <f>IF($J20="Mantener satisfecho",COUNTIF($J$12:J20,"Mantener satisfecho"),"")</f>
        <v>3</v>
      </c>
      <c r="S20" s="9" t="str">
        <f>IF($J20="Mantener informado",COUNTIF($J$12:J20,"Mantener informado"),"")</f>
        <v/>
      </c>
      <c r="T20" s="9" t="str">
        <f>IF($J20="Monitorear",COUNTIF($J$12:J20,"Monitorear"),"")</f>
        <v/>
      </c>
      <c r="U20" s="9">
        <f>IF($B20="","",COUNTIF($I$12:$I$40,"&gt;"&amp;$I20)+COUNTIF($I$12:I20,$I20))</f>
        <v>9</v>
      </c>
    </row>
    <row r="21" spans="1:21" ht="21" customHeight="1" x14ac:dyDescent="0.25">
      <c r="A21" s="5">
        <v>10</v>
      </c>
      <c r="B21" s="6" t="s">
        <v>77</v>
      </c>
      <c r="C21" s="6" t="s">
        <v>78</v>
      </c>
      <c r="D21" s="6" t="s">
        <v>79</v>
      </c>
      <c r="E21" s="6">
        <v>2</v>
      </c>
      <c r="F21" s="6">
        <v>3</v>
      </c>
      <c r="G21" s="6">
        <v>3</v>
      </c>
      <c r="H21" s="6">
        <v>3</v>
      </c>
      <c r="I21" s="7">
        <f>IF($B21="","",ROUND((E21*$C$7+F21*$C$8+(6-G21)*$C$9+H21*$C$10)/SUM($C$7:$C$10)*20,0))</f>
        <v>53</v>
      </c>
      <c r="J21" s="7" t="str">
        <f>IF($B21="","",IF(AND(E21&gt;=$C$5,F21&gt;=$C$6),"Gestionar de cerca",IF(AND(E21&gt;=$C$5,F21&lt;$C$6),"Mantener satisfecho",IF(AND(E21&lt;$C$5,F21&gt;=$C$6),"Mantener informado","Monitorear"))))</f>
        <v>Monitorear</v>
      </c>
      <c r="K21" s="1" t="str">
        <f t="shared" si="0"/>
        <v>Monitorear sin sobreactuar</v>
      </c>
      <c r="L21" s="1" t="str">
        <f t="shared" si="1"/>
        <v>Bimestral</v>
      </c>
      <c r="M21" s="6" t="s">
        <v>80</v>
      </c>
      <c r="N21" s="6" t="s">
        <v>81</v>
      </c>
      <c r="O21" s="6" t="s">
        <v>43</v>
      </c>
      <c r="P21" s="8" t="str">
        <f>IF($B21="","",IF(AND(E21&gt;=$C$5,G21&lt;=2),"Alto",IF(AND(E21&gt;=3,G21=3),"Medio","Bajo")))</f>
        <v>Bajo</v>
      </c>
      <c r="Q21" s="9" t="str">
        <f>IF($J21="Gestionar de cerca",COUNTIF($J$12:J21,"Gestionar de cerca"),"")</f>
        <v/>
      </c>
      <c r="R21" s="9" t="str">
        <f>IF($J21="Mantener satisfecho",COUNTIF($J$12:J21,"Mantener satisfecho"),"")</f>
        <v/>
      </c>
      <c r="S21" s="9" t="str">
        <f>IF($J21="Mantener informado",COUNTIF($J$12:J21,"Mantener informado"),"")</f>
        <v/>
      </c>
      <c r="T21" s="9">
        <f>IF($J21="Monitorear",COUNTIF($J$12:J21,"Monitorear"),"")</f>
        <v>1</v>
      </c>
      <c r="U21" s="9">
        <f>IF($B21="","",COUNTIF($I$12:$I$40,"&gt;"&amp;$I21)+COUNTIF($I$12:I21,$I21))</f>
        <v>13</v>
      </c>
    </row>
    <row r="22" spans="1:21" ht="21" customHeight="1" x14ac:dyDescent="0.25">
      <c r="A22" s="5">
        <v>11</v>
      </c>
      <c r="B22" s="6" t="s">
        <v>82</v>
      </c>
      <c r="C22" s="6" t="s">
        <v>83</v>
      </c>
      <c r="D22" s="6" t="s">
        <v>84</v>
      </c>
      <c r="E22" s="6">
        <v>3</v>
      </c>
      <c r="F22" s="6">
        <v>4</v>
      </c>
      <c r="G22" s="6">
        <v>5</v>
      </c>
      <c r="H22" s="6">
        <v>3</v>
      </c>
      <c r="I22" s="7">
        <f>IF($B22="","",ROUND((E22*$C$7+F22*$C$8+(6-G22)*$C$9+H22*$C$10)/SUM($C$7:$C$10)*20,0))</f>
        <v>57</v>
      </c>
      <c r="J22" s="7" t="str">
        <f>IF($B22="","",IF(AND(E22&gt;=$C$5,F22&gt;=$C$6),"Gestionar de cerca",IF(AND(E22&gt;=$C$5,F22&lt;$C$6),"Mantener satisfecho",IF(AND(E22&lt;$C$5,F22&gt;=$C$6),"Mantener informado","Monitorear"))))</f>
        <v>Mantener informado</v>
      </c>
      <c r="K22" s="1" t="str">
        <f t="shared" si="0"/>
        <v>Informar y escuchar</v>
      </c>
      <c r="L22" s="1" t="str">
        <f t="shared" si="1"/>
        <v>Mensual</v>
      </c>
      <c r="M22" s="6" t="s">
        <v>85</v>
      </c>
      <c r="N22" s="6" t="s">
        <v>86</v>
      </c>
      <c r="O22" s="6" t="s">
        <v>87</v>
      </c>
      <c r="P22" s="8" t="str">
        <f>IF($B22="","",IF(AND(E22&gt;=$C$5,G22&lt;=2),"Alto",IF(AND(E22&gt;=3,G22=3),"Medio","Bajo")))</f>
        <v>Bajo</v>
      </c>
      <c r="Q22" s="9" t="str">
        <f>IF($J22="Gestionar de cerca",COUNTIF($J$12:J22,"Gestionar de cerca"),"")</f>
        <v/>
      </c>
      <c r="R22" s="9" t="str">
        <f>IF($J22="Mantener satisfecho",COUNTIF($J$12:J22,"Mantener satisfecho"),"")</f>
        <v/>
      </c>
      <c r="S22" s="9">
        <f>IF($J22="Mantener informado",COUNTIF($J$12:J22,"Mantener informado"),"")</f>
        <v>4</v>
      </c>
      <c r="T22" s="9" t="str">
        <f>IF($J22="Monitorear",COUNTIF($J$12:J22,"Monitorear"),"")</f>
        <v/>
      </c>
      <c r="U22" s="9">
        <f>IF($B22="","",COUNTIF($I$12:$I$40,"&gt;"&amp;$I22)+COUNTIF($I$12:I22,$I22))</f>
        <v>12</v>
      </c>
    </row>
    <row r="23" spans="1:21" ht="21" customHeight="1" x14ac:dyDescent="0.25">
      <c r="A23" s="5">
        <v>12</v>
      </c>
      <c r="B23" s="6" t="s">
        <v>88</v>
      </c>
      <c r="C23" s="6" t="s">
        <v>89</v>
      </c>
      <c r="D23" s="6" t="s">
        <v>90</v>
      </c>
      <c r="E23" s="6">
        <v>5</v>
      </c>
      <c r="F23" s="6">
        <v>4</v>
      </c>
      <c r="G23" s="6">
        <v>4</v>
      </c>
      <c r="H23" s="6">
        <v>5</v>
      </c>
      <c r="I23" s="7">
        <f>IF($B23="","",ROUND((E23*$C$7+F23*$C$8+(6-G23)*$C$9+H23*$C$10)/SUM($C$7:$C$10)*20,0))</f>
        <v>83</v>
      </c>
      <c r="J23" s="7" t="str">
        <f>IF($B23="","",IF(AND(E23&gt;=$C$5,F23&gt;=$C$6),"Gestionar de cerca",IF(AND(E23&gt;=$C$5,F23&lt;$C$6),"Mantener satisfecho",IF(AND(E23&lt;$C$5,F23&gt;=$C$6),"Mantener informado","Monitorear"))))</f>
        <v>Gestionar de cerca</v>
      </c>
      <c r="K23" s="1" t="str">
        <f t="shared" si="0"/>
        <v>Codiseñar y revisar</v>
      </c>
      <c r="L23" s="1" t="str">
        <f t="shared" si="1"/>
        <v>Semanal</v>
      </c>
      <c r="M23" s="6" t="s">
        <v>91</v>
      </c>
      <c r="N23" s="6" t="s">
        <v>92</v>
      </c>
      <c r="O23" s="6" t="s">
        <v>38</v>
      </c>
      <c r="P23" s="8" t="str">
        <f>IF($B23="","",IF(AND(E23&gt;=$C$5,G23&lt;=2),"Alto",IF(AND(E23&gt;=3,G23=3),"Medio","Bajo")))</f>
        <v>Bajo</v>
      </c>
      <c r="Q23" s="9">
        <f>IF($J23="Gestionar de cerca",COUNTIF($J$12:J23,"Gestionar de cerca"),"")</f>
        <v>4</v>
      </c>
      <c r="R23" s="9" t="str">
        <f>IF($J23="Mantener satisfecho",COUNTIF($J$12:J23,"Mantener satisfecho"),"")</f>
        <v/>
      </c>
      <c r="S23" s="9" t="str">
        <f>IF($J23="Mantener informado",COUNTIF($J$12:J23,"Mantener informado"),"")</f>
        <v/>
      </c>
      <c r="T23" s="9" t="str">
        <f>IF($J23="Monitorear",COUNTIF($J$12:J23,"Monitorear"),"")</f>
        <v/>
      </c>
      <c r="U23" s="9">
        <f>IF($B23="","",COUNTIF($I$12:$I$40,"&gt;"&amp;$I23)+COUNTIF($I$12:I23,$I23))</f>
        <v>2</v>
      </c>
    </row>
    <row r="24" spans="1:21" ht="21" customHeight="1" x14ac:dyDescent="0.25">
      <c r="A24" s="5">
        <v>13</v>
      </c>
      <c r="B24" s="6" t="s">
        <v>93</v>
      </c>
      <c r="C24" s="6" t="s">
        <v>83</v>
      </c>
      <c r="D24" s="6" t="s">
        <v>94</v>
      </c>
      <c r="E24" s="6">
        <v>1</v>
      </c>
      <c r="F24" s="6">
        <v>2</v>
      </c>
      <c r="G24" s="6">
        <v>4</v>
      </c>
      <c r="H24" s="6">
        <v>2</v>
      </c>
      <c r="I24" s="7">
        <f>IF($B24="","",ROUND((E24*$C$7+F24*$C$8+(6-G24)*$C$9+H24*$C$10)/SUM($C$7:$C$10)*20,0))</f>
        <v>33</v>
      </c>
      <c r="J24" s="7" t="str">
        <f>IF($B24="","",IF(AND(E24&gt;=$C$5,F24&gt;=$C$6),"Gestionar de cerca",IF(AND(E24&gt;=$C$5,F24&lt;$C$6),"Mantener satisfecho",IF(AND(E24&lt;$C$5,F24&gt;=$C$6),"Mantener informado","Monitorear"))))</f>
        <v>Monitorear</v>
      </c>
      <c r="K24" s="1" t="str">
        <f t="shared" si="0"/>
        <v>Monitorear sin sobreactuar</v>
      </c>
      <c r="L24" s="1" t="str">
        <f t="shared" si="1"/>
        <v>Bimestral</v>
      </c>
      <c r="M24" s="6" t="s">
        <v>95</v>
      </c>
      <c r="N24" s="6" t="s">
        <v>96</v>
      </c>
      <c r="O24" s="6" t="s">
        <v>43</v>
      </c>
      <c r="P24" s="8" t="str">
        <f>IF($B24="","",IF(AND(E24&gt;=$C$5,G24&lt;=2),"Alto",IF(AND(E24&gt;=3,G24=3),"Medio","Bajo")))</f>
        <v>Bajo</v>
      </c>
      <c r="Q24" s="9" t="str">
        <f>IF($J24="Gestionar de cerca",COUNTIF($J$12:J24,"Gestionar de cerca"),"")</f>
        <v/>
      </c>
      <c r="R24" s="9" t="str">
        <f>IF($J24="Mantener satisfecho",COUNTIF($J$12:J24,"Mantener satisfecho"),"")</f>
        <v/>
      </c>
      <c r="S24" s="9" t="str">
        <f>IF($J24="Mantener informado",COUNTIF($J$12:J24,"Mantener informado"),"")</f>
        <v/>
      </c>
      <c r="T24" s="9">
        <f>IF($J24="Monitorear",COUNTIF($J$12:J24,"Monitorear"),"")</f>
        <v>2</v>
      </c>
      <c r="U24" s="9">
        <f>IF($B24="","",COUNTIF($I$12:$I$40,"&gt;"&amp;$I24)+COUNTIF($I$12:I24,$I24))</f>
        <v>15</v>
      </c>
    </row>
    <row r="25" spans="1:21" ht="21" customHeight="1" x14ac:dyDescent="0.25">
      <c r="A25" s="5">
        <v>14</v>
      </c>
      <c r="B25" s="6" t="s">
        <v>97</v>
      </c>
      <c r="C25" s="6" t="s">
        <v>51</v>
      </c>
      <c r="D25" s="6" t="s">
        <v>98</v>
      </c>
      <c r="E25" s="6">
        <v>3</v>
      </c>
      <c r="F25" s="6">
        <v>5</v>
      </c>
      <c r="G25" s="6">
        <v>3</v>
      </c>
      <c r="H25" s="6">
        <v>4</v>
      </c>
      <c r="I25" s="7">
        <f>IF($B25="","",ROUND((E25*$C$7+F25*$C$8+(6-G25)*$C$9+H25*$C$10)/SUM($C$7:$C$10)*20,0))</f>
        <v>74</v>
      </c>
      <c r="J25" s="7" t="str">
        <f>IF($B25="","",IF(AND(E25&gt;=$C$5,F25&gt;=$C$6),"Gestionar de cerca",IF(AND(E25&gt;=$C$5,F25&lt;$C$6),"Mantener satisfecho",IF(AND(E25&lt;$C$5,F25&gt;=$C$6),"Mantener informado","Monitorear"))))</f>
        <v>Mantener informado</v>
      </c>
      <c r="K25" s="1" t="str">
        <f t="shared" si="0"/>
        <v>Informar y escuchar</v>
      </c>
      <c r="L25" s="1" t="str">
        <f t="shared" si="1"/>
        <v>Mensual</v>
      </c>
      <c r="M25" s="6" t="s">
        <v>99</v>
      </c>
      <c r="N25" s="6" t="s">
        <v>100</v>
      </c>
      <c r="O25" s="6" t="s">
        <v>43</v>
      </c>
      <c r="P25" s="8" t="str">
        <f>IF($B25="","",IF(AND(E25&gt;=$C$5,G25&lt;=2),"Alto",IF(AND(E25&gt;=3,G25=3),"Medio","Bajo")))</f>
        <v>Medio</v>
      </c>
      <c r="Q25" s="9" t="str">
        <f>IF($J25="Gestionar de cerca",COUNTIF($J$12:J25,"Gestionar de cerca"),"")</f>
        <v/>
      </c>
      <c r="R25" s="9" t="str">
        <f>IF($J25="Mantener satisfecho",COUNTIF($J$12:J25,"Mantener satisfecho"),"")</f>
        <v/>
      </c>
      <c r="S25" s="9">
        <f>IF($J25="Mantener informado",COUNTIF($J$12:J25,"Mantener informado"),"")</f>
        <v>5</v>
      </c>
      <c r="T25" s="9" t="str">
        <f>IF($J25="Monitorear",COUNTIF($J$12:J25,"Monitorear"),"")</f>
        <v/>
      </c>
      <c r="U25" s="9">
        <f>IF($B25="","",COUNTIF($I$12:$I$40,"&gt;"&amp;$I25)+COUNTIF($I$12:I25,$I25))</f>
        <v>5</v>
      </c>
    </row>
    <row r="26" spans="1:21" ht="21" customHeight="1" x14ac:dyDescent="0.25">
      <c r="A26" s="5">
        <v>15</v>
      </c>
      <c r="B26" s="6" t="s">
        <v>101</v>
      </c>
      <c r="C26" s="6" t="s">
        <v>102</v>
      </c>
      <c r="D26" s="6" t="s">
        <v>103</v>
      </c>
      <c r="E26" s="6">
        <v>2</v>
      </c>
      <c r="F26" s="6">
        <v>2</v>
      </c>
      <c r="G26" s="6">
        <v>2</v>
      </c>
      <c r="H26" s="6">
        <v>2</v>
      </c>
      <c r="I26" s="7">
        <f>IF($B26="","",ROUND((E26*$C$7+F26*$C$8+(6-G26)*$C$9+H26*$C$10)/SUM($C$7:$C$10)*20,0))</f>
        <v>48</v>
      </c>
      <c r="J26" s="7" t="str">
        <f>IF($B26="","",IF(AND(E26&gt;=$C$5,F26&gt;=$C$6),"Gestionar de cerca",IF(AND(E26&gt;=$C$5,F26&lt;$C$6),"Mantener satisfecho",IF(AND(E26&lt;$C$5,F26&gt;=$C$6),"Mantener informado","Monitorear"))))</f>
        <v>Monitorear</v>
      </c>
      <c r="K26" s="1" t="str">
        <f t="shared" si="0"/>
        <v>Monitorear sin sobreactuar</v>
      </c>
      <c r="L26" s="1" t="str">
        <f t="shared" si="1"/>
        <v>Bimestral</v>
      </c>
      <c r="M26" s="6" t="s">
        <v>47</v>
      </c>
      <c r="N26" s="6" t="s">
        <v>104</v>
      </c>
      <c r="O26" s="6" t="s">
        <v>43</v>
      </c>
      <c r="P26" s="8" t="str">
        <f>IF($B26="","",IF(AND(E26&gt;=$C$5,G26&lt;=2),"Alto",IF(AND(E26&gt;=3,G26=3),"Medio","Bajo")))</f>
        <v>Bajo</v>
      </c>
      <c r="Q26" s="9" t="str">
        <f>IF($J26="Gestionar de cerca",COUNTIF($J$12:J26,"Gestionar de cerca"),"")</f>
        <v/>
      </c>
      <c r="R26" s="9" t="str">
        <f>IF($J26="Mantener satisfecho",COUNTIF($J$12:J26,"Mantener satisfecho"),"")</f>
        <v/>
      </c>
      <c r="S26" s="9" t="str">
        <f>IF($J26="Mantener informado",COUNTIF($J$12:J26,"Mantener informado"),"")</f>
        <v/>
      </c>
      <c r="T26" s="9">
        <f>IF($J26="Monitorear",COUNTIF($J$12:J26,"Monitorear"),"")</f>
        <v>3</v>
      </c>
      <c r="U26" s="9">
        <f>IF($B26="","",COUNTIF($I$12:$I$40,"&gt;"&amp;$I26)+COUNTIF($I$12:I26,$I26))</f>
        <v>14</v>
      </c>
    </row>
    <row r="27" spans="1:21" ht="21" customHeight="1" x14ac:dyDescent="0.25">
      <c r="A27" s="5"/>
      <c r="B27" s="6"/>
      <c r="C27" s="6"/>
      <c r="D27" s="6"/>
      <c r="E27" s="6"/>
      <c r="F27" s="6"/>
      <c r="G27" s="6"/>
      <c r="H27" s="6"/>
      <c r="I27" s="7" t="str">
        <f>IF($B27="","",ROUND((E27*$C$7+F27*$C$8+(6-G27)*$C$9+H27*$C$10)/SUM($C$7:$C$10)*20,0))</f>
        <v/>
      </c>
      <c r="J27" s="7" t="str">
        <f>IF($B27="","",IF(AND(E27&gt;=$C$5,F27&gt;=$C$6),"Gestionar de cerca",IF(AND(E27&gt;=$C$5,F27&lt;$C$6),"Mantener satisfecho",IF(AND(E27&lt;$C$5,F27&gt;=$C$6),"Mantener informado","Monitorear"))))</f>
        <v/>
      </c>
      <c r="K27" s="1" t="str">
        <f t="shared" si="0"/>
        <v/>
      </c>
      <c r="L27" s="1" t="str">
        <f t="shared" si="1"/>
        <v/>
      </c>
      <c r="M27" s="6"/>
      <c r="N27" s="6"/>
      <c r="O27" s="6"/>
      <c r="P27" s="8" t="str">
        <f>IF($B27="","",IF(AND(E27&gt;=$C$5,G27&lt;=2),"Alto",IF(AND(E27&gt;=3,G27=3),"Medio","Bajo")))</f>
        <v/>
      </c>
      <c r="Q27" s="9" t="str">
        <f>IF($J27="Gestionar de cerca",COUNTIF($J$12:J27,"Gestionar de cerca"),"")</f>
        <v/>
      </c>
      <c r="R27" s="9" t="str">
        <f>IF($J27="Mantener satisfecho",COUNTIF($J$12:J27,"Mantener satisfecho"),"")</f>
        <v/>
      </c>
      <c r="S27" s="9" t="str">
        <f>IF($J27="Mantener informado",COUNTIF($J$12:J27,"Mantener informado"),"")</f>
        <v/>
      </c>
      <c r="T27" s="9" t="str">
        <f>IF($J27="Monitorear",COUNTIF($J$12:J27,"Monitorear"),"")</f>
        <v/>
      </c>
      <c r="U27" s="9" t="str">
        <f>IF($B27="","",COUNTIF($I$12:$I$40,"&gt;"&amp;$I27)+COUNTIF($I$12:I27,$I27))</f>
        <v/>
      </c>
    </row>
    <row r="28" spans="1:21" ht="21" customHeight="1" x14ac:dyDescent="0.25">
      <c r="A28" s="5"/>
      <c r="B28" s="6"/>
      <c r="C28" s="6"/>
      <c r="D28" s="6"/>
      <c r="E28" s="6"/>
      <c r="F28" s="6"/>
      <c r="G28" s="6"/>
      <c r="H28" s="6"/>
      <c r="I28" s="7" t="str">
        <f>IF($B28="","",ROUND((E28*$C$7+F28*$C$8+(6-G28)*$C$9+H28*$C$10)/SUM($C$7:$C$10)*20,0))</f>
        <v/>
      </c>
      <c r="J28" s="7" t="str">
        <f>IF($B28="","",IF(AND(E28&gt;=$C$5,F28&gt;=$C$6),"Gestionar de cerca",IF(AND(E28&gt;=$C$5,F28&lt;$C$6),"Mantener satisfecho",IF(AND(E28&lt;$C$5,F28&gt;=$C$6),"Mantener informado","Monitorear"))))</f>
        <v/>
      </c>
      <c r="K28" s="1" t="str">
        <f t="shared" si="0"/>
        <v/>
      </c>
      <c r="L28" s="1" t="str">
        <f t="shared" si="1"/>
        <v/>
      </c>
      <c r="M28" s="6"/>
      <c r="N28" s="6"/>
      <c r="O28" s="6"/>
      <c r="P28" s="8" t="str">
        <f>IF($B28="","",IF(AND(E28&gt;=$C$5,G28&lt;=2),"Alto",IF(AND(E28&gt;=3,G28=3),"Medio","Bajo")))</f>
        <v/>
      </c>
      <c r="Q28" s="9" t="str">
        <f>IF($J28="Gestionar de cerca",COUNTIF($J$12:J28,"Gestionar de cerca"),"")</f>
        <v/>
      </c>
      <c r="R28" s="9" t="str">
        <f>IF($J28="Mantener satisfecho",COUNTIF($J$12:J28,"Mantener satisfecho"),"")</f>
        <v/>
      </c>
      <c r="S28" s="9" t="str">
        <f>IF($J28="Mantener informado",COUNTIF($J$12:J28,"Mantener informado"),"")</f>
        <v/>
      </c>
      <c r="T28" s="9" t="str">
        <f>IF($J28="Monitorear",COUNTIF($J$12:J28,"Monitorear"),"")</f>
        <v/>
      </c>
      <c r="U28" s="9" t="str">
        <f>IF($B28="","",COUNTIF($I$12:$I$40,"&gt;"&amp;$I28)+COUNTIF($I$12:I28,$I28))</f>
        <v/>
      </c>
    </row>
    <row r="29" spans="1:21" ht="21" customHeight="1" x14ac:dyDescent="0.25">
      <c r="A29" s="5"/>
      <c r="B29" s="6"/>
      <c r="C29" s="6"/>
      <c r="D29" s="6"/>
      <c r="E29" s="6"/>
      <c r="F29" s="6"/>
      <c r="G29" s="6"/>
      <c r="H29" s="6"/>
      <c r="I29" s="7" t="str">
        <f>IF($B29="","",ROUND((E29*$C$7+F29*$C$8+(6-G29)*$C$9+H29*$C$10)/SUM($C$7:$C$10)*20,0))</f>
        <v/>
      </c>
      <c r="J29" s="7" t="str">
        <f>IF($B29="","",IF(AND(E29&gt;=$C$5,F29&gt;=$C$6),"Gestionar de cerca",IF(AND(E29&gt;=$C$5,F29&lt;$C$6),"Mantener satisfecho",IF(AND(E29&lt;$C$5,F29&gt;=$C$6),"Mantener informado","Monitorear"))))</f>
        <v/>
      </c>
      <c r="K29" s="1" t="str">
        <f t="shared" si="0"/>
        <v/>
      </c>
      <c r="L29" s="1" t="str">
        <f t="shared" si="1"/>
        <v/>
      </c>
      <c r="M29" s="6"/>
      <c r="N29" s="6"/>
      <c r="O29" s="6"/>
      <c r="P29" s="8" t="str">
        <f>IF($B29="","",IF(AND(E29&gt;=$C$5,G29&lt;=2),"Alto",IF(AND(E29&gt;=3,G29=3),"Medio","Bajo")))</f>
        <v/>
      </c>
      <c r="Q29" s="9" t="str">
        <f>IF($J29="Gestionar de cerca",COUNTIF($J$12:J29,"Gestionar de cerca"),"")</f>
        <v/>
      </c>
      <c r="R29" s="9" t="str">
        <f>IF($J29="Mantener satisfecho",COUNTIF($J$12:J29,"Mantener satisfecho"),"")</f>
        <v/>
      </c>
      <c r="S29" s="9" t="str">
        <f>IF($J29="Mantener informado",COUNTIF($J$12:J29,"Mantener informado"),"")</f>
        <v/>
      </c>
      <c r="T29" s="9" t="str">
        <f>IF($J29="Monitorear",COUNTIF($J$12:J29,"Monitorear"),"")</f>
        <v/>
      </c>
      <c r="U29" s="9" t="str">
        <f>IF($B29="","",COUNTIF($I$12:$I$40,"&gt;"&amp;$I29)+COUNTIF($I$12:I29,$I29))</f>
        <v/>
      </c>
    </row>
    <row r="30" spans="1:21" ht="21" customHeight="1" x14ac:dyDescent="0.25">
      <c r="A30" s="5"/>
      <c r="B30" s="6"/>
      <c r="C30" s="6"/>
      <c r="D30" s="6"/>
      <c r="E30" s="6"/>
      <c r="F30" s="6"/>
      <c r="G30" s="6"/>
      <c r="H30" s="6"/>
      <c r="I30" s="7" t="str">
        <f>IF($B30="","",ROUND((E30*$C$7+F30*$C$8+(6-G30)*$C$9+H30*$C$10)/SUM($C$7:$C$10)*20,0))</f>
        <v/>
      </c>
      <c r="J30" s="7" t="str">
        <f>IF($B30="","",IF(AND(E30&gt;=$C$5,F30&gt;=$C$6),"Gestionar de cerca",IF(AND(E30&gt;=$C$5,F30&lt;$C$6),"Mantener satisfecho",IF(AND(E30&lt;$C$5,F30&gt;=$C$6),"Mantener informado","Monitorear"))))</f>
        <v/>
      </c>
      <c r="K30" s="1" t="str">
        <f t="shared" si="0"/>
        <v/>
      </c>
      <c r="L30" s="1" t="str">
        <f t="shared" si="1"/>
        <v/>
      </c>
      <c r="M30" s="6"/>
      <c r="N30" s="6"/>
      <c r="O30" s="6"/>
      <c r="P30" s="8" t="str">
        <f>IF($B30="","",IF(AND(E30&gt;=$C$5,G30&lt;=2),"Alto",IF(AND(E30&gt;=3,G30=3),"Medio","Bajo")))</f>
        <v/>
      </c>
      <c r="Q30" s="9" t="str">
        <f>IF($J30="Gestionar de cerca",COUNTIF($J$12:J30,"Gestionar de cerca"),"")</f>
        <v/>
      </c>
      <c r="R30" s="9" t="str">
        <f>IF($J30="Mantener satisfecho",COUNTIF($J$12:J30,"Mantener satisfecho"),"")</f>
        <v/>
      </c>
      <c r="S30" s="9" t="str">
        <f>IF($J30="Mantener informado",COUNTIF($J$12:J30,"Mantener informado"),"")</f>
        <v/>
      </c>
      <c r="T30" s="9" t="str">
        <f>IF($J30="Monitorear",COUNTIF($J$12:J30,"Monitorear"),"")</f>
        <v/>
      </c>
      <c r="U30" s="9" t="str">
        <f>IF($B30="","",COUNTIF($I$12:$I$40,"&gt;"&amp;$I30)+COUNTIF($I$12:I30,$I30))</f>
        <v/>
      </c>
    </row>
    <row r="31" spans="1:21" ht="21" customHeight="1" x14ac:dyDescent="0.25">
      <c r="A31" s="5"/>
      <c r="B31" s="6"/>
      <c r="C31" s="6"/>
      <c r="D31" s="6"/>
      <c r="E31" s="6"/>
      <c r="F31" s="6"/>
      <c r="G31" s="6"/>
      <c r="H31" s="6"/>
      <c r="I31" s="7" t="str">
        <f>IF($B31="","",ROUND((E31*$C$7+F31*$C$8+(6-G31)*$C$9+H31*$C$10)/SUM($C$7:$C$10)*20,0))</f>
        <v/>
      </c>
      <c r="J31" s="7" t="str">
        <f>IF($B31="","",IF(AND(E31&gt;=$C$5,F31&gt;=$C$6),"Gestionar de cerca",IF(AND(E31&gt;=$C$5,F31&lt;$C$6),"Mantener satisfecho",IF(AND(E31&lt;$C$5,F31&gt;=$C$6),"Mantener informado","Monitorear"))))</f>
        <v/>
      </c>
      <c r="K31" s="1" t="str">
        <f t="shared" si="0"/>
        <v/>
      </c>
      <c r="L31" s="1" t="str">
        <f t="shared" si="1"/>
        <v/>
      </c>
      <c r="M31" s="6"/>
      <c r="N31" s="6"/>
      <c r="O31" s="6"/>
      <c r="P31" s="8" t="str">
        <f>IF($B31="","",IF(AND(E31&gt;=$C$5,G31&lt;=2),"Alto",IF(AND(E31&gt;=3,G31=3),"Medio","Bajo")))</f>
        <v/>
      </c>
      <c r="Q31" s="9" t="str">
        <f>IF($J31="Gestionar de cerca",COUNTIF($J$12:J31,"Gestionar de cerca"),"")</f>
        <v/>
      </c>
      <c r="R31" s="9" t="str">
        <f>IF($J31="Mantener satisfecho",COUNTIF($J$12:J31,"Mantener satisfecho"),"")</f>
        <v/>
      </c>
      <c r="S31" s="9" t="str">
        <f>IF($J31="Mantener informado",COUNTIF($J$12:J31,"Mantener informado"),"")</f>
        <v/>
      </c>
      <c r="T31" s="9" t="str">
        <f>IF($J31="Monitorear",COUNTIF($J$12:J31,"Monitorear"),"")</f>
        <v/>
      </c>
      <c r="U31" s="9" t="str">
        <f>IF($B31="","",COUNTIF($I$12:$I$40,"&gt;"&amp;$I31)+COUNTIF($I$12:I31,$I31))</f>
        <v/>
      </c>
    </row>
    <row r="32" spans="1:21" ht="21" customHeight="1" x14ac:dyDescent="0.25">
      <c r="A32" s="5"/>
      <c r="B32" s="6"/>
      <c r="C32" s="6"/>
      <c r="D32" s="6"/>
      <c r="E32" s="6"/>
      <c r="F32" s="6"/>
      <c r="G32" s="6"/>
      <c r="H32" s="6"/>
      <c r="I32" s="7" t="str">
        <f>IF($B32="","",ROUND((E32*$C$7+F32*$C$8+(6-G32)*$C$9+H32*$C$10)/SUM($C$7:$C$10)*20,0))</f>
        <v/>
      </c>
      <c r="J32" s="7" t="str">
        <f>IF($B32="","",IF(AND(E32&gt;=$C$5,F32&gt;=$C$6),"Gestionar de cerca",IF(AND(E32&gt;=$C$5,F32&lt;$C$6),"Mantener satisfecho",IF(AND(E32&lt;$C$5,F32&gt;=$C$6),"Mantener informado","Monitorear"))))</f>
        <v/>
      </c>
      <c r="K32" s="1" t="str">
        <f t="shared" si="0"/>
        <v/>
      </c>
      <c r="L32" s="1" t="str">
        <f t="shared" si="1"/>
        <v/>
      </c>
      <c r="M32" s="6"/>
      <c r="N32" s="6"/>
      <c r="O32" s="6"/>
      <c r="P32" s="8" t="str">
        <f>IF($B32="","",IF(AND(E32&gt;=$C$5,G32&lt;=2),"Alto",IF(AND(E32&gt;=3,G32=3),"Medio","Bajo")))</f>
        <v/>
      </c>
      <c r="Q32" s="9" t="str">
        <f>IF($J32="Gestionar de cerca",COUNTIF($J$12:J32,"Gestionar de cerca"),"")</f>
        <v/>
      </c>
      <c r="R32" s="9" t="str">
        <f>IF($J32="Mantener satisfecho",COUNTIF($J$12:J32,"Mantener satisfecho"),"")</f>
        <v/>
      </c>
      <c r="S32" s="9" t="str">
        <f>IF($J32="Mantener informado",COUNTIF($J$12:J32,"Mantener informado"),"")</f>
        <v/>
      </c>
      <c r="T32" s="9" t="str">
        <f>IF($J32="Monitorear",COUNTIF($J$12:J32,"Monitorear"),"")</f>
        <v/>
      </c>
      <c r="U32" s="9" t="str">
        <f>IF($B32="","",COUNTIF($I$12:$I$40,"&gt;"&amp;$I32)+COUNTIF($I$12:I32,$I32))</f>
        <v/>
      </c>
    </row>
    <row r="33" spans="1:21" ht="21" customHeight="1" x14ac:dyDescent="0.25">
      <c r="A33" s="5"/>
      <c r="B33" s="6"/>
      <c r="C33" s="6"/>
      <c r="D33" s="6"/>
      <c r="E33" s="6"/>
      <c r="F33" s="6"/>
      <c r="G33" s="6"/>
      <c r="H33" s="6"/>
      <c r="I33" s="7" t="str">
        <f>IF($B33="","",ROUND((E33*$C$7+F33*$C$8+(6-G33)*$C$9+H33*$C$10)/SUM($C$7:$C$10)*20,0))</f>
        <v/>
      </c>
      <c r="J33" s="7" t="str">
        <f>IF($B33="","",IF(AND(E33&gt;=$C$5,F33&gt;=$C$6),"Gestionar de cerca",IF(AND(E33&gt;=$C$5,F33&lt;$C$6),"Mantener satisfecho",IF(AND(E33&lt;$C$5,F33&gt;=$C$6),"Mantener informado","Monitorear"))))</f>
        <v/>
      </c>
      <c r="K33" s="1" t="str">
        <f t="shared" si="0"/>
        <v/>
      </c>
      <c r="L33" s="1" t="str">
        <f t="shared" si="1"/>
        <v/>
      </c>
      <c r="M33" s="6"/>
      <c r="N33" s="6"/>
      <c r="O33" s="6"/>
      <c r="P33" s="8" t="str">
        <f>IF($B33="","",IF(AND(E33&gt;=$C$5,G33&lt;=2),"Alto",IF(AND(E33&gt;=3,G33=3),"Medio","Bajo")))</f>
        <v/>
      </c>
      <c r="Q33" s="9" t="str">
        <f>IF($J33="Gestionar de cerca",COUNTIF($J$12:J33,"Gestionar de cerca"),"")</f>
        <v/>
      </c>
      <c r="R33" s="9" t="str">
        <f>IF($J33="Mantener satisfecho",COUNTIF($J$12:J33,"Mantener satisfecho"),"")</f>
        <v/>
      </c>
      <c r="S33" s="9" t="str">
        <f>IF($J33="Mantener informado",COUNTIF($J$12:J33,"Mantener informado"),"")</f>
        <v/>
      </c>
      <c r="T33" s="9" t="str">
        <f>IF($J33="Monitorear",COUNTIF($J$12:J33,"Monitorear"),"")</f>
        <v/>
      </c>
      <c r="U33" s="9" t="str">
        <f>IF($B33="","",COUNTIF($I$12:$I$40,"&gt;"&amp;$I33)+COUNTIF($I$12:I33,$I33))</f>
        <v/>
      </c>
    </row>
    <row r="34" spans="1:21" ht="21" customHeight="1" x14ac:dyDescent="0.25">
      <c r="A34" s="5"/>
      <c r="B34" s="6"/>
      <c r="C34" s="6"/>
      <c r="D34" s="6"/>
      <c r="E34" s="6"/>
      <c r="F34" s="6"/>
      <c r="G34" s="6"/>
      <c r="H34" s="6"/>
      <c r="I34" s="7" t="str">
        <f>IF($B34="","",ROUND((E34*$C$7+F34*$C$8+(6-G34)*$C$9+H34*$C$10)/SUM($C$7:$C$10)*20,0))</f>
        <v/>
      </c>
      <c r="J34" s="7" t="str">
        <f>IF($B34="","",IF(AND(E34&gt;=$C$5,F34&gt;=$C$6),"Gestionar de cerca",IF(AND(E34&gt;=$C$5,F34&lt;$C$6),"Mantener satisfecho",IF(AND(E34&lt;$C$5,F34&gt;=$C$6),"Mantener informado","Monitorear"))))</f>
        <v/>
      </c>
      <c r="K34" s="1" t="str">
        <f t="shared" si="0"/>
        <v/>
      </c>
      <c r="L34" s="1" t="str">
        <f t="shared" si="1"/>
        <v/>
      </c>
      <c r="M34" s="6"/>
      <c r="N34" s="6"/>
      <c r="O34" s="6"/>
      <c r="P34" s="8" t="str">
        <f>IF($B34="","",IF(AND(E34&gt;=$C$5,G34&lt;=2),"Alto",IF(AND(E34&gt;=3,G34=3),"Medio","Bajo")))</f>
        <v/>
      </c>
      <c r="Q34" s="9" t="str">
        <f>IF($J34="Gestionar de cerca",COUNTIF($J$12:J34,"Gestionar de cerca"),"")</f>
        <v/>
      </c>
      <c r="R34" s="9" t="str">
        <f>IF($J34="Mantener satisfecho",COUNTIF($J$12:J34,"Mantener satisfecho"),"")</f>
        <v/>
      </c>
      <c r="S34" s="9" t="str">
        <f>IF($J34="Mantener informado",COUNTIF($J$12:J34,"Mantener informado"),"")</f>
        <v/>
      </c>
      <c r="T34" s="9" t="str">
        <f>IF($J34="Monitorear",COUNTIF($J$12:J34,"Monitorear"),"")</f>
        <v/>
      </c>
      <c r="U34" s="9" t="str">
        <f>IF($B34="","",COUNTIF($I$12:$I$40,"&gt;"&amp;$I34)+COUNTIF($I$12:I34,$I34))</f>
        <v/>
      </c>
    </row>
    <row r="35" spans="1:21" ht="21" customHeight="1" x14ac:dyDescent="0.25">
      <c r="A35" s="5"/>
      <c r="B35" s="6"/>
      <c r="C35" s="6"/>
      <c r="D35" s="6"/>
      <c r="E35" s="6"/>
      <c r="F35" s="6"/>
      <c r="G35" s="6"/>
      <c r="H35" s="6"/>
      <c r="I35" s="7" t="str">
        <f>IF($B35="","",ROUND((E35*$C$7+F35*$C$8+(6-G35)*$C$9+H35*$C$10)/SUM($C$7:$C$10)*20,0))</f>
        <v/>
      </c>
      <c r="J35" s="7" t="str">
        <f>IF($B35="","",IF(AND(E35&gt;=$C$5,F35&gt;=$C$6),"Gestionar de cerca",IF(AND(E35&gt;=$C$5,F35&lt;$C$6),"Mantener satisfecho",IF(AND(E35&lt;$C$5,F35&gt;=$C$6),"Mantener informado","Monitorear"))))</f>
        <v/>
      </c>
      <c r="K35" s="1" t="str">
        <f t="shared" si="0"/>
        <v/>
      </c>
      <c r="L35" s="1" t="str">
        <f t="shared" si="1"/>
        <v/>
      </c>
      <c r="M35" s="6"/>
      <c r="N35" s="6"/>
      <c r="O35" s="6"/>
      <c r="P35" s="8" t="str">
        <f>IF($B35="","",IF(AND(E35&gt;=$C$5,G35&lt;=2),"Alto",IF(AND(E35&gt;=3,G35=3),"Medio","Bajo")))</f>
        <v/>
      </c>
      <c r="Q35" s="9" t="str">
        <f>IF($J35="Gestionar de cerca",COUNTIF($J$12:J35,"Gestionar de cerca"),"")</f>
        <v/>
      </c>
      <c r="R35" s="9" t="str">
        <f>IF($J35="Mantener satisfecho",COUNTIF($J$12:J35,"Mantener satisfecho"),"")</f>
        <v/>
      </c>
      <c r="S35" s="9" t="str">
        <f>IF($J35="Mantener informado",COUNTIF($J$12:J35,"Mantener informado"),"")</f>
        <v/>
      </c>
      <c r="T35" s="9" t="str">
        <f>IF($J35="Monitorear",COUNTIF($J$12:J35,"Monitorear"),"")</f>
        <v/>
      </c>
      <c r="U35" s="9" t="str">
        <f>IF($B35="","",COUNTIF($I$12:$I$40,"&gt;"&amp;$I35)+COUNTIF($I$12:I35,$I35))</f>
        <v/>
      </c>
    </row>
    <row r="36" spans="1:21" ht="21" customHeight="1" x14ac:dyDescent="0.25">
      <c r="A36" s="5"/>
      <c r="B36" s="6"/>
      <c r="C36" s="6"/>
      <c r="D36" s="6"/>
      <c r="E36" s="6"/>
      <c r="F36" s="6"/>
      <c r="G36" s="6"/>
      <c r="H36" s="6"/>
      <c r="I36" s="7" t="str">
        <f>IF($B36="","",ROUND((E36*$C$7+F36*$C$8+(6-G36)*$C$9+H36*$C$10)/SUM($C$7:$C$10)*20,0))</f>
        <v/>
      </c>
      <c r="J36" s="7" t="str">
        <f>IF($B36="","",IF(AND(E36&gt;=$C$5,F36&gt;=$C$6),"Gestionar de cerca",IF(AND(E36&gt;=$C$5,F36&lt;$C$6),"Mantener satisfecho",IF(AND(E36&lt;$C$5,F36&gt;=$C$6),"Mantener informado","Monitorear"))))</f>
        <v/>
      </c>
      <c r="K36" s="1" t="str">
        <f t="shared" si="0"/>
        <v/>
      </c>
      <c r="L36" s="1" t="str">
        <f t="shared" si="1"/>
        <v/>
      </c>
      <c r="M36" s="6"/>
      <c r="N36" s="6"/>
      <c r="O36" s="6"/>
      <c r="P36" s="8" t="str">
        <f>IF($B36="","",IF(AND(E36&gt;=$C$5,G36&lt;=2),"Alto",IF(AND(E36&gt;=3,G36=3),"Medio","Bajo")))</f>
        <v/>
      </c>
      <c r="Q36" s="9" t="str">
        <f>IF($J36="Gestionar de cerca",COUNTIF($J$12:J36,"Gestionar de cerca"),"")</f>
        <v/>
      </c>
      <c r="R36" s="9" t="str">
        <f>IF($J36="Mantener satisfecho",COUNTIF($J$12:J36,"Mantener satisfecho"),"")</f>
        <v/>
      </c>
      <c r="S36" s="9" t="str">
        <f>IF($J36="Mantener informado",COUNTIF($J$12:J36,"Mantener informado"),"")</f>
        <v/>
      </c>
      <c r="T36" s="9" t="str">
        <f>IF($J36="Monitorear",COUNTIF($J$12:J36,"Monitorear"),"")</f>
        <v/>
      </c>
      <c r="U36" s="9" t="str">
        <f>IF($B36="","",COUNTIF($I$12:$I$40,"&gt;"&amp;$I36)+COUNTIF($I$12:I36,$I36))</f>
        <v/>
      </c>
    </row>
    <row r="37" spans="1:21" ht="21" customHeight="1" x14ac:dyDescent="0.25">
      <c r="A37" s="5"/>
      <c r="B37" s="6"/>
      <c r="C37" s="6"/>
      <c r="D37" s="6"/>
      <c r="E37" s="6"/>
      <c r="F37" s="6"/>
      <c r="G37" s="6"/>
      <c r="H37" s="6"/>
      <c r="I37" s="7" t="str">
        <f>IF($B37="","",ROUND((E37*$C$7+F37*$C$8+(6-G37)*$C$9+H37*$C$10)/SUM($C$7:$C$10)*20,0))</f>
        <v/>
      </c>
      <c r="J37" s="7" t="str">
        <f>IF($B37="","",IF(AND(E37&gt;=$C$5,F37&gt;=$C$6),"Gestionar de cerca",IF(AND(E37&gt;=$C$5,F37&lt;$C$6),"Mantener satisfecho",IF(AND(E37&lt;$C$5,F37&gt;=$C$6),"Mantener informado","Monitorear"))))</f>
        <v/>
      </c>
      <c r="K37" s="1" t="str">
        <f t="shared" si="0"/>
        <v/>
      </c>
      <c r="L37" s="1" t="str">
        <f t="shared" si="1"/>
        <v/>
      </c>
      <c r="M37" s="6"/>
      <c r="N37" s="6"/>
      <c r="O37" s="6"/>
      <c r="P37" s="8" t="str">
        <f>IF($B37="","",IF(AND(E37&gt;=$C$5,G37&lt;=2),"Alto",IF(AND(E37&gt;=3,G37=3),"Medio","Bajo")))</f>
        <v/>
      </c>
      <c r="Q37" s="9" t="str">
        <f>IF($J37="Gestionar de cerca",COUNTIF($J$12:J37,"Gestionar de cerca"),"")</f>
        <v/>
      </c>
      <c r="R37" s="9" t="str">
        <f>IF($J37="Mantener satisfecho",COUNTIF($J$12:J37,"Mantener satisfecho"),"")</f>
        <v/>
      </c>
      <c r="S37" s="9" t="str">
        <f>IF($J37="Mantener informado",COUNTIF($J$12:J37,"Mantener informado"),"")</f>
        <v/>
      </c>
      <c r="T37" s="9" t="str">
        <f>IF($J37="Monitorear",COUNTIF($J$12:J37,"Monitorear"),"")</f>
        <v/>
      </c>
      <c r="U37" s="9" t="str">
        <f>IF($B37="","",COUNTIF($I$12:$I$40,"&gt;"&amp;$I37)+COUNTIF($I$12:I37,$I37))</f>
        <v/>
      </c>
    </row>
    <row r="38" spans="1:21" ht="21" customHeight="1" x14ac:dyDescent="0.25">
      <c r="A38" s="5"/>
      <c r="B38" s="6"/>
      <c r="C38" s="6"/>
      <c r="D38" s="6"/>
      <c r="E38" s="6"/>
      <c r="F38" s="6"/>
      <c r="G38" s="6"/>
      <c r="H38" s="6"/>
      <c r="I38" s="7" t="str">
        <f>IF($B38="","",ROUND((E38*$C$7+F38*$C$8+(6-G38)*$C$9+H38*$C$10)/SUM($C$7:$C$10)*20,0))</f>
        <v/>
      </c>
      <c r="J38" s="7" t="str">
        <f>IF($B38="","",IF(AND(E38&gt;=$C$5,F38&gt;=$C$6),"Gestionar de cerca",IF(AND(E38&gt;=$C$5,F38&lt;$C$6),"Mantener satisfecho",IF(AND(E38&lt;$C$5,F38&gt;=$C$6),"Mantener informado","Monitorear"))))</f>
        <v/>
      </c>
      <c r="K38" s="1" t="str">
        <f t="shared" si="0"/>
        <v/>
      </c>
      <c r="L38" s="1" t="str">
        <f t="shared" si="1"/>
        <v/>
      </c>
      <c r="M38" s="6"/>
      <c r="N38" s="6"/>
      <c r="O38" s="6"/>
      <c r="P38" s="8" t="str">
        <f>IF($B38="","",IF(AND(E38&gt;=$C$5,G38&lt;=2),"Alto",IF(AND(E38&gt;=3,G38=3),"Medio","Bajo")))</f>
        <v/>
      </c>
      <c r="Q38" s="9" t="str">
        <f>IF($J38="Gestionar de cerca",COUNTIF($J$12:J38,"Gestionar de cerca"),"")</f>
        <v/>
      </c>
      <c r="R38" s="9" t="str">
        <f>IF($J38="Mantener satisfecho",COUNTIF($J$12:J38,"Mantener satisfecho"),"")</f>
        <v/>
      </c>
      <c r="S38" s="9" t="str">
        <f>IF($J38="Mantener informado",COUNTIF($J$12:J38,"Mantener informado"),"")</f>
        <v/>
      </c>
      <c r="T38" s="9" t="str">
        <f>IF($J38="Monitorear",COUNTIF($J$12:J38,"Monitorear"),"")</f>
        <v/>
      </c>
      <c r="U38" s="9" t="str">
        <f>IF($B38="","",COUNTIF($I$12:$I$40,"&gt;"&amp;$I38)+COUNTIF($I$12:I38,$I38))</f>
        <v/>
      </c>
    </row>
    <row r="39" spans="1:21" ht="21" customHeight="1" x14ac:dyDescent="0.25">
      <c r="A39" s="5"/>
      <c r="B39" s="6"/>
      <c r="C39" s="6"/>
      <c r="D39" s="6"/>
      <c r="E39" s="6"/>
      <c r="F39" s="6"/>
      <c r="G39" s="6"/>
      <c r="H39" s="6"/>
      <c r="I39" s="7" t="str">
        <f>IF($B39="","",ROUND((E39*$C$7+F39*$C$8+(6-G39)*$C$9+H39*$C$10)/SUM($C$7:$C$10)*20,0))</f>
        <v/>
      </c>
      <c r="J39" s="7" t="str">
        <f>IF($B39="","",IF(AND(E39&gt;=$C$5,F39&gt;=$C$6),"Gestionar de cerca",IF(AND(E39&gt;=$C$5,F39&lt;$C$6),"Mantener satisfecho",IF(AND(E39&lt;$C$5,F39&gt;=$C$6),"Mantener informado","Monitorear"))))</f>
        <v/>
      </c>
      <c r="K39" s="1" t="str">
        <f t="shared" si="0"/>
        <v/>
      </c>
      <c r="L39" s="1" t="str">
        <f t="shared" si="1"/>
        <v/>
      </c>
      <c r="M39" s="6"/>
      <c r="N39" s="6"/>
      <c r="O39" s="6"/>
      <c r="P39" s="8" t="str">
        <f>IF($B39="","",IF(AND(E39&gt;=$C$5,G39&lt;=2),"Alto",IF(AND(E39&gt;=3,G39=3),"Medio","Bajo")))</f>
        <v/>
      </c>
      <c r="Q39" s="9" t="str">
        <f>IF($J39="Gestionar de cerca",COUNTIF($J$12:J39,"Gestionar de cerca"),"")</f>
        <v/>
      </c>
      <c r="R39" s="9" t="str">
        <f>IF($J39="Mantener satisfecho",COUNTIF($J$12:J39,"Mantener satisfecho"),"")</f>
        <v/>
      </c>
      <c r="S39" s="9" t="str">
        <f>IF($J39="Mantener informado",COUNTIF($J$12:J39,"Mantener informado"),"")</f>
        <v/>
      </c>
      <c r="T39" s="9" t="str">
        <f>IF($J39="Monitorear",COUNTIF($J$12:J39,"Monitorear"),"")</f>
        <v/>
      </c>
      <c r="U39" s="9" t="str">
        <f>IF($B39="","",COUNTIF($I$12:$I$40,"&gt;"&amp;$I39)+COUNTIF($I$12:I39,$I39))</f>
        <v/>
      </c>
    </row>
    <row r="40" spans="1:21" ht="21" customHeight="1" x14ac:dyDescent="0.25">
      <c r="A40" s="5"/>
      <c r="B40" s="6"/>
      <c r="C40" s="6"/>
      <c r="D40" s="6"/>
      <c r="E40" s="6"/>
      <c r="F40" s="6"/>
      <c r="G40" s="6"/>
      <c r="H40" s="6"/>
      <c r="I40" s="7" t="str">
        <f>IF($B40="","",ROUND((E40*$C$7+F40*$C$8+(6-G40)*$C$9+H40*$C$10)/SUM($C$7:$C$10)*20,0))</f>
        <v/>
      </c>
      <c r="J40" s="7" t="str">
        <f>IF($B40="","",IF(AND(E40&gt;=$C$5,F40&gt;=$C$6),"Gestionar de cerca",IF(AND(E40&gt;=$C$5,F40&lt;$C$6),"Mantener satisfecho",IF(AND(E40&lt;$C$5,F40&gt;=$C$6),"Mantener informado","Monitorear"))))</f>
        <v/>
      </c>
      <c r="K40" s="1" t="str">
        <f t="shared" si="0"/>
        <v/>
      </c>
      <c r="L40" s="1" t="str">
        <f t="shared" si="1"/>
        <v/>
      </c>
      <c r="M40" s="6"/>
      <c r="N40" s="6"/>
      <c r="O40" s="6"/>
      <c r="P40" s="8" t="str">
        <f>IF($B40="","",IF(AND(E40&gt;=$C$5,G40&lt;=2),"Alto",IF(AND(E40&gt;=3,G40=3),"Medio","Bajo")))</f>
        <v/>
      </c>
      <c r="Q40" s="9" t="str">
        <f>IF($J40="Gestionar de cerca",COUNTIF($J$12:J40,"Gestionar de cerca"),"")</f>
        <v/>
      </c>
      <c r="R40" s="9" t="str">
        <f>IF($J40="Mantener satisfecho",COUNTIF($J$12:J40,"Mantener satisfecho"),"")</f>
        <v/>
      </c>
      <c r="S40" s="9" t="str">
        <f>IF($J40="Mantener informado",COUNTIF($J$12:J40,"Mantener informado"),"")</f>
        <v/>
      </c>
      <c r="T40" s="9" t="str">
        <f>IF($J40="Monitorear",COUNTIF($J$12:J40,"Monitorear"),"")</f>
        <v/>
      </c>
      <c r="U40" s="9" t="str">
        <f>IF($B40="","",COUNTIF($I$12:$I$40,"&gt;"&amp;$I40)+COUNTIF($I$12:I40,$I40))</f>
        <v/>
      </c>
    </row>
    <row r="41" spans="1:21" ht="21" customHeight="1" x14ac:dyDescent="0.25"/>
    <row r="42" spans="1:21" ht="21" customHeight="1" x14ac:dyDescent="0.25"/>
    <row r="43" spans="1:21" ht="21" customHeight="1" x14ac:dyDescent="0.25"/>
    <row r="44" spans="1:21" ht="21" customHeight="1" x14ac:dyDescent="0.25"/>
    <row r="45" spans="1:21" ht="21" customHeight="1" x14ac:dyDescent="0.25"/>
    <row r="46" spans="1:21" ht="21" customHeight="1" x14ac:dyDescent="0.25">
      <c r="A46" s="22" t="s">
        <v>105</v>
      </c>
      <c r="B46" s="22"/>
      <c r="C46" s="22"/>
      <c r="D46" s="22"/>
      <c r="E46" s="22"/>
      <c r="F46" s="22"/>
      <c r="G46" s="22"/>
      <c r="J46" s="15" t="s">
        <v>106</v>
      </c>
      <c r="K46" s="15"/>
      <c r="L46" s="15"/>
      <c r="M46" s="15"/>
      <c r="N46" s="15"/>
      <c r="O46" s="15"/>
      <c r="P46" s="15"/>
    </row>
    <row r="47" spans="1:21" ht="21" customHeight="1" x14ac:dyDescent="0.25">
      <c r="A47" s="12" t="str">
        <f>"Alta influencia / Alto interés · " &amp; COUNTIF($J$12:$J$40,"Gestionar de cerca") &amp; " stakeholders"</f>
        <v>Alta influencia / Alto interés · 4 stakeholders</v>
      </c>
      <c r="B47" s="12"/>
      <c r="C47" s="12"/>
      <c r="D47" s="12"/>
      <c r="E47" s="12"/>
      <c r="F47" s="12"/>
      <c r="G47" s="12"/>
      <c r="J47" s="12" t="str">
        <f>"Alta influencia / Bajo interés · " &amp; COUNTIF($J$12:$J$40,"Mantener satisfecho") &amp; " stakeholders"</f>
        <v>Alta influencia / Bajo interés · 3 stakeholders</v>
      </c>
      <c r="K47" s="12"/>
      <c r="L47" s="12"/>
      <c r="M47" s="12"/>
      <c r="N47" s="12"/>
      <c r="O47" s="12"/>
      <c r="P47" s="12"/>
    </row>
    <row r="48" spans="1:21" ht="21" customHeight="1" x14ac:dyDescent="0.25">
      <c r="A48" s="11" t="str">
        <f>IFERROR(INDEX($B$12:$B$40,MATCH(1,$Q$12:$Q$40,0))&amp;" — "&amp;INDEX($N$12:$N$40,MATCH(1,$Q$12:$Q$40,0)),"")</f>
        <v>Concejalía de Movilidad — Comité quincenal con KPIs y puntos críticos</v>
      </c>
      <c r="B48" s="11"/>
      <c r="C48" s="11"/>
      <c r="D48" s="11"/>
      <c r="E48" s="11"/>
      <c r="F48" s="11"/>
      <c r="G48" s="11"/>
      <c r="J48" s="11" t="str">
        <f>IFERROR(INDEX($B$12:$B$40,MATCH(1,$R$12:$R$40,0))&amp;" — "&amp;INDEX($N$12:$N$40,MATCH(1,$R$12:$R$40,0)),"")</f>
        <v>Policía Local — Validar protocolo de incidencias y retirada de bicis</v>
      </c>
      <c r="K48" s="11"/>
      <c r="L48" s="11"/>
      <c r="M48" s="11"/>
      <c r="N48" s="11"/>
      <c r="O48" s="11"/>
      <c r="P48" s="11"/>
    </row>
    <row r="49" spans="1:16" ht="21" customHeight="1" x14ac:dyDescent="0.25">
      <c r="A49" s="11" t="str">
        <f>IFERROR(INDEX($B$12:$B$40,MATCH(2,$Q$12:$Q$40,0))&amp;" — "&amp;INDEX($N$12:$N$40,MATCH(2,$Q$12:$Q$40,0)),"")</f>
        <v>Asociación de Comerciantes del Centro — Taller de diseño sobre ubicación de estaciones</v>
      </c>
      <c r="B49" s="11"/>
      <c r="C49" s="11"/>
      <c r="D49" s="11"/>
      <c r="E49" s="11"/>
      <c r="F49" s="11"/>
      <c r="G49" s="11"/>
      <c r="J49" s="11" t="str">
        <f>IFERROR(INDEX($B$12:$B$40,MATCH(2,$R$12:$R$40,0))&amp;" — "&amp;INDEX($N$12:$N$40,MATCH(2,$R$12:$R$40,0)),"")</f>
        <v>Proveedor de mantenimiento — Definir stock de repuestos y tiempos máximos de respuesta</v>
      </c>
      <c r="K49" s="11"/>
      <c r="L49" s="11"/>
      <c r="M49" s="11"/>
      <c r="N49" s="11"/>
      <c r="O49" s="11"/>
      <c r="P49" s="11"/>
    </row>
    <row r="50" spans="1:16" ht="21" customHeight="1" x14ac:dyDescent="0.25">
      <c r="A50" s="11" t="str">
        <f>IFERROR(INDEX($B$12:$B$40,MATCH(3,$Q$12:$Q$40,0))&amp;" — "&amp;INDEX($N$12:$N$40,MATCH(3,$Q$12:$Q$40,0)),"")</f>
        <v>Operador tecnológico de la app — Cerrar plan de integración API y pruebas de carga</v>
      </c>
      <c r="B50" s="11"/>
      <c r="C50" s="11"/>
      <c r="D50" s="11"/>
      <c r="E50" s="11"/>
      <c r="F50" s="11"/>
      <c r="G50" s="11"/>
      <c r="J50" s="11" t="str">
        <f>IFERROR(INDEX($B$12:$B$40,MATCH(3,$R$12:$R$40,0))&amp;" — "&amp;INDEX($N$12:$N$40,MATCH(3,$R$12:$R$40,0)),"")</f>
        <v>Aseguradora del servicio — Revisar póliza, franquicias y exclusiones</v>
      </c>
      <c r="K50" s="11"/>
      <c r="L50" s="11"/>
      <c r="M50" s="11"/>
      <c r="N50" s="11"/>
      <c r="O50" s="11"/>
      <c r="P50" s="11"/>
    </row>
    <row r="51" spans="1:16" ht="21" customHeight="1" x14ac:dyDescent="0.25">
      <c r="A51" s="11" t="str">
        <f>IFERROR(INDEX($B$12:$B$40,MATCH(4,$Q$12:$Q$40,0))&amp;" — "&amp;INDEX($N$12:$N$40,MATCH(4,$Q$12:$Q$40,0)),"")</f>
        <v>Agencia regional de energía — Enviar reporte mensual con KPIs de impacto</v>
      </c>
      <c r="B51" s="11"/>
      <c r="C51" s="11"/>
      <c r="D51" s="11"/>
      <c r="E51" s="11"/>
      <c r="F51" s="11"/>
      <c r="G51" s="11"/>
      <c r="J51" s="11" t="str">
        <f>IFERROR(INDEX($B$12:$B$40,MATCH(4,$R$12:$R$40,0))&amp;" — "&amp;INDEX($N$12:$N$40,MATCH(4,$R$12:$R$40,0)),"")</f>
        <v/>
      </c>
      <c r="K51" s="11"/>
      <c r="L51" s="11"/>
      <c r="M51" s="11"/>
      <c r="N51" s="11"/>
      <c r="O51" s="11"/>
      <c r="P51" s="11"/>
    </row>
    <row r="52" spans="1:16" ht="21" customHeight="1" x14ac:dyDescent="0.25">
      <c r="A52" s="11" t="str">
        <f>IFERROR(INDEX($B$12:$B$40,MATCH(5,$Q$12:$Q$40,0))&amp;" — "&amp;INDEX($N$12:$N$40,MATCH(5,$Q$12:$Q$40,0)),"")</f>
        <v/>
      </c>
      <c r="B52" s="11"/>
      <c r="C52" s="11"/>
      <c r="D52" s="11"/>
      <c r="E52" s="11"/>
      <c r="F52" s="11"/>
      <c r="G52" s="11"/>
      <c r="J52" s="11" t="str">
        <f>IFERROR(INDEX($B$12:$B$40,MATCH(5,$R$12:$R$40,0))&amp;" — "&amp;INDEX($N$12:$N$40,MATCH(5,$R$12:$R$40,0)),"")</f>
        <v/>
      </c>
      <c r="K52" s="11"/>
      <c r="L52" s="11"/>
      <c r="M52" s="11"/>
      <c r="N52" s="11"/>
      <c r="O52" s="11"/>
      <c r="P52" s="11"/>
    </row>
    <row r="53" spans="1:16" ht="21" customHeight="1" x14ac:dyDescent="0.25"/>
    <row r="54" spans="1:16" ht="21" customHeight="1" x14ac:dyDescent="0.25"/>
    <row r="55" spans="1:16" ht="21" customHeight="1" x14ac:dyDescent="0.25">
      <c r="A55" s="24" t="s">
        <v>107</v>
      </c>
      <c r="B55" s="24"/>
      <c r="C55" s="24"/>
      <c r="D55" s="24"/>
      <c r="E55" s="24"/>
      <c r="F55" s="24"/>
      <c r="G55" s="24"/>
      <c r="J55" s="23" t="s">
        <v>108</v>
      </c>
      <c r="K55" s="23"/>
      <c r="L55" s="23"/>
      <c r="M55" s="23"/>
      <c r="N55" s="23"/>
      <c r="O55" s="23"/>
      <c r="P55" s="23"/>
    </row>
    <row r="56" spans="1:16" ht="21" customHeight="1" x14ac:dyDescent="0.25">
      <c r="A56" s="12" t="str">
        <f>"Baja influencia / Alto interés · " &amp; COUNTIF($J$12:$J$40,"Mantener informado") &amp; " stakeholders"</f>
        <v>Baja influencia / Alto interés · 5 stakeholders</v>
      </c>
      <c r="B56" s="12"/>
      <c r="C56" s="12"/>
      <c r="D56" s="12"/>
      <c r="E56" s="12"/>
      <c r="F56" s="12"/>
      <c r="G56" s="12"/>
      <c r="J56" s="12" t="str">
        <f>"Baja influencia / Bajo interés · " &amp; COUNTIF($J$12:$J$40,"Monitorear") &amp; " stakeholders"</f>
        <v>Baja influencia / Bajo interés · 3 stakeholders</v>
      </c>
      <c r="K56" s="12"/>
      <c r="L56" s="12"/>
      <c r="M56" s="12"/>
      <c r="N56" s="12"/>
      <c r="O56" s="12"/>
      <c r="P56" s="12"/>
    </row>
    <row r="57" spans="1:16" ht="21" customHeight="1" x14ac:dyDescent="0.25">
      <c r="A57" s="11" t="str">
        <f>IFERROR(INDEX($B$12:$B$40,MATCH(1,$S$12:$S$40,0))&amp;" — "&amp;INDEX($N$12:$N$40,MATCH(1,$S$12:$S$40,0)),"")</f>
        <v>Colectivo Ciclista Urbano — Mesa de codiseño de rutas prioritarias</v>
      </c>
      <c r="B57" s="11"/>
      <c r="C57" s="11"/>
      <c r="D57" s="11"/>
      <c r="E57" s="11"/>
      <c r="F57" s="11"/>
      <c r="G57" s="11"/>
      <c r="J57" s="11" t="str">
        <f>IFERROR(INDEX($B$12:$B$40,MATCH(1,$T$12:$T$40,0))&amp;" — "&amp;INDEX($N$12:$N$40,MATCH(1,$T$12:$T$40,0)),"")</f>
        <v>Medios locales — Preparar press kit y protocolo de portavoz</v>
      </c>
      <c r="K57" s="11"/>
      <c r="L57" s="11"/>
      <c r="M57" s="11"/>
      <c r="N57" s="11"/>
      <c r="O57" s="11"/>
      <c r="P57" s="11"/>
    </row>
    <row r="58" spans="1:16" ht="21" customHeight="1" x14ac:dyDescent="0.25">
      <c r="A58" s="11" t="str">
        <f>IFERROR(INDEX($B$12:$B$40,MATCH(2,$S$12:$S$40,0))&amp;" — "&amp;INDEX($N$12:$N$40,MATCH(2,$S$12:$S$40,0)),"")</f>
        <v>Vecindario de barrios piloto — Sesiones informativas por barrio antes del despliegue</v>
      </c>
      <c r="B58" s="11"/>
      <c r="C58" s="11"/>
      <c r="D58" s="11"/>
      <c r="E58" s="11"/>
      <c r="F58" s="11"/>
      <c r="G58" s="11"/>
      <c r="J58" s="11" t="str">
        <f>IFERROR(INDEX($B$12:$B$40,MATCH(2,$T$12:$T$40,0))&amp;" — "&amp;INDEX($N$12:$N$40,MATCH(2,$T$12:$T$40,0)),"")</f>
        <v>Turistas ocasionales — Test rápido de señalética en estaciones de alto tráfico</v>
      </c>
      <c r="K58" s="11"/>
      <c r="L58" s="11"/>
      <c r="M58" s="11"/>
      <c r="N58" s="11"/>
      <c r="O58" s="11"/>
      <c r="P58" s="11"/>
    </row>
    <row r="59" spans="1:16" ht="21" customHeight="1" x14ac:dyDescent="0.25">
      <c r="A59" s="11" t="str">
        <f>IFERROR(INDEX($B$12:$B$40,MATCH(3,$S$12:$S$40,0))&amp;" — "&amp;INDEX($N$12:$N$40,MATCH(3,$S$12:$S$40,0)),"")</f>
        <v>Universidad local — Negociar estaciones y plan de abonos estudiante</v>
      </c>
      <c r="B59" s="11"/>
      <c r="C59" s="11"/>
      <c r="D59" s="11"/>
      <c r="E59" s="11"/>
      <c r="F59" s="11"/>
      <c r="G59" s="11"/>
      <c r="J59" s="11" t="str">
        <f>IFERROR(INDEX($B$12:$B$40,MATCH(3,$T$12:$T$40,0))&amp;" — "&amp;INDEX($N$12:$N$40,MATCH(3,$T$12:$T$40,0)),"")</f>
        <v>Operadores de parking privado — Monitorear discurso sectorial y posibles objeciones</v>
      </c>
      <c r="K59" s="11"/>
      <c r="L59" s="11"/>
      <c r="M59" s="11"/>
      <c r="N59" s="11"/>
      <c r="O59" s="11"/>
      <c r="P59" s="11"/>
    </row>
    <row r="60" spans="1:16" ht="21" customHeight="1" x14ac:dyDescent="0.25">
      <c r="A60" s="11" t="str">
        <f>IFERROR(INDEX($B$12:$B$40,MATCH(4,$S$12:$S$40,0))&amp;" — "&amp;INDEX($N$12:$N$40,MATCH(4,$S$12:$S$40,0)),"")</f>
        <v>Usuarios corporativos — Diseñar piloto con 3 empresas tractoras</v>
      </c>
      <c r="B60" s="11"/>
      <c r="C60" s="11"/>
      <c r="D60" s="11"/>
      <c r="E60" s="11"/>
      <c r="F60" s="11"/>
      <c r="G60" s="11"/>
      <c r="J60" s="11" t="str">
        <f>IFERROR(INDEX($B$12:$B$40,MATCH(4,$T$12:$T$40,0))&amp;" — "&amp;INDEX($N$12:$N$40,MATCH(4,$T$12:$T$40,0)),"")</f>
        <v/>
      </c>
      <c r="K60" s="11"/>
      <c r="L60" s="11"/>
      <c r="M60" s="11"/>
      <c r="N60" s="11"/>
      <c r="O60" s="11"/>
      <c r="P60" s="11"/>
    </row>
    <row r="61" spans="1:16" ht="21" customHeight="1" x14ac:dyDescent="0.25">
      <c r="A61" s="11" t="str">
        <f>IFERROR(INDEX($B$12:$B$40,MATCH(5,$S$12:$S$40,0))&amp;" — "&amp;INDEX($N$12:$N$40,MATCH(5,$S$12:$S$40,0)),"")</f>
        <v>Asociación de personas con movilidad reducida — Auditoría de accesibilidad y mejoras de señalización</v>
      </c>
      <c r="B61" s="11"/>
      <c r="C61" s="11"/>
      <c r="D61" s="11"/>
      <c r="E61" s="11"/>
      <c r="F61" s="11"/>
      <c r="G61" s="11"/>
      <c r="J61" s="11" t="str">
        <f>IFERROR(INDEX($B$12:$B$40,MATCH(5,$T$12:$T$40,0))&amp;" — "&amp;INDEX($N$12:$N$40,MATCH(5,$T$12:$T$40,0)),"")</f>
        <v/>
      </c>
      <c r="K61" s="11"/>
      <c r="L61" s="11"/>
      <c r="M61" s="11"/>
      <c r="N61" s="11"/>
      <c r="O61" s="11"/>
      <c r="P61" s="11"/>
    </row>
    <row r="62" spans="1:16" ht="21" customHeight="1" x14ac:dyDescent="0.25"/>
    <row r="63" spans="1:16" ht="21" customHeight="1" x14ac:dyDescent="0.25"/>
    <row r="64" spans="1:16" ht="21" customHeight="1" x14ac:dyDescent="0.25">
      <c r="A64" s="19" t="s">
        <v>109</v>
      </c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</row>
    <row r="65" spans="1:16" ht="21" customHeight="1" x14ac:dyDescent="0.25">
      <c r="A65" s="7" t="s">
        <v>110</v>
      </c>
      <c r="B65" s="20" t="s">
        <v>18</v>
      </c>
      <c r="C65" s="20"/>
      <c r="D65" s="20"/>
      <c r="E65" s="20"/>
      <c r="F65" s="20"/>
      <c r="G65" s="20" t="s">
        <v>25</v>
      </c>
      <c r="H65" s="20"/>
      <c r="I65" s="20" t="s">
        <v>26</v>
      </c>
      <c r="J65" s="20"/>
      <c r="K65" s="20"/>
      <c r="L65" s="20" t="s">
        <v>29</v>
      </c>
      <c r="M65" s="20"/>
      <c r="N65" s="20" t="s">
        <v>30</v>
      </c>
      <c r="O65" s="20"/>
      <c r="P65" s="20"/>
    </row>
    <row r="66" spans="1:16" ht="21" customHeight="1" x14ac:dyDescent="0.25">
      <c r="A66" s="10">
        <v>1</v>
      </c>
      <c r="B66" s="11" t="str">
        <f>IFERROR(INDEX($B$12:$B$40,MATCH(1,$U$12:$U$40,0)),"")</f>
        <v>Concejalía de Movilidad</v>
      </c>
      <c r="C66" s="11"/>
      <c r="D66" s="11"/>
      <c r="E66" s="11"/>
      <c r="F66" s="11"/>
      <c r="G66" s="13">
        <f>IFERROR(INDEX($I$12:$I$40,MATCH(1,$U$12:$U$40,0)),"")</f>
        <v>88</v>
      </c>
      <c r="H66" s="13"/>
      <c r="I66" s="11" t="str">
        <f>IFERROR(INDEX($J$12:$J$40,MATCH(1,$U$12:$U$40,0)),"")</f>
        <v>Gestionar de cerca</v>
      </c>
      <c r="J66" s="11"/>
      <c r="K66" s="11"/>
      <c r="L66" s="11" t="str">
        <f>IFERROR(INDEX($M$12:$M$40,MATCH(1,$U$12:$U$40,0)),"")</f>
        <v>Dirección del programa</v>
      </c>
      <c r="M66" s="11"/>
      <c r="N66" s="11" t="str">
        <f>IFERROR(INDEX($N$12:$N$40,MATCH(1,$U$12:$U$40,0)),"")</f>
        <v>Comité quincenal con KPIs y puntos críticos</v>
      </c>
      <c r="O66" s="11"/>
      <c r="P66" s="11"/>
    </row>
    <row r="67" spans="1:16" ht="21" customHeight="1" x14ac:dyDescent="0.25">
      <c r="A67" s="10">
        <v>2</v>
      </c>
      <c r="B67" s="11" t="str">
        <f>IFERROR(INDEX($B$12:$B$40,MATCH(2,$U$12:$U$40,0)),"")</f>
        <v>Agencia regional de energía</v>
      </c>
      <c r="C67" s="11"/>
      <c r="D67" s="11"/>
      <c r="E67" s="11"/>
      <c r="F67" s="11"/>
      <c r="G67" s="13">
        <f>IFERROR(INDEX($I$12:$I$40,MATCH(2,$U$12:$U$40,0)),"")</f>
        <v>83</v>
      </c>
      <c r="H67" s="13"/>
      <c r="I67" s="11" t="str">
        <f>IFERROR(INDEX($J$12:$J$40,MATCH(2,$U$12:$U$40,0)),"")</f>
        <v>Gestionar de cerca</v>
      </c>
      <c r="J67" s="11"/>
      <c r="K67" s="11"/>
      <c r="L67" s="11" t="str">
        <f>IFERROR(INDEX($M$12:$M$40,MATCH(2,$U$12:$U$40,0)),"")</f>
        <v>Dirección de programa</v>
      </c>
      <c r="M67" s="11"/>
      <c r="N67" s="11" t="str">
        <f>IFERROR(INDEX($N$12:$N$40,MATCH(2,$U$12:$U$40,0)),"")</f>
        <v>Enviar reporte mensual con KPIs de impacto</v>
      </c>
      <c r="O67" s="11"/>
      <c r="P67" s="11"/>
    </row>
    <row r="68" spans="1:16" ht="21" customHeight="1" x14ac:dyDescent="0.25">
      <c r="A68" s="10">
        <v>3</v>
      </c>
      <c r="B68" s="11" t="str">
        <f>IFERROR(INDEX($B$12:$B$40,MATCH(3,$U$12:$U$40,0)),"")</f>
        <v>Operador tecnológico de la app</v>
      </c>
      <c r="C68" s="11"/>
      <c r="D68" s="11"/>
      <c r="E68" s="11"/>
      <c r="F68" s="11"/>
      <c r="G68" s="13">
        <f>IFERROR(INDEX($I$12:$I$40,MATCH(3,$U$12:$U$40,0)),"")</f>
        <v>81</v>
      </c>
      <c r="H68" s="13"/>
      <c r="I68" s="11" t="str">
        <f>IFERROR(INDEX($J$12:$J$40,MATCH(3,$U$12:$U$40,0)),"")</f>
        <v>Gestionar de cerca</v>
      </c>
      <c r="J68" s="11"/>
      <c r="K68" s="11"/>
      <c r="L68" s="11" t="str">
        <f>IFERROR(INDEX($M$12:$M$40,MATCH(3,$U$12:$U$40,0)),"")</f>
        <v>PM técnico</v>
      </c>
      <c r="M68" s="11"/>
      <c r="N68" s="11" t="str">
        <f>IFERROR(INDEX($N$12:$N$40,MATCH(3,$U$12:$U$40,0)),"")</f>
        <v>Cerrar plan de integración API y pruebas de carga</v>
      </c>
      <c r="O68" s="11"/>
      <c r="P68" s="11"/>
    </row>
    <row r="69" spans="1:16" ht="21" customHeight="1" x14ac:dyDescent="0.25">
      <c r="A69" s="10">
        <v>4</v>
      </c>
      <c r="B69" s="11" t="str">
        <f>IFERROR(INDEX($B$12:$B$40,MATCH(4,$U$12:$U$40,0)),"")</f>
        <v>Asociación de Comerciantes del Centro</v>
      </c>
      <c r="C69" s="11"/>
      <c r="D69" s="11"/>
      <c r="E69" s="11"/>
      <c r="F69" s="11"/>
      <c r="G69" s="13">
        <f>IFERROR(INDEX($I$12:$I$40,MATCH(4,$U$12:$U$40,0)),"")</f>
        <v>80</v>
      </c>
      <c r="H69" s="13"/>
      <c r="I69" s="11" t="str">
        <f>IFERROR(INDEX($J$12:$J$40,MATCH(4,$U$12:$U$40,0)),"")</f>
        <v>Gestionar de cerca</v>
      </c>
      <c r="J69" s="11"/>
      <c r="K69" s="11"/>
      <c r="L69" s="11" t="str">
        <f>IFERROR(INDEX($M$12:$M$40,MATCH(4,$U$12:$U$40,0)),"")</f>
        <v>Relaciones institucionales</v>
      </c>
      <c r="M69" s="11"/>
      <c r="N69" s="11" t="str">
        <f>IFERROR(INDEX($N$12:$N$40,MATCH(4,$U$12:$U$40,0)),"")</f>
        <v>Taller de diseño sobre ubicación de estaciones</v>
      </c>
      <c r="O69" s="11"/>
      <c r="P69" s="11"/>
    </row>
    <row r="70" spans="1:16" ht="21" customHeight="1" x14ac:dyDescent="0.25">
      <c r="A70" s="10">
        <v>5</v>
      </c>
      <c r="B70" s="11" t="str">
        <f>IFERROR(INDEX($B$12:$B$40,MATCH(5,$U$12:$U$40,0)),"")</f>
        <v>Asociación de personas con movilidad reducida</v>
      </c>
      <c r="C70" s="11"/>
      <c r="D70" s="11"/>
      <c r="E70" s="11"/>
      <c r="F70" s="11"/>
      <c r="G70" s="13">
        <f>IFERROR(INDEX($I$12:$I$40,MATCH(5,$U$12:$U$40,0)),"")</f>
        <v>74</v>
      </c>
      <c r="H70" s="13"/>
      <c r="I70" s="11" t="str">
        <f>IFERROR(INDEX($J$12:$J$40,MATCH(5,$U$12:$U$40,0)),"")</f>
        <v>Mantener informado</v>
      </c>
      <c r="J70" s="11"/>
      <c r="K70" s="11"/>
      <c r="L70" s="11" t="str">
        <f>IFERROR(INDEX($M$12:$M$40,MATCH(5,$U$12:$U$40,0)),"")</f>
        <v>Diseño de servicio</v>
      </c>
      <c r="M70" s="11"/>
      <c r="N70" s="11" t="str">
        <f>IFERROR(INDEX($N$12:$N$40,MATCH(5,$U$12:$U$40,0)),"")</f>
        <v>Auditoría de accesibilidad y mejoras de señalización</v>
      </c>
      <c r="O70" s="11"/>
      <c r="P70" s="11"/>
    </row>
    <row r="71" spans="1:16" ht="21" customHeight="1" x14ac:dyDescent="0.25"/>
    <row r="72" spans="1:16" ht="21" customHeight="1" x14ac:dyDescent="0.25">
      <c r="A72" s="16" t="s">
        <v>111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</row>
    <row r="73" spans="1:16" ht="21" customHeight="1" x14ac:dyDescent="0.25"/>
    <row r="74" spans="1:16" ht="21" customHeight="1" x14ac:dyDescent="0.25"/>
  </sheetData>
  <autoFilter ref="A11:P40" xr:uid="{00000000-0009-0000-0000-000000000000}"/>
  <mergeCells count="82">
    <mergeCell ref="A2:P2"/>
    <mergeCell ref="A4:D4"/>
    <mergeCell ref="A5:B5"/>
    <mergeCell ref="A6:B6"/>
    <mergeCell ref="A7:B7"/>
    <mergeCell ref="F4:H4"/>
    <mergeCell ref="L65:M65"/>
    <mergeCell ref="A3:P3"/>
    <mergeCell ref="N8:P9"/>
    <mergeCell ref="A47:G47"/>
    <mergeCell ref="A8:B8"/>
    <mergeCell ref="A9:B9"/>
    <mergeCell ref="A10:B10"/>
    <mergeCell ref="A1:P1"/>
    <mergeCell ref="J60:P60"/>
    <mergeCell ref="N4:P4"/>
    <mergeCell ref="I69:K69"/>
    <mergeCell ref="I65:K65"/>
    <mergeCell ref="G65:H65"/>
    <mergeCell ref="L69:M69"/>
    <mergeCell ref="A46:G46"/>
    <mergeCell ref="B65:F65"/>
    <mergeCell ref="B68:F68"/>
    <mergeCell ref="J49:P49"/>
    <mergeCell ref="A56:G56"/>
    <mergeCell ref="J55:P55"/>
    <mergeCell ref="A55:G55"/>
    <mergeCell ref="A50:G50"/>
    <mergeCell ref="J5:L6"/>
    <mergeCell ref="B67:F67"/>
    <mergeCell ref="J4:L4"/>
    <mergeCell ref="A59:G59"/>
    <mergeCell ref="A60:G60"/>
    <mergeCell ref="A64:P64"/>
    <mergeCell ref="F7:H7"/>
    <mergeCell ref="A49:G49"/>
    <mergeCell ref="J7:L7"/>
    <mergeCell ref="A51:G51"/>
    <mergeCell ref="J57:P57"/>
    <mergeCell ref="A61:G61"/>
    <mergeCell ref="J59:P59"/>
    <mergeCell ref="N65:P65"/>
    <mergeCell ref="N66:P66"/>
    <mergeCell ref="J8:L9"/>
    <mergeCell ref="F5:H6"/>
    <mergeCell ref="A48:G48"/>
    <mergeCell ref="N5:P6"/>
    <mergeCell ref="F8:H9"/>
    <mergeCell ref="A57:G57"/>
    <mergeCell ref="G70:H70"/>
    <mergeCell ref="A72:P72"/>
    <mergeCell ref="N69:P69"/>
    <mergeCell ref="I68:K68"/>
    <mergeCell ref="B70:F70"/>
    <mergeCell ref="L68:M68"/>
    <mergeCell ref="G69:H69"/>
    <mergeCell ref="B69:F69"/>
    <mergeCell ref="G68:H68"/>
    <mergeCell ref="N70:P70"/>
    <mergeCell ref="I70:K70"/>
    <mergeCell ref="L70:M70"/>
    <mergeCell ref="B66:F66"/>
    <mergeCell ref="L66:M66"/>
    <mergeCell ref="G67:H67"/>
    <mergeCell ref="N7:P7"/>
    <mergeCell ref="A52:G52"/>
    <mergeCell ref="J50:P50"/>
    <mergeCell ref="J51:P51"/>
    <mergeCell ref="J46:P46"/>
    <mergeCell ref="N67:P67"/>
    <mergeCell ref="A58:G58"/>
    <mergeCell ref="J61:P61"/>
    <mergeCell ref="J58:P58"/>
    <mergeCell ref="J52:P52"/>
    <mergeCell ref="I67:K67"/>
    <mergeCell ref="J48:P48"/>
    <mergeCell ref="G66:H66"/>
    <mergeCell ref="N68:P68"/>
    <mergeCell ref="I66:K66"/>
    <mergeCell ref="J47:P47"/>
    <mergeCell ref="L67:M67"/>
    <mergeCell ref="J56:P56"/>
  </mergeCells>
  <conditionalFormatting sqref="E12:F40">
    <cfRule type="colorScale" priority="1">
      <colorScale>
        <cfvo type="num" val="1"/>
        <cfvo type="num" val="3"/>
        <cfvo type="num" val="5"/>
        <color rgb="FFEEECE1"/>
        <color rgb="FFB8C0D9"/>
        <color rgb="FF121528"/>
      </colorScale>
    </cfRule>
  </conditionalFormatting>
  <conditionalFormatting sqref="G12:G40">
    <cfRule type="colorScale" priority="2">
      <colorScale>
        <cfvo type="num" val="1"/>
        <cfvo type="num" val="3"/>
        <cfvo type="num" val="5"/>
        <color rgb="FFF4CCCC"/>
        <color rgb="FFFFF2CC"/>
        <color rgb="FFD9EAD3"/>
      </colorScale>
    </cfRule>
  </conditionalFormatting>
  <conditionalFormatting sqref="H12:H40">
    <cfRule type="colorScale" priority="3">
      <colorScale>
        <cfvo type="num" val="1"/>
        <cfvo type="num" val="3"/>
        <cfvo type="num" val="5"/>
        <color rgb="FFEEECE1"/>
        <color rgb="FFD9E6F2"/>
        <color rgb="FF121528"/>
      </colorScale>
    </cfRule>
  </conditionalFormatting>
  <conditionalFormatting sqref="I12:I40">
    <cfRule type="dataBar" priority="4">
      <dataBar>
        <cfvo type="num" val="0"/>
        <cfvo type="num" val="100"/>
        <color rgb="FF121528"/>
      </dataBar>
    </cfRule>
  </conditionalFormatting>
  <conditionalFormatting sqref="J12:J40">
    <cfRule type="expression" dxfId="11" priority="5">
      <formula>$J12="Gestionar de cerca"</formula>
    </cfRule>
    <cfRule type="expression" dxfId="10" priority="6">
      <formula>$J12="Mantener satisfecho"</formula>
    </cfRule>
    <cfRule type="expression" dxfId="9" priority="7">
      <formula>$J12="Mantener informado"</formula>
    </cfRule>
    <cfRule type="expression" dxfId="8" priority="8">
      <formula>$J12="Monitorear"</formula>
    </cfRule>
  </conditionalFormatting>
  <conditionalFormatting sqref="O12:O40">
    <cfRule type="expression" dxfId="7" priority="12">
      <formula>$O12="Pendiente"</formula>
    </cfRule>
    <cfRule type="expression" dxfId="6" priority="13">
      <formula>$O12="En curso"</formula>
    </cfRule>
    <cfRule type="expression" dxfId="5" priority="14">
      <formula>$O12="Alineado"</formula>
    </cfRule>
    <cfRule type="expression" dxfId="4" priority="15">
      <formula>$O12="Bloqueado"</formula>
    </cfRule>
    <cfRule type="expression" dxfId="3" priority="16">
      <formula>$O12="Cerrado"</formula>
    </cfRule>
  </conditionalFormatting>
  <conditionalFormatting sqref="P12:P40">
    <cfRule type="expression" dxfId="2" priority="9">
      <formula>$P12="Alto"</formula>
    </cfRule>
    <cfRule type="expression" dxfId="1" priority="10">
      <formula>$P12="Medio"</formula>
    </cfRule>
    <cfRule type="expression" dxfId="0" priority="11">
      <formula>$P12="Bajo"</formula>
    </cfRule>
  </conditionalFormatting>
  <dataValidations count="1">
    <dataValidation type="whole" allowBlank="1" sqref="E12:E40 F12:F40 G12:G40 H12:H40" xr:uid="{00000000-0002-0000-0000-000002000000}">
      <formula1>1</formula1>
      <formula2>5</formula2>
    </dataValidation>
  </dataValidations>
  <pageMargins left="0.25" right="0.25" top="0.4" bottom="0.4" header="0.5" footer="0.5"/>
  <pageSetup fitToHeight="0" orientation="landscape"/>
  <legacy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000-000000000000}">
          <x14:formula1>
            <xm:f>Listas!$A$1:$A$9</xm:f>
          </x14:formula1>
          <xm:sqref>C12:C40</xm:sqref>
        </x14:dataValidation>
        <x14:dataValidation type="list" allowBlank="1" xr:uid="{00000000-0002-0000-0000-000001000000}">
          <x14:formula1>
            <xm:f>Listas!$B$1:$B$5</xm:f>
          </x14:formula1>
          <xm:sqref>O12:O40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"/>
  <sheetViews>
    <sheetView workbookViewId="0"/>
  </sheetViews>
  <sheetFormatPr baseColWidth="10" defaultColWidth="9.140625" defaultRowHeight="15" x14ac:dyDescent="0.25"/>
  <sheetData>
    <row r="1" spans="1:2" x14ac:dyDescent="0.25">
      <c r="A1" t="s">
        <v>34</v>
      </c>
      <c r="B1" t="s">
        <v>43</v>
      </c>
    </row>
    <row r="2" spans="1:2" x14ac:dyDescent="0.25">
      <c r="A2" t="s">
        <v>65</v>
      </c>
      <c r="B2" t="s">
        <v>38</v>
      </c>
    </row>
    <row r="3" spans="1:2" x14ac:dyDescent="0.25">
      <c r="A3" t="s">
        <v>45</v>
      </c>
      <c r="B3" t="s">
        <v>87</v>
      </c>
    </row>
    <row r="4" spans="1:2" x14ac:dyDescent="0.25">
      <c r="A4" t="s">
        <v>51</v>
      </c>
      <c r="B4" t="s">
        <v>49</v>
      </c>
    </row>
    <row r="5" spans="1:2" x14ac:dyDescent="0.25">
      <c r="A5" t="s">
        <v>83</v>
      </c>
      <c r="B5" t="s">
        <v>112</v>
      </c>
    </row>
    <row r="6" spans="1:2" x14ac:dyDescent="0.25">
      <c r="A6" t="s">
        <v>60</v>
      </c>
    </row>
    <row r="7" spans="1:2" x14ac:dyDescent="0.25">
      <c r="A7" t="s">
        <v>89</v>
      </c>
    </row>
    <row r="8" spans="1:2" x14ac:dyDescent="0.25">
      <c r="A8" t="s">
        <v>78</v>
      </c>
    </row>
    <row r="9" spans="1:2" x14ac:dyDescent="0.25">
      <c r="A9" t="s">
        <v>102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Mapa</vt:lpstr>
      <vt:lpstr>Listas</vt:lpstr>
      <vt:lpstr>Mapa!Títulos_a_imprimir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2026-03-16T08:50:09Z</dcterms:created>
  <dcterms:modified xsi:type="dcterms:W3CDTF">2026-03-16T09:26:37Z</dcterms:modified>
</cp:coreProperties>
</file>