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nalisis pestel\"/>
    </mc:Choice>
  </mc:AlternateContent>
  <xr:revisionPtr revIDLastSave="0" documentId="13_ncr:1_{8DBD347D-A9CA-45C7-B6C5-A1A6D3BD24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Base PESTEL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0" i="2" l="1"/>
  <c r="U40" i="2" s="1"/>
  <c r="R40" i="2"/>
  <c r="S40" i="2" s="1"/>
  <c r="N40" i="2"/>
  <c r="M40" i="2"/>
  <c r="L40" i="2"/>
  <c r="T39" i="2"/>
  <c r="U39" i="2" s="1"/>
  <c r="R39" i="2"/>
  <c r="S39" i="2" s="1"/>
  <c r="N39" i="2"/>
  <c r="M39" i="2"/>
  <c r="L39" i="2"/>
  <c r="T38" i="2"/>
  <c r="U38" i="2" s="1"/>
  <c r="R38" i="2"/>
  <c r="S38" i="2" s="1"/>
  <c r="N38" i="2"/>
  <c r="M38" i="2"/>
  <c r="L38" i="2"/>
  <c r="U37" i="2"/>
  <c r="T37" i="2"/>
  <c r="R37" i="2"/>
  <c r="S37" i="2" s="1"/>
  <c r="N37" i="2"/>
  <c r="M37" i="2"/>
  <c r="L37" i="2"/>
  <c r="U36" i="2"/>
  <c r="T36" i="2"/>
  <c r="S36" i="2"/>
  <c r="R36" i="2"/>
  <c r="N36" i="2"/>
  <c r="M36" i="2"/>
  <c r="L36" i="2"/>
  <c r="U35" i="2"/>
  <c r="T35" i="2"/>
  <c r="R35" i="2"/>
  <c r="S35" i="2" s="1"/>
  <c r="N35" i="2"/>
  <c r="M35" i="2"/>
  <c r="L35" i="2"/>
  <c r="T34" i="2"/>
  <c r="U34" i="2" s="1"/>
  <c r="S34" i="2"/>
  <c r="R34" i="2"/>
  <c r="N34" i="2"/>
  <c r="M34" i="2"/>
  <c r="L34" i="2"/>
  <c r="U33" i="2"/>
  <c r="T33" i="2"/>
  <c r="R33" i="2"/>
  <c r="S33" i="2" s="1"/>
  <c r="N33" i="2"/>
  <c r="M33" i="2"/>
  <c r="L33" i="2"/>
  <c r="U32" i="2"/>
  <c r="T32" i="2"/>
  <c r="R32" i="2"/>
  <c r="S32" i="2" s="1"/>
  <c r="N32" i="2"/>
  <c r="M32" i="2"/>
  <c r="L32" i="2"/>
  <c r="T31" i="2"/>
  <c r="U31" i="2" s="1"/>
  <c r="R31" i="2"/>
  <c r="S31" i="2" s="1"/>
  <c r="N31" i="2"/>
  <c r="M31" i="2"/>
  <c r="L31" i="2"/>
  <c r="U30" i="2"/>
  <c r="T30" i="2"/>
  <c r="S30" i="2"/>
  <c r="R30" i="2"/>
  <c r="N30" i="2"/>
  <c r="M30" i="2"/>
  <c r="L30" i="2"/>
  <c r="T29" i="2"/>
  <c r="U29" i="2" s="1"/>
  <c r="S29" i="2"/>
  <c r="R29" i="2"/>
  <c r="N29" i="2"/>
  <c r="M29" i="2"/>
  <c r="L29" i="2"/>
  <c r="M28" i="2"/>
  <c r="L28" i="2"/>
  <c r="M27" i="2"/>
  <c r="L27" i="2"/>
  <c r="L26" i="2"/>
  <c r="M26" i="2" s="1"/>
  <c r="N25" i="2"/>
  <c r="M25" i="2"/>
  <c r="L25" i="2"/>
  <c r="M24" i="2"/>
  <c r="T24" i="2" s="1"/>
  <c r="U24" i="2" s="1"/>
  <c r="L24" i="2"/>
  <c r="M23" i="2"/>
  <c r="L23" i="2"/>
  <c r="L22" i="2"/>
  <c r="M22" i="2" s="1"/>
  <c r="L21" i="2"/>
  <c r="M21" i="2" s="1"/>
  <c r="L20" i="2"/>
  <c r="M20" i="2" s="1"/>
  <c r="M19" i="2"/>
  <c r="L19" i="2"/>
  <c r="M18" i="2"/>
  <c r="L18" i="2"/>
  <c r="M17" i="2"/>
  <c r="L17" i="2"/>
  <c r="L16" i="2"/>
  <c r="M16" i="2" s="1"/>
  <c r="M15" i="2"/>
  <c r="L15" i="2"/>
  <c r="N14" i="2"/>
  <c r="M14" i="2"/>
  <c r="L14" i="2"/>
  <c r="L13" i="2"/>
  <c r="M13" i="2" s="1"/>
  <c r="M12" i="2"/>
  <c r="N12" i="2" s="1"/>
  <c r="L12" i="2"/>
  <c r="L11" i="2"/>
  <c r="M11" i="2" s="1"/>
  <c r="L10" i="2"/>
  <c r="M10" i="2" s="1"/>
  <c r="L9" i="2"/>
  <c r="M9" i="2" s="1"/>
  <c r="M8" i="2"/>
  <c r="L8" i="2"/>
  <c r="L7" i="2"/>
  <c r="M7" i="2" s="1"/>
  <c r="L6" i="2"/>
  <c r="M6" i="2" s="1"/>
  <c r="N5" i="2"/>
  <c r="M5" i="2"/>
  <c r="R5" i="2" s="1"/>
  <c r="S5" i="2" s="1"/>
  <c r="L5" i="2"/>
  <c r="L27" i="1"/>
  <c r="E39" i="1"/>
  <c r="N24" i="1" s="1"/>
  <c r="D39" i="1"/>
  <c r="N23" i="1" s="1"/>
  <c r="C39" i="1"/>
  <c r="N22" i="1" s="1"/>
  <c r="G27" i="1"/>
  <c r="E38" i="1"/>
  <c r="I24" i="1" s="1"/>
  <c r="D38" i="1"/>
  <c r="I23" i="1" s="1"/>
  <c r="C38" i="1"/>
  <c r="I22" i="1" s="1"/>
  <c r="B27" i="1"/>
  <c r="E37" i="1"/>
  <c r="D24" i="1" s="1"/>
  <c r="D37" i="1"/>
  <c r="D23" i="1" s="1"/>
  <c r="C37" i="1"/>
  <c r="D22" i="1" s="1"/>
  <c r="L17" i="1"/>
  <c r="E36" i="1"/>
  <c r="N14" i="1" s="1"/>
  <c r="D36" i="1"/>
  <c r="N13" i="1" s="1"/>
  <c r="C36" i="1"/>
  <c r="N12" i="1" s="1"/>
  <c r="G17" i="1"/>
  <c r="E35" i="1"/>
  <c r="I14" i="1" s="1"/>
  <c r="D35" i="1"/>
  <c r="I13" i="1" s="1"/>
  <c r="C35" i="1"/>
  <c r="I12" i="1" s="1"/>
  <c r="B17" i="1"/>
  <c r="E34" i="1"/>
  <c r="D14" i="1" s="1"/>
  <c r="D34" i="1"/>
  <c r="D13" i="1" s="1"/>
  <c r="C34" i="1"/>
  <c r="D12" i="1" s="1"/>
  <c r="R26" i="2" l="1"/>
  <c r="S26" i="2" s="1"/>
  <c r="N26" i="2"/>
  <c r="F39" i="1"/>
  <c r="N25" i="1" s="1"/>
  <c r="T26" i="2"/>
  <c r="U26" i="2" s="1"/>
  <c r="T17" i="2"/>
  <c r="U17" i="2" s="1"/>
  <c r="F36" i="1"/>
  <c r="N15" i="1" s="1"/>
  <c r="T13" i="2"/>
  <c r="U13" i="2" s="1"/>
  <c r="R13" i="2"/>
  <c r="S13" i="2" s="1"/>
  <c r="N13" i="2"/>
  <c r="T28" i="2"/>
  <c r="U28" i="2" s="1"/>
  <c r="M7" i="1"/>
  <c r="T7" i="2"/>
  <c r="U7" i="2" s="1"/>
  <c r="R7" i="2"/>
  <c r="S7" i="2" s="1"/>
  <c r="N7" i="2"/>
  <c r="T25" i="2"/>
  <c r="U25" i="2" s="1"/>
  <c r="T14" i="2"/>
  <c r="U14" i="2" s="1"/>
  <c r="T27" i="2"/>
  <c r="U27" i="2" s="1"/>
  <c r="T8" i="2"/>
  <c r="U8" i="2" s="1"/>
  <c r="F38" i="1"/>
  <c r="I25" i="1" s="1"/>
  <c r="T21" i="2"/>
  <c r="U21" i="2" s="1"/>
  <c r="R21" i="2"/>
  <c r="S21" i="2" s="1"/>
  <c r="N21" i="2"/>
  <c r="T18" i="2"/>
  <c r="U18" i="2" s="1"/>
  <c r="M6" i="1"/>
  <c r="R6" i="2"/>
  <c r="S6" i="2" s="1"/>
  <c r="N6" i="2"/>
  <c r="T5" i="2"/>
  <c r="F34" i="1"/>
  <c r="T15" i="2"/>
  <c r="U15" i="2" s="1"/>
  <c r="T12" i="2"/>
  <c r="U12" i="2" s="1"/>
  <c r="T6" i="2"/>
  <c r="U6" i="2" s="1"/>
  <c r="T20" i="2"/>
  <c r="U20" i="2" s="1"/>
  <c r="R20" i="2"/>
  <c r="S20" i="2" s="1"/>
  <c r="N20" i="2"/>
  <c r="R17" i="2"/>
  <c r="S17" i="2" s="1"/>
  <c r="F37" i="1"/>
  <c r="D25" i="1" s="1"/>
  <c r="R18" i="2"/>
  <c r="S18" i="2" s="1"/>
  <c r="T22" i="2"/>
  <c r="U22" i="2" s="1"/>
  <c r="R22" i="2"/>
  <c r="S22" i="2" s="1"/>
  <c r="N22" i="2"/>
  <c r="T19" i="2"/>
  <c r="U19" i="2" s="1"/>
  <c r="R9" i="2"/>
  <c r="S9" i="2" s="1"/>
  <c r="N9" i="2"/>
  <c r="T9" i="2"/>
  <c r="U9" i="2" s="1"/>
  <c r="F35" i="1"/>
  <c r="I15" i="1" s="1"/>
  <c r="T10" i="2"/>
  <c r="U10" i="2" s="1"/>
  <c r="R10" i="2"/>
  <c r="S10" i="2" s="1"/>
  <c r="N10" i="2"/>
  <c r="R15" i="2"/>
  <c r="S15" i="2" s="1"/>
  <c r="T16" i="2"/>
  <c r="U16" i="2" s="1"/>
  <c r="R16" i="2"/>
  <c r="S16" i="2" s="1"/>
  <c r="N16" i="2"/>
  <c r="T11" i="2"/>
  <c r="U11" i="2" s="1"/>
  <c r="R11" i="2"/>
  <c r="S11" i="2" s="1"/>
  <c r="N11" i="2"/>
  <c r="T23" i="2"/>
  <c r="U23" i="2" s="1"/>
  <c r="R12" i="2"/>
  <c r="S12" i="2" s="1"/>
  <c r="N15" i="2"/>
  <c r="N18" i="2"/>
  <c r="N24" i="2"/>
  <c r="R24" i="2"/>
  <c r="S24" i="2" s="1"/>
  <c r="N27" i="2"/>
  <c r="R27" i="2"/>
  <c r="S27" i="2" s="1"/>
  <c r="N19" i="2"/>
  <c r="R19" i="2"/>
  <c r="S19" i="2" s="1"/>
  <c r="N8" i="2"/>
  <c r="R25" i="2"/>
  <c r="S25" i="2" s="1"/>
  <c r="N28" i="2"/>
  <c r="R8" i="2"/>
  <c r="S8" i="2" s="1"/>
  <c r="R28" i="2"/>
  <c r="S28" i="2" s="1"/>
  <c r="R14" i="2"/>
  <c r="S14" i="2" s="1"/>
  <c r="N17" i="2"/>
  <c r="N23" i="2"/>
  <c r="R23" i="2"/>
  <c r="S23" i="2" s="1"/>
  <c r="G36" i="1" l="1"/>
  <c r="G37" i="1"/>
  <c r="L38" i="1"/>
  <c r="N36" i="1"/>
  <c r="K34" i="1"/>
  <c r="K38" i="1"/>
  <c r="M36" i="1"/>
  <c r="J34" i="1"/>
  <c r="J38" i="1"/>
  <c r="L36" i="1"/>
  <c r="N34" i="1"/>
  <c r="J36" i="1"/>
  <c r="L34" i="1"/>
  <c r="K36" i="1"/>
  <c r="M34" i="1"/>
  <c r="U5" i="2"/>
  <c r="N37" i="1"/>
  <c r="M37" i="1"/>
  <c r="L37" i="1"/>
  <c r="N35" i="1"/>
  <c r="J37" i="1"/>
  <c r="L35" i="1"/>
  <c r="K37" i="1"/>
  <c r="M35" i="1"/>
  <c r="K35" i="1"/>
  <c r="J35" i="1"/>
  <c r="N38" i="1"/>
  <c r="M38" i="1"/>
  <c r="G35" i="1"/>
  <c r="M8" i="1"/>
  <c r="D15" i="1"/>
  <c r="G38" i="1"/>
  <c r="G39" i="1"/>
  <c r="G34" i="1"/>
</calcChain>
</file>

<file path=xl/sharedStrings.xml><?xml version="1.0" encoding="utf-8"?>
<sst xmlns="http://schemas.openxmlformats.org/spreadsheetml/2006/main" count="319" uniqueCount="164">
  <si>
    <t>Caso funcional editable · Micromovilidad urbana con bicicletas eléctricas compartidas</t>
  </si>
  <si>
    <t>Contexto del caso</t>
  </si>
  <si>
    <t>Umbrales del semáforo</t>
  </si>
  <si>
    <t>Lectura rápida</t>
  </si>
  <si>
    <t>Negocio analizado</t>
  </si>
  <si>
    <t>Red de bicicletas eléctricas compartidas</t>
  </si>
  <si>
    <t>Crítico desde</t>
  </si>
  <si>
    <t>Intensidad externa</t>
  </si>
  <si>
    <t>Ámbito</t>
  </si>
  <si>
    <t>Ciudades medianas y grandes de España</t>
  </si>
  <si>
    <t>Atención desde</t>
  </si>
  <si>
    <t>Balance</t>
  </si>
  <si>
    <t>Horizonte</t>
  </si>
  <si>
    <t>12-24 meses</t>
  </si>
  <si>
    <t>Nota</t>
  </si>
  <si>
    <t>Azul = editable</t>
  </si>
  <si>
    <t>Dimensión prioritaria</t>
  </si>
  <si>
    <t>P</t>
  </si>
  <si>
    <t>E</t>
  </si>
  <si>
    <t>S</t>
  </si>
  <si>
    <t>Político</t>
  </si>
  <si>
    <t>Económico</t>
  </si>
  <si>
    <t>Social</t>
  </si>
  <si>
    <t>Factores</t>
  </si>
  <si>
    <t>Riesgos</t>
  </si>
  <si>
    <t>Oportunidades</t>
  </si>
  <si>
    <t>Prioridad media</t>
  </si>
  <si>
    <t>Factor más exigente</t>
  </si>
  <si>
    <t>T</t>
  </si>
  <si>
    <t>L</t>
  </si>
  <si>
    <t>Tecnológico</t>
  </si>
  <si>
    <t>Ecológico</t>
  </si>
  <si>
    <t>Legal</t>
  </si>
  <si>
    <t>Dimensión</t>
  </si>
  <si>
    <t>Oport.</t>
  </si>
  <si>
    <t>P. media</t>
  </si>
  <si>
    <t>Críticos</t>
  </si>
  <si>
    <t>Top</t>
  </si>
  <si>
    <t>Factor</t>
  </si>
  <si>
    <t>Dim.</t>
  </si>
  <si>
    <t>Tipo</t>
  </si>
  <si>
    <t>Punt.</t>
  </si>
  <si>
    <t>Acción clave</t>
  </si>
  <si>
    <t>Edita la hoja “Base PESTEL”; el panel se actualiza automáticamente.</t>
  </si>
  <si>
    <t>BASE PESTEL · Edición operativa</t>
  </si>
  <si>
    <t>Sustituye o amplía las filas de ejemplo. Las columnas negras se calculan solas; las azules son editables.</t>
  </si>
  <si>
    <t>Escala sugerida: 1 = bajo / 5 = alto · La prioridad sube si un riesgo tiene poca capacidad de respuesta o si una oportunidad es muy capturable.</t>
  </si>
  <si>
    <t>ID</t>
  </si>
  <si>
    <t>Factor externo</t>
  </si>
  <si>
    <t>Descripción</t>
  </si>
  <si>
    <t>Tendencia</t>
  </si>
  <si>
    <t>Impacto</t>
  </si>
  <si>
    <t>Probabilidad</t>
  </si>
  <si>
    <t>Urgencia</t>
  </si>
  <si>
    <t>Capacidad de respuesta</t>
  </si>
  <si>
    <t>Exposición base</t>
  </si>
  <si>
    <t>Prioridad ajustada</t>
  </si>
  <si>
    <t>Semáforo</t>
  </si>
  <si>
    <t>Responsable</t>
  </si>
  <si>
    <t>Acción sugerida</t>
  </si>
  <si>
    <t>Estado</t>
  </si>
  <si>
    <t>Orden dimensión</t>
  </si>
  <si>
    <t>Clave dimensión</t>
  </si>
  <si>
    <t>Orden global</t>
  </si>
  <si>
    <t>Clave global</t>
  </si>
  <si>
    <t>Zonas de bajas emisiones</t>
  </si>
  <si>
    <t>Las restricciones al coche privado pueden acelerar la adopción del servicio en centros urbanos.</t>
  </si>
  <si>
    <t>Oportunidad</t>
  </si>
  <si>
    <t>6-18 m</t>
  </si>
  <si>
    <t>Mejora</t>
  </si>
  <si>
    <t>Dirección</t>
  </si>
  <si>
    <t>Negociar presencia prioritaria en áreas de alta demanda y estaciones clave.</t>
  </si>
  <si>
    <t>En curso</t>
  </si>
  <si>
    <t>Licitaciones municipales</t>
  </si>
  <si>
    <t>Las concesiones públicas pueden abrir acceso preferente a espacio urbano y visibilidad institucional.</t>
  </si>
  <si>
    <t>&gt;18 m</t>
  </si>
  <si>
    <t>Estable</t>
  </si>
  <si>
    <t>Alianzas</t>
  </si>
  <si>
    <t>Preparar dossier técnico y económico para concursos y pilotos con ayuntamientos.</t>
  </si>
  <si>
    <t>Planificado</t>
  </si>
  <si>
    <t>Inestabilidad de subvenciones</t>
  </si>
  <si>
    <t>Los incentivos a movilidad sostenible pueden reducirse o rediseñarse con cambios de gobierno.</t>
  </si>
  <si>
    <t>Riesgo</t>
  </si>
  <si>
    <t>0-6 m</t>
  </si>
  <si>
    <t>Empeora</t>
  </si>
  <si>
    <t>Finanzas</t>
  </si>
  <si>
    <t>Modelar escenarios sin ayudas y ajustar expansión a rentabilidad unitaria.</t>
  </si>
  <si>
    <t>Vigilar</t>
  </si>
  <si>
    <t>Ordenanzas de aparcamiento</t>
  </si>
  <si>
    <t>Las limitaciones sobre ocupación de vía pública pueden encarecer despliegues o reducir cobertura.</t>
  </si>
  <si>
    <t>Operaciones</t>
  </si>
  <si>
    <t>Rediseñar mapa de estaciones y reforzar acuerdos con parkings y socios locales.</t>
  </si>
  <si>
    <t>Inflación en repuestos</t>
  </si>
  <si>
    <t>El aumento del coste de neumáticos, frenos y baterías presiona el margen operativo.</t>
  </si>
  <si>
    <t>Compras</t>
  </si>
  <si>
    <t>Renegociar contratos marco y priorizar mantenimiento preventivo para alargar vida útil.</t>
  </si>
  <si>
    <t>Coste financiero de la flota</t>
  </si>
  <si>
    <t>Los tipos de interés altos encarecen leasing, deuda y renovación de unidades.</t>
  </si>
  <si>
    <t>Explorar renting operativo y fases de inversión según ocupación real por ciudad.</t>
  </si>
  <si>
    <t>Sensibilidad al precio</t>
  </si>
  <si>
    <t>La demanda puede resentirse si el usuario percibe que el trayecto deja de ser claramente asequible.</t>
  </si>
  <si>
    <t>Pricing</t>
  </si>
  <si>
    <t>Testar paquetes de minutos y suscripciones para commuters frecuentes.</t>
  </si>
  <si>
    <t>Planes corporativos B2B</t>
  </si>
  <si>
    <t>Los acuerdos con empresas para movilidad del empleado pueden mejorar utilización diaria y recurrencia.</t>
  </si>
  <si>
    <t>Ventas B2B</t>
  </si>
  <si>
    <t>Diseñar oferta corporativa con reporting de uso y beneficios ESG.</t>
  </si>
  <si>
    <t>Preferencia por movilidad sostenible</t>
  </si>
  <si>
    <t>Crece la predisposición a alternativas urbanas más limpias y flexibles que el coche propio.</t>
  </si>
  <si>
    <t>Marketing</t>
  </si>
  <si>
    <t>Activar campañas por barrios y mensajes centrados en ahorro de tiempo y emisiones.</t>
  </si>
  <si>
    <t>Uso multimodal</t>
  </si>
  <si>
    <t>La combinación de transporte público y micromovilidad mejora la utilidad del servicio en última milla.</t>
  </si>
  <si>
    <t>Producto</t>
  </si>
  <si>
    <t>Integrar bonos y rutas sugeridas cerca de nodos de metro, tren y bus.</t>
  </si>
  <si>
    <t>Vandalismo y robos</t>
  </si>
  <si>
    <t>El deterioro o sustracción de bicicletas afecta disponibilidad, costes y confianza del usuario.</t>
  </si>
  <si>
    <t>Reforzar anclajes, geofencing y respuesta rápida en zonas de incidencia.</t>
  </si>
  <si>
    <t>Estacionalidad de la demanda</t>
  </si>
  <si>
    <t>El uso se mueve por clima, turismo y hábitos laborales, lo que complica la planificación de flota.</t>
  </si>
  <si>
    <t>BI</t>
  </si>
  <si>
    <t>Ajustar previsiones por ciudad y calendarizar campañas según picos estacionales.</t>
  </si>
  <si>
    <t>Mantenimiento predictivo IoT</t>
  </si>
  <si>
    <t>Los sensores pueden reducir averías, mejorar disponibilidad y bajar tiempos de parada.</t>
  </si>
  <si>
    <t>Tecnología</t>
  </si>
  <si>
    <t>Escalar sensorización en la flota y automatizar alertas de intervención.</t>
  </si>
  <si>
    <t>Analítica para reequilibrio</t>
  </si>
  <si>
    <t>La optimización de reposición puede elevar ocupación y reducir viajes en vacío del equipo de calle.</t>
  </si>
  <si>
    <t>Data</t>
  </si>
  <si>
    <t>Desplegar modelos de demanda por franja y barrio para reposición dinámica.</t>
  </si>
  <si>
    <t>Caídas de la app y pagos</t>
  </si>
  <si>
    <t>Incidencias en reserva, desbloqueo o cobro afectan conversión y reputación.</t>
  </si>
  <si>
    <t>Priorizar estabilidad, monitorización y redundancia de medios de pago.</t>
  </si>
  <si>
    <t>Mejora de autonomía de baterías</t>
  </si>
  <si>
    <t>Una mayor duración por carga permite más trayectos y menor coste operativo por uso.</t>
  </si>
  <si>
    <t>Innovación</t>
  </si>
  <si>
    <t>Seguir roadmap de proveedores y planificar pruebas piloto por ciudad.</t>
  </si>
  <si>
    <t>Reciclaje y trazabilidad de baterías</t>
  </si>
  <si>
    <t>La exigencia ambiental puede elevar costes si no se asegura cadena de recuperación y certificación.</t>
  </si>
  <si>
    <t>Sostenibilidad</t>
  </si>
  <si>
    <t>Formalizar acuerdos de reciclaje y trazabilidad con gestores autorizados.</t>
  </si>
  <si>
    <t>Propuesta de valor baja en emisiones</t>
  </si>
  <si>
    <t>La reducción de CO2 frente a coche o VTC fortalece marca, alianzas y ventas B2B.</t>
  </si>
  <si>
    <t>Cuantificar huella evitada y convertirla en argumento comercial verificable.</t>
  </si>
  <si>
    <t>Clima extremo</t>
  </si>
  <si>
    <t>Olas de calor o lluvia intensa reducen uso y aumentan necesidades de mantenimiento.</t>
  </si>
  <si>
    <t>Crear protocolos operativos por clima y redistribución preventiva de flota.</t>
  </si>
  <si>
    <t>Recarga con energía renovable</t>
  </si>
  <si>
    <t>Usar electricidad certificada puede reforzar la propuesta ESG y facilitar acuerdos institucionales.</t>
  </si>
  <si>
    <t>Migrar contratos energéticos y comunicar impacto real de la medida.</t>
  </si>
  <si>
    <t>Protección de datos y geolocalización</t>
  </si>
  <si>
    <t>El uso de datos de ubicación exige bases jurídicas sólidas, minimización y controles claros.</t>
  </si>
  <si>
    <t>Revisar consentimiento, retención, seguridad y trazabilidad de accesos a datos.</t>
  </si>
  <si>
    <t>Responsabilidad civil</t>
  </si>
  <si>
    <t>Los accidentes pueden derivar en litigios, costes reputacionales y exigencias de cobertura superiores.</t>
  </si>
  <si>
    <t>Actualizar pólizas y procesos de reporte e investigación de incidentes.</t>
  </si>
  <si>
    <t>Normativa laboral operativa</t>
  </si>
  <si>
    <t>La organización del equipo de calle puede verse afectada por cambios en jornada, seguridad o subcontratación.</t>
  </si>
  <si>
    <t>RR. HH.</t>
  </si>
  <si>
    <t>Revisar turnos, prevención y estructura contractual con asesoría laboral.</t>
  </si>
  <si>
    <t>SLA y sanciones en contratos públicos</t>
  </si>
  <si>
    <t>Incumplimientos de disponibilidad o tiempos de respuesta pueden activar penalizaciones.</t>
  </si>
  <si>
    <t>Definir cuadro de mando específico para contratos públicos y alertas tempranas.</t>
  </si>
  <si>
    <t>ANÁLISIS PESTEL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</si>
</sst>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FFFFFF"/>
      <name val="Calibri"/>
    </font>
    <font>
      <b/>
      <sz val="20"/>
      <color rgb="FFFFFFFF"/>
      <name val="Calibri"/>
    </font>
    <font>
      <i/>
      <sz val="11"/>
      <color rgb="FFFFFFFF"/>
      <name val="Calibri"/>
    </font>
    <font>
      <b/>
      <sz val="12"/>
      <color rgb="FFFFFFFF"/>
      <name val="Calibri"/>
    </font>
    <font>
      <b/>
      <sz val="10"/>
      <color rgb="FF2E2A72"/>
      <name val="Calibri"/>
    </font>
    <font>
      <sz val="10"/>
      <color rgb="FF0000FF"/>
      <name val="Calibri"/>
    </font>
    <font>
      <i/>
      <sz val="9"/>
      <color rgb="FFFFFFFF"/>
      <name val="Calibri"/>
    </font>
    <font>
      <b/>
      <sz val="12"/>
      <color rgb="FF2E2A72"/>
      <name val="Calibri"/>
    </font>
    <font>
      <sz val="10"/>
      <color rgb="FF2E2A72"/>
      <name val="Calibri"/>
    </font>
    <font>
      <b/>
      <sz val="22"/>
      <color rgb="FF34237C"/>
      <name val="Calibri"/>
    </font>
    <font>
      <b/>
      <sz val="10"/>
      <color rgb="FFFFFFFF"/>
      <name val="Calibri"/>
    </font>
    <font>
      <sz val="10"/>
      <color rgb="FF000000"/>
      <name val="Calibri"/>
    </font>
    <font>
      <sz val="10"/>
      <color rgb="FF666666"/>
      <name val="Calibri"/>
    </font>
    <font>
      <b/>
      <sz val="10"/>
      <color theme="0"/>
      <name val="Calibri"/>
      <family val="2"/>
    </font>
    <font>
      <sz val="10"/>
      <color theme="0"/>
      <name val="Calibri"/>
      <family val="2"/>
    </font>
    <font>
      <b/>
      <sz val="30"/>
      <color rgb="FFFFFFFF"/>
      <name val="Calibri"/>
      <family val="2"/>
    </font>
    <font>
      <sz val="3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34237C"/>
      </patternFill>
    </fill>
    <fill>
      <patternFill patternType="solid">
        <fgColor rgb="FF26175F"/>
      </patternFill>
    </fill>
    <fill>
      <patternFill patternType="solid">
        <fgColor rgb="FFFFFFFF"/>
      </patternFill>
    </fill>
    <fill>
      <patternFill patternType="solid">
        <fgColor rgb="FFECECF3"/>
      </patternFill>
    </fill>
    <fill>
      <patternFill patternType="solid">
        <fgColor rgb="FFF7E71D"/>
      </patternFill>
    </fill>
    <fill>
      <patternFill patternType="solid">
        <fgColor rgb="FF4BACC6"/>
      </patternFill>
    </fill>
    <fill>
      <patternFill patternType="solid">
        <fgColor rgb="FFF8F9FC"/>
      </patternFill>
    </fill>
    <fill>
      <patternFill patternType="solid">
        <fgColor rgb="FFE8E8E8"/>
      </patternFill>
    </fill>
    <fill>
      <patternFill patternType="solid">
        <fgColor theme="8" tint="-0.499984740745262"/>
        <bgColor indexed="64"/>
      </patternFill>
    </fill>
  </fills>
  <borders count="17">
    <border>
      <left/>
      <right/>
      <top/>
      <bottom/>
      <diagonal/>
    </border>
    <border>
      <left style="medium">
        <color rgb="FF34237C"/>
      </left>
      <right style="medium">
        <color rgb="FF34237C"/>
      </right>
      <top style="medium">
        <color rgb="FF34237C"/>
      </top>
      <bottom style="medium">
        <color rgb="FF34237C"/>
      </bottom>
      <diagonal/>
    </border>
    <border>
      <left/>
      <right/>
      <top style="medium">
        <color rgb="FF34237C"/>
      </top>
      <bottom/>
      <diagonal/>
    </border>
    <border>
      <left/>
      <right style="medium">
        <color rgb="FF34237C"/>
      </right>
      <top style="medium">
        <color rgb="FF34237C"/>
      </top>
      <bottom/>
      <diagonal/>
    </border>
    <border>
      <left/>
      <right/>
      <top style="medium">
        <color rgb="FF34237C"/>
      </top>
      <bottom style="medium">
        <color rgb="FF34237C"/>
      </bottom>
      <diagonal/>
    </border>
    <border>
      <left/>
      <right style="medium">
        <color rgb="FF34237C"/>
      </right>
      <top style="medium">
        <color rgb="FF34237C"/>
      </top>
      <bottom style="medium">
        <color rgb="FF34237C"/>
      </bottom>
      <diagonal/>
    </border>
    <border>
      <left style="thin">
        <color rgb="FF34237C"/>
      </left>
      <right style="thin">
        <color rgb="FF34237C"/>
      </right>
      <top style="thin">
        <color rgb="FF34237C"/>
      </top>
      <bottom style="thin">
        <color rgb="FF34237C"/>
      </bottom>
      <diagonal/>
    </border>
    <border>
      <left style="medium">
        <color rgb="FF34237C"/>
      </left>
      <right/>
      <top/>
      <bottom/>
      <diagonal/>
    </border>
    <border>
      <left style="medium">
        <color rgb="FF34237C"/>
      </left>
      <right/>
      <top/>
      <bottom style="medium">
        <color rgb="FF34237C"/>
      </bottom>
      <diagonal/>
    </border>
    <border>
      <left/>
      <right/>
      <top/>
      <bottom style="medium">
        <color rgb="FF34237C"/>
      </bottom>
      <diagonal/>
    </border>
    <border>
      <left/>
      <right style="medium">
        <color rgb="FF34237C"/>
      </right>
      <top/>
      <bottom style="medium">
        <color rgb="FF34237C"/>
      </bottom>
      <diagonal/>
    </border>
    <border>
      <left style="thin">
        <color rgb="FFCFCFDC"/>
      </left>
      <right style="thin">
        <color rgb="FFCFCFDC"/>
      </right>
      <top style="thin">
        <color rgb="FFCFCFDC"/>
      </top>
      <bottom style="thin">
        <color rgb="FFCFCFDC"/>
      </bottom>
      <diagonal/>
    </border>
    <border>
      <left/>
      <right/>
      <top style="thin">
        <color rgb="FF34237C"/>
      </top>
      <bottom style="thin">
        <color rgb="FF34237C"/>
      </bottom>
      <diagonal/>
    </border>
    <border>
      <left/>
      <right style="thin">
        <color rgb="FF34237C"/>
      </right>
      <top style="thin">
        <color rgb="FF34237C"/>
      </top>
      <bottom style="thin">
        <color rgb="FF34237C"/>
      </bottom>
      <diagonal/>
    </border>
    <border>
      <left/>
      <right/>
      <top/>
      <bottom/>
      <diagonal/>
    </border>
    <border>
      <left style="medium">
        <color rgb="FF34237C"/>
      </left>
      <right/>
      <top style="medium">
        <color rgb="FF34237C"/>
      </top>
      <bottom style="medium">
        <color rgb="FF34237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6" fillId="4" borderId="6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vertical="top" wrapText="1"/>
    </xf>
    <xf numFmtId="1" fontId="6" fillId="8" borderId="11" xfId="0" applyNumberFormat="1" applyFont="1" applyFill="1" applyBorder="1" applyAlignment="1">
      <alignment horizontal="center" vertical="center" wrapText="1"/>
    </xf>
    <xf numFmtId="1" fontId="12" fillId="8" borderId="11" xfId="0" applyNumberFormat="1" applyFont="1" applyFill="1" applyBorder="1" applyAlignment="1">
      <alignment horizontal="center" vertical="center" wrapText="1"/>
    </xf>
    <xf numFmtId="0" fontId="12" fillId="8" borderId="11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0" fontId="12" fillId="9" borderId="0" xfId="0" applyFont="1" applyFill="1" applyAlignment="1">
      <alignment horizontal="left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vertical="top" wrapText="1"/>
    </xf>
    <xf numFmtId="1" fontId="6" fillId="4" borderId="11" xfId="0" applyNumberFormat="1" applyFont="1" applyFill="1" applyBorder="1" applyAlignment="1">
      <alignment horizontal="center" vertical="center" wrapText="1"/>
    </xf>
    <xf numFmtId="1" fontId="12" fillId="4" borderId="11" xfId="0" applyNumberFormat="1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0" fillId="3" borderId="0" xfId="0" applyFill="1"/>
    <xf numFmtId="0" fontId="9" fillId="5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5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8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center"/>
    </xf>
    <xf numFmtId="0" fontId="0" fillId="0" borderId="12" xfId="0" applyBorder="1"/>
    <xf numFmtId="0" fontId="0" fillId="0" borderId="13" xfId="0" applyBorder="1"/>
    <xf numFmtId="0" fontId="7" fillId="3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10" borderId="0" xfId="0" applyFont="1" applyFill="1" applyAlignment="1">
      <alignment vertical="center"/>
    </xf>
    <xf numFmtId="0" fontId="0" fillId="10" borderId="0" xfId="0" applyFill="1"/>
    <xf numFmtId="0" fontId="0" fillId="10" borderId="0" xfId="0" applyFill="1"/>
    <xf numFmtId="0" fontId="3" fillId="10" borderId="0" xfId="0" applyFont="1" applyFill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7" fillId="10" borderId="0" xfId="0" applyFont="1" applyFill="1" applyAlignment="1">
      <alignment horizontal="center"/>
    </xf>
    <xf numFmtId="0" fontId="14" fillId="3" borderId="1" xfId="0" applyFont="1" applyFill="1" applyBorder="1" applyAlignment="1">
      <alignment vertical="center"/>
    </xf>
    <xf numFmtId="0" fontId="5" fillId="5" borderId="15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14" fillId="3" borderId="15" xfId="0" applyFont="1" applyFill="1" applyBorder="1" applyAlignment="1">
      <alignment horizontal="left" vertical="center"/>
    </xf>
    <xf numFmtId="0" fontId="14" fillId="3" borderId="5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14" fillId="3" borderId="15" xfId="0" applyFont="1" applyFill="1" applyBorder="1" applyAlignment="1">
      <alignment vertical="center"/>
    </xf>
    <xf numFmtId="0" fontId="8" fillId="4" borderId="1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10" borderId="6" xfId="0" applyFont="1" applyFill="1" applyBorder="1" applyAlignment="1">
      <alignment horizontal="center" vertical="center" wrapText="1"/>
    </xf>
    <xf numFmtId="0" fontId="16" fillId="10" borderId="0" xfId="0" applyFont="1" applyFill="1" applyAlignment="1">
      <alignment horizontal="center" vertical="center"/>
    </xf>
    <xf numFmtId="0" fontId="17" fillId="10" borderId="0" xfId="0" applyFont="1" applyFill="1"/>
  </cellXfs>
  <cellStyles count="1">
    <cellStyle name="Normal" xfId="0" builtinId="0"/>
  </cellStyles>
  <dxfs count="6"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DDEBF7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8696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4237C"/>
  </sheetPr>
  <dimension ref="A1:AN41"/>
  <sheetViews>
    <sheetView showGridLines="0" tabSelected="1" zoomScale="90" zoomScaleNormal="90" workbookViewId="0">
      <selection activeCell="Y27" sqref="Y27"/>
    </sheetView>
  </sheetViews>
  <sheetFormatPr baseColWidth="10" defaultColWidth="9.140625" defaultRowHeight="15" x14ac:dyDescent="0.25"/>
  <cols>
    <col min="1" max="1" width="2.42578125" style="48" customWidth="1"/>
    <col min="2" max="2" width="14" customWidth="1"/>
    <col min="3" max="5" width="12" customWidth="1"/>
    <col min="6" max="6" width="10" customWidth="1"/>
    <col min="7" max="7" width="12" customWidth="1"/>
    <col min="8" max="8" width="12.5703125" customWidth="1"/>
    <col min="9" max="9" width="12.7109375" customWidth="1"/>
    <col min="10" max="10" width="16" customWidth="1"/>
    <col min="11" max="11" width="9" style="48" customWidth="1"/>
    <col min="12" max="12" width="17.7109375" bestFit="1" customWidth="1"/>
    <col min="13" max="13" width="10" customWidth="1"/>
    <col min="14" max="14" width="22" customWidth="1"/>
    <col min="15" max="15" width="14" customWidth="1"/>
    <col min="16" max="16" width="2" style="48" customWidth="1"/>
    <col min="17" max="40" width="9.140625" style="48"/>
  </cols>
  <sheetData>
    <row r="1" spans="1:16" s="48" customFormat="1" ht="21.95" customHeight="1" x14ac:dyDescent="0.25">
      <c r="A1" s="46"/>
      <c r="B1" s="64" t="s">
        <v>163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46"/>
      <c r="P1" s="46"/>
    </row>
    <row r="2" spans="1:16" s="48" customFormat="1" ht="21.95" customHeight="1" x14ac:dyDescent="0.25">
      <c r="A2" s="46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46"/>
      <c r="P2" s="46"/>
    </row>
    <row r="3" spans="1:16" s="48" customFormat="1" ht="21.95" customHeight="1" x14ac:dyDescent="0.25">
      <c r="A3" s="46"/>
      <c r="B3" s="49" t="s">
        <v>0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6"/>
      <c r="P3" s="46"/>
    </row>
    <row r="4" spans="1:16" s="48" customFormat="1" ht="21.95" customHeight="1" thickBot="1" x14ac:dyDescent="0.3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1:16" ht="21.95" customHeight="1" thickBot="1" x14ac:dyDescent="0.3">
      <c r="A5" s="46"/>
      <c r="B5" s="37" t="s">
        <v>1</v>
      </c>
      <c r="C5" s="34"/>
      <c r="D5" s="34"/>
      <c r="E5" s="34"/>
      <c r="F5" s="35"/>
      <c r="G5" s="46"/>
      <c r="H5" s="37" t="s">
        <v>2</v>
      </c>
      <c r="I5" s="34"/>
      <c r="J5" s="35"/>
      <c r="K5" s="46"/>
      <c r="L5" s="57" t="s">
        <v>3</v>
      </c>
      <c r="M5" s="58"/>
      <c r="N5" s="58"/>
      <c r="O5" s="58"/>
      <c r="P5" s="46"/>
    </row>
    <row r="6" spans="1:16" ht="21.95" customHeight="1" thickBot="1" x14ac:dyDescent="0.3">
      <c r="A6" s="46"/>
      <c r="B6" s="55" t="s">
        <v>4</v>
      </c>
      <c r="C6" s="56"/>
      <c r="D6" s="39" t="s">
        <v>5</v>
      </c>
      <c r="E6" s="40"/>
      <c r="F6" s="41"/>
      <c r="G6" s="46"/>
      <c r="H6" s="55" t="s">
        <v>6</v>
      </c>
      <c r="I6" s="56"/>
      <c r="J6" s="1">
        <v>60</v>
      </c>
      <c r="K6" s="46"/>
      <c r="L6" s="59" t="s">
        <v>7</v>
      </c>
      <c r="M6" s="60" t="str">
        <f>IF(ROUND(AVERAGE('Base PESTEL'!$M$5:$M$40),0)&gt;=$J$6,"Alta",IF(ROUND(AVERAGE('Base PESTEL'!$M$5:$M$40),0)&gt;=$J$7,"Media","Moderada"))</f>
        <v>Media</v>
      </c>
      <c r="N6" s="60"/>
      <c r="O6" s="60"/>
      <c r="P6" s="46"/>
    </row>
    <row r="7" spans="1:16" ht="26.1" customHeight="1" thickBot="1" x14ac:dyDescent="0.3">
      <c r="A7" s="46"/>
      <c r="B7" s="55" t="s">
        <v>8</v>
      </c>
      <c r="C7" s="56"/>
      <c r="D7" s="39" t="s">
        <v>9</v>
      </c>
      <c r="E7" s="40"/>
      <c r="F7" s="41"/>
      <c r="G7" s="46"/>
      <c r="H7" s="55" t="s">
        <v>10</v>
      </c>
      <c r="I7" s="56"/>
      <c r="J7" s="1">
        <v>35</v>
      </c>
      <c r="K7" s="46"/>
      <c r="L7" s="59" t="s">
        <v>11</v>
      </c>
      <c r="M7" s="60" t="str">
        <f>IF(SUMIFS('Base PESTEL'!$M$5:$M$40,'Base PESTEL'!$E$5:$E$40,"Riesgo")&gt;SUMIFS('Base PESTEL'!$M$5:$M$40,'Base PESTEL'!$E$5:$E$40,"Oportunidad"),"Más riesgos",IF(SUMIFS('Base PESTEL'!$M$5:$M$40,'Base PESTEL'!$E$5:$E$40,"Riesgo")&lt;SUMIFS('Base PESTEL'!$M$5:$M$40,'Base PESTEL'!$E$5:$E$40,"Oportunidad"),"Más oportunidades","Equilibrado"))</f>
        <v>Más riesgos</v>
      </c>
      <c r="N7" s="60"/>
      <c r="O7" s="60"/>
      <c r="P7" s="46"/>
    </row>
    <row r="8" spans="1:16" ht="21.95" customHeight="1" thickBot="1" x14ac:dyDescent="0.3">
      <c r="A8" s="46"/>
      <c r="B8" s="55" t="s">
        <v>12</v>
      </c>
      <c r="C8" s="56"/>
      <c r="D8" s="39" t="s">
        <v>13</v>
      </c>
      <c r="E8" s="40"/>
      <c r="F8" s="41"/>
      <c r="G8" s="46"/>
      <c r="H8" s="52" t="s">
        <v>14</v>
      </c>
      <c r="I8" s="42" t="s">
        <v>15</v>
      </c>
      <c r="J8" s="35"/>
      <c r="K8" s="46"/>
      <c r="L8" s="59" t="s">
        <v>16</v>
      </c>
      <c r="M8" s="60" t="str">
        <f>INDEX($B$34:$B$39,MATCH(MAX($F$34:$F$39),$F$34:$F$39,0))</f>
        <v>Social</v>
      </c>
      <c r="N8" s="60"/>
      <c r="O8" s="60"/>
      <c r="P8" s="46"/>
    </row>
    <row r="9" spans="1:16" s="48" customFormat="1" ht="21.95" customHeight="1" thickBot="1" x14ac:dyDescent="0.3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</row>
    <row r="10" spans="1:16" ht="21.95" customHeight="1" x14ac:dyDescent="0.25">
      <c r="A10" s="46"/>
      <c r="B10" s="38" t="s">
        <v>17</v>
      </c>
      <c r="C10" s="34"/>
      <c r="D10" s="34"/>
      <c r="E10" s="35"/>
      <c r="F10" s="46"/>
      <c r="G10" s="38" t="s">
        <v>18</v>
      </c>
      <c r="H10" s="34"/>
      <c r="I10" s="34"/>
      <c r="J10" s="35"/>
      <c r="K10" s="46"/>
      <c r="L10" s="38" t="s">
        <v>19</v>
      </c>
      <c r="M10" s="34"/>
      <c r="N10" s="34"/>
      <c r="O10" s="35"/>
      <c r="P10" s="46"/>
    </row>
    <row r="11" spans="1:16" ht="21.95" customHeight="1" thickBot="1" x14ac:dyDescent="0.3">
      <c r="A11" s="46"/>
      <c r="B11" s="36" t="s">
        <v>20</v>
      </c>
      <c r="C11" s="34"/>
      <c r="D11" s="34"/>
      <c r="E11" s="35"/>
      <c r="F11" s="46"/>
      <c r="G11" s="36" t="s">
        <v>21</v>
      </c>
      <c r="H11" s="34"/>
      <c r="I11" s="34"/>
      <c r="J11" s="35"/>
      <c r="K11" s="46"/>
      <c r="L11" s="36" t="s">
        <v>22</v>
      </c>
      <c r="M11" s="34"/>
      <c r="N11" s="34"/>
      <c r="O11" s="35"/>
      <c r="P11" s="46"/>
    </row>
    <row r="12" spans="1:16" ht="21.95" customHeight="1" thickBot="1" x14ac:dyDescent="0.3">
      <c r="A12" s="46"/>
      <c r="B12" s="53" t="s">
        <v>23</v>
      </c>
      <c r="C12" s="54"/>
      <c r="D12" s="36">
        <f>C34</f>
        <v>4</v>
      </c>
      <c r="E12" s="35"/>
      <c r="F12" s="46"/>
      <c r="G12" s="53" t="s">
        <v>23</v>
      </c>
      <c r="H12" s="54"/>
      <c r="I12" s="36">
        <f>C35</f>
        <v>4</v>
      </c>
      <c r="J12" s="35"/>
      <c r="K12" s="46"/>
      <c r="L12" s="53" t="s">
        <v>23</v>
      </c>
      <c r="M12" s="54"/>
      <c r="N12" s="36">
        <f>C36</f>
        <v>4</v>
      </c>
      <c r="O12" s="35"/>
      <c r="P12" s="46"/>
    </row>
    <row r="13" spans="1:16" ht="21.95" customHeight="1" thickBot="1" x14ac:dyDescent="0.3">
      <c r="A13" s="46"/>
      <c r="B13" s="53" t="s">
        <v>24</v>
      </c>
      <c r="C13" s="54"/>
      <c r="D13" s="36">
        <f>D34</f>
        <v>2</v>
      </c>
      <c r="E13" s="35"/>
      <c r="F13" s="46"/>
      <c r="G13" s="53" t="s">
        <v>24</v>
      </c>
      <c r="H13" s="54"/>
      <c r="I13" s="36">
        <f>D35</f>
        <v>3</v>
      </c>
      <c r="J13" s="35"/>
      <c r="K13" s="46"/>
      <c r="L13" s="53" t="s">
        <v>24</v>
      </c>
      <c r="M13" s="54"/>
      <c r="N13" s="36">
        <f>D36</f>
        <v>2</v>
      </c>
      <c r="O13" s="35"/>
      <c r="P13" s="46"/>
    </row>
    <row r="14" spans="1:16" ht="21.95" customHeight="1" x14ac:dyDescent="0.25">
      <c r="A14" s="46"/>
      <c r="B14" s="53" t="s">
        <v>25</v>
      </c>
      <c r="C14" s="54"/>
      <c r="D14" s="36">
        <f>E34</f>
        <v>2</v>
      </c>
      <c r="E14" s="35"/>
      <c r="F14" s="46"/>
      <c r="G14" s="53" t="s">
        <v>25</v>
      </c>
      <c r="H14" s="54"/>
      <c r="I14" s="36">
        <f>E35</f>
        <v>1</v>
      </c>
      <c r="J14" s="35"/>
      <c r="K14" s="46"/>
      <c r="L14" s="53" t="s">
        <v>25</v>
      </c>
      <c r="M14" s="54"/>
      <c r="N14" s="36">
        <f>E36</f>
        <v>2</v>
      </c>
      <c r="O14" s="35"/>
      <c r="P14" s="46"/>
    </row>
    <row r="15" spans="1:16" ht="21.95" customHeight="1" x14ac:dyDescent="0.25">
      <c r="A15" s="46"/>
      <c r="B15" s="53" t="s">
        <v>26</v>
      </c>
      <c r="C15" s="54"/>
      <c r="D15" s="36">
        <f>F34</f>
        <v>46</v>
      </c>
      <c r="E15" s="35"/>
      <c r="F15" s="46"/>
      <c r="G15" s="53" t="s">
        <v>26</v>
      </c>
      <c r="H15" s="54"/>
      <c r="I15" s="36">
        <f>F35</f>
        <v>47</v>
      </c>
      <c r="J15" s="35"/>
      <c r="K15" s="46"/>
      <c r="L15" s="53" t="s">
        <v>26</v>
      </c>
      <c r="M15" s="54"/>
      <c r="N15" s="36">
        <f>F36</f>
        <v>54</v>
      </c>
      <c r="O15" s="35"/>
      <c r="P15" s="46"/>
    </row>
    <row r="16" spans="1:16" ht="21.95" customHeight="1" x14ac:dyDescent="0.25">
      <c r="A16" s="46"/>
      <c r="B16" s="33" t="s">
        <v>27</v>
      </c>
      <c r="C16" s="34"/>
      <c r="D16" s="34"/>
      <c r="E16" s="35"/>
      <c r="F16" s="46"/>
      <c r="G16" s="33" t="s">
        <v>27</v>
      </c>
      <c r="H16" s="34"/>
      <c r="I16" s="34"/>
      <c r="J16" s="35"/>
      <c r="K16" s="46"/>
      <c r="L16" s="33" t="s">
        <v>27</v>
      </c>
      <c r="M16" s="34"/>
      <c r="N16" s="34"/>
      <c r="O16" s="35"/>
      <c r="P16" s="46"/>
    </row>
    <row r="17" spans="1:16" ht="32.1" customHeight="1" x14ac:dyDescent="0.25">
      <c r="A17" s="46"/>
      <c r="B17" s="27" t="str">
        <f>IFERROR(INDEX('Base PESTEL'!$C$5:$C$40,SUMPRODUCT(('Base PESTEL'!$B$5:$B$40=$B34)*('Base PESTEL'!$M$5:$M$40=$H34)*(ROW('Base PESTEL'!$C$5:$C$40)-4))),"-")</f>
        <v>Mantenimiento predictivo IoT</v>
      </c>
      <c r="C17" s="28"/>
      <c r="D17" s="28"/>
      <c r="E17" s="29"/>
      <c r="F17" s="46"/>
      <c r="G17" s="27" t="str">
        <f>IFERROR(INDEX('Base PESTEL'!$C$5:$C$40,SUMPRODUCT(('Base PESTEL'!$B$5:$B$40=$B35)*('Base PESTEL'!$M$5:$M$40=$H35)*(ROW('Base PESTEL'!$C$5:$C$40)-4))),"-")</f>
        <v>Mantenimiento predictivo IoT</v>
      </c>
      <c r="H17" s="28"/>
      <c r="I17" s="28"/>
      <c r="J17" s="29"/>
      <c r="K17" s="46"/>
      <c r="L17" s="27" t="str">
        <f>IFERROR(INDEX('Base PESTEL'!$C$5:$C$40,SUMPRODUCT(('Base PESTEL'!$B$5:$B$40=$B36)*('Base PESTEL'!$M$5:$M$40=$H36)*(ROW('Base PESTEL'!$C$5:$C$40)-4))),"-")</f>
        <v>Mantenimiento predictivo IoT</v>
      </c>
      <c r="M17" s="28"/>
      <c r="N17" s="28"/>
      <c r="O17" s="29"/>
      <c r="P17" s="46"/>
    </row>
    <row r="18" spans="1:16" ht="14.1" customHeight="1" x14ac:dyDescent="0.25">
      <c r="A18" s="46"/>
      <c r="B18" s="30"/>
      <c r="C18" s="31"/>
      <c r="D18" s="31"/>
      <c r="E18" s="32"/>
      <c r="F18" s="46"/>
      <c r="G18" s="30"/>
      <c r="H18" s="31"/>
      <c r="I18" s="31"/>
      <c r="J18" s="32"/>
      <c r="K18" s="46"/>
      <c r="L18" s="30"/>
      <c r="M18" s="31"/>
      <c r="N18" s="31"/>
      <c r="O18" s="32"/>
      <c r="P18" s="46"/>
    </row>
    <row r="19" spans="1:16" s="48" customFormat="1" ht="21.95" customHeight="1" x14ac:dyDescent="0.25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16" ht="21.95" customHeight="1" x14ac:dyDescent="0.25">
      <c r="A20" s="46"/>
      <c r="B20" s="38" t="s">
        <v>28</v>
      </c>
      <c r="C20" s="34"/>
      <c r="D20" s="34"/>
      <c r="E20" s="35"/>
      <c r="F20" s="46"/>
      <c r="G20" s="38" t="s">
        <v>18</v>
      </c>
      <c r="H20" s="34"/>
      <c r="I20" s="34"/>
      <c r="J20" s="35"/>
      <c r="K20" s="46"/>
      <c r="L20" s="38" t="s">
        <v>29</v>
      </c>
      <c r="M20" s="34"/>
      <c r="N20" s="34"/>
      <c r="O20" s="35"/>
      <c r="P20" s="46"/>
    </row>
    <row r="21" spans="1:16" ht="21.95" customHeight="1" x14ac:dyDescent="0.25">
      <c r="A21" s="46"/>
      <c r="B21" s="36" t="s">
        <v>30</v>
      </c>
      <c r="C21" s="34"/>
      <c r="D21" s="34"/>
      <c r="E21" s="35"/>
      <c r="F21" s="46"/>
      <c r="G21" s="36" t="s">
        <v>31</v>
      </c>
      <c r="H21" s="34"/>
      <c r="I21" s="34"/>
      <c r="J21" s="35"/>
      <c r="K21" s="46"/>
      <c r="L21" s="36" t="s">
        <v>32</v>
      </c>
      <c r="M21" s="34"/>
      <c r="N21" s="34"/>
      <c r="O21" s="35"/>
      <c r="P21" s="46"/>
    </row>
    <row r="22" spans="1:16" ht="21.95" customHeight="1" x14ac:dyDescent="0.25">
      <c r="A22" s="46"/>
      <c r="B22" s="53" t="s">
        <v>23</v>
      </c>
      <c r="C22" s="54"/>
      <c r="D22" s="36">
        <f>C37</f>
        <v>4</v>
      </c>
      <c r="E22" s="35"/>
      <c r="F22" s="46"/>
      <c r="G22" s="53" t="s">
        <v>23</v>
      </c>
      <c r="H22" s="54"/>
      <c r="I22" s="36">
        <f>C38</f>
        <v>4</v>
      </c>
      <c r="J22" s="35"/>
      <c r="K22" s="46"/>
      <c r="L22" s="53" t="s">
        <v>23</v>
      </c>
      <c r="M22" s="54"/>
      <c r="N22" s="36">
        <f>C39</f>
        <v>4</v>
      </c>
      <c r="O22" s="35"/>
      <c r="P22" s="46"/>
    </row>
    <row r="23" spans="1:16" ht="21.95" customHeight="1" x14ac:dyDescent="0.25">
      <c r="A23" s="46"/>
      <c r="B23" s="53" t="s">
        <v>24</v>
      </c>
      <c r="C23" s="54"/>
      <c r="D23" s="36">
        <f>D37</f>
        <v>1</v>
      </c>
      <c r="E23" s="35"/>
      <c r="F23" s="46"/>
      <c r="G23" s="53" t="s">
        <v>24</v>
      </c>
      <c r="H23" s="54"/>
      <c r="I23" s="36">
        <f>D38</f>
        <v>2</v>
      </c>
      <c r="J23" s="35"/>
      <c r="K23" s="46"/>
      <c r="L23" s="53" t="s">
        <v>24</v>
      </c>
      <c r="M23" s="54"/>
      <c r="N23" s="36">
        <f>D39</f>
        <v>4</v>
      </c>
      <c r="O23" s="35"/>
      <c r="P23" s="46"/>
    </row>
    <row r="24" spans="1:16" ht="21.95" customHeight="1" x14ac:dyDescent="0.25">
      <c r="A24" s="46"/>
      <c r="B24" s="53" t="s">
        <v>25</v>
      </c>
      <c r="C24" s="54"/>
      <c r="D24" s="36">
        <f>E37</f>
        <v>3</v>
      </c>
      <c r="E24" s="35"/>
      <c r="F24" s="46"/>
      <c r="G24" s="53" t="s">
        <v>25</v>
      </c>
      <c r="H24" s="54"/>
      <c r="I24" s="36">
        <f>E38</f>
        <v>2</v>
      </c>
      <c r="J24" s="35"/>
      <c r="K24" s="46"/>
      <c r="L24" s="53" t="s">
        <v>25</v>
      </c>
      <c r="M24" s="54"/>
      <c r="N24" s="36">
        <f>E39</f>
        <v>0</v>
      </c>
      <c r="O24" s="35"/>
      <c r="P24" s="46"/>
    </row>
    <row r="25" spans="1:16" ht="21.95" customHeight="1" x14ac:dyDescent="0.25">
      <c r="A25" s="46"/>
      <c r="B25" s="53" t="s">
        <v>26</v>
      </c>
      <c r="C25" s="54"/>
      <c r="D25" s="36">
        <f>F37</f>
        <v>46</v>
      </c>
      <c r="E25" s="35"/>
      <c r="F25" s="46"/>
      <c r="G25" s="53" t="s">
        <v>26</v>
      </c>
      <c r="H25" s="54"/>
      <c r="I25" s="36">
        <f>F38</f>
        <v>48</v>
      </c>
      <c r="J25" s="35"/>
      <c r="K25" s="46"/>
      <c r="L25" s="53" t="s">
        <v>26</v>
      </c>
      <c r="M25" s="54"/>
      <c r="N25" s="36">
        <f>F39</f>
        <v>52</v>
      </c>
      <c r="O25" s="35"/>
      <c r="P25" s="46"/>
    </row>
    <row r="26" spans="1:16" ht="21.95" customHeight="1" x14ac:dyDescent="0.25">
      <c r="A26" s="46"/>
      <c r="B26" s="33" t="s">
        <v>27</v>
      </c>
      <c r="C26" s="34"/>
      <c r="D26" s="34"/>
      <c r="E26" s="35"/>
      <c r="F26" s="46"/>
      <c r="G26" s="33" t="s">
        <v>27</v>
      </c>
      <c r="H26" s="34"/>
      <c r="I26" s="34"/>
      <c r="J26" s="35"/>
      <c r="K26" s="46"/>
      <c r="L26" s="33" t="s">
        <v>27</v>
      </c>
      <c r="M26" s="34"/>
      <c r="N26" s="34"/>
      <c r="O26" s="35"/>
      <c r="P26" s="46"/>
    </row>
    <row r="27" spans="1:16" ht="32.1" customHeight="1" x14ac:dyDescent="0.25">
      <c r="A27" s="46"/>
      <c r="B27" s="27" t="str">
        <f>IFERROR(INDEX('Base PESTEL'!$C$5:$C$40,SUMPRODUCT(('Base PESTEL'!$B$5:$B$40=$B37)*('Base PESTEL'!$M$5:$M$40=$H37)*(ROW('Base PESTEL'!$C$5:$C$40)-4))),"-")</f>
        <v>Normativa laboral operativa</v>
      </c>
      <c r="C27" s="28"/>
      <c r="D27" s="28"/>
      <c r="E27" s="29"/>
      <c r="F27" s="46"/>
      <c r="G27" s="27" t="str">
        <f>IFERROR(INDEX('Base PESTEL'!$C$5:$C$40,SUMPRODUCT(('Base PESTEL'!$B$5:$B$40=$B38)*('Base PESTEL'!$M$5:$M$40=$H38)*(ROW('Base PESTEL'!$C$5:$C$40)-4))),"-")</f>
        <v>Normativa laboral operativa</v>
      </c>
      <c r="H27" s="28"/>
      <c r="I27" s="28"/>
      <c r="J27" s="29"/>
      <c r="K27" s="46"/>
      <c r="L27" s="27" t="str">
        <f>IFERROR(INDEX('Base PESTEL'!$C$5:$C$40,SUMPRODUCT(('Base PESTEL'!$B$5:$B$40=$B39)*('Base PESTEL'!$M$5:$M$40=$H39)*(ROW('Base PESTEL'!$C$5:$C$40)-4))),"-")</f>
        <v>Normativa laboral operativa</v>
      </c>
      <c r="M27" s="28"/>
      <c r="N27" s="28"/>
      <c r="O27" s="29"/>
      <c r="P27" s="46"/>
    </row>
    <row r="28" spans="1:16" ht="14.1" customHeight="1" x14ac:dyDescent="0.25">
      <c r="A28" s="46"/>
      <c r="B28" s="30"/>
      <c r="C28" s="31"/>
      <c r="D28" s="31"/>
      <c r="E28" s="32"/>
      <c r="F28" s="46"/>
      <c r="G28" s="30"/>
      <c r="H28" s="31"/>
      <c r="I28" s="31"/>
      <c r="J28" s="32"/>
      <c r="K28" s="46"/>
      <c r="L28" s="30"/>
      <c r="M28" s="31"/>
      <c r="N28" s="31"/>
      <c r="O28" s="32"/>
      <c r="P28" s="46"/>
    </row>
    <row r="29" spans="1:16" s="48" customFormat="1" ht="21.9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</row>
    <row r="30" spans="1:16" s="48" customFormat="1" ht="21.95" customHeight="1" x14ac:dyDescent="0.25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</row>
    <row r="31" spans="1:16" s="48" customFormat="1" ht="21.95" customHeight="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</row>
    <row r="32" spans="1:16" ht="27.95" customHeight="1" x14ac:dyDescent="0.25">
      <c r="A32" s="46"/>
      <c r="B32" s="2" t="s">
        <v>33</v>
      </c>
      <c r="C32" s="2" t="s">
        <v>23</v>
      </c>
      <c r="D32" s="2" t="s">
        <v>24</v>
      </c>
      <c r="E32" s="2" t="s">
        <v>34</v>
      </c>
      <c r="F32" s="2" t="s">
        <v>35</v>
      </c>
      <c r="G32" s="2" t="s">
        <v>36</v>
      </c>
      <c r="H32" s="46"/>
      <c r="I32" s="3" t="s">
        <v>37</v>
      </c>
      <c r="J32" s="3" t="s">
        <v>38</v>
      </c>
      <c r="K32" s="50" t="s">
        <v>39</v>
      </c>
      <c r="L32" s="4" t="s">
        <v>40</v>
      </c>
      <c r="M32" s="4" t="s">
        <v>41</v>
      </c>
      <c r="N32" s="4" t="s">
        <v>42</v>
      </c>
      <c r="O32" s="46"/>
      <c r="P32" s="46"/>
    </row>
    <row r="33" spans="1:16" s="48" customFormat="1" ht="21.95" customHeight="1" x14ac:dyDescent="0.25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ht="21.95" customHeight="1" x14ac:dyDescent="0.25">
      <c r="A34" s="46"/>
      <c r="B34" s="5" t="s">
        <v>20</v>
      </c>
      <c r="C34" s="6">
        <f>COUNTIF('Base PESTEL'!$B$5:$B$40,$B34)</f>
        <v>4</v>
      </c>
      <c r="D34" s="6">
        <f>COUNTIFS('Base PESTEL'!$B$5:$B$40,$B34,'Base PESTEL'!$E$5:$E$40,"Riesgo")</f>
        <v>2</v>
      </c>
      <c r="E34" s="6">
        <f>COUNTIFS('Base PESTEL'!$B$5:$B$40,$B34,'Base PESTEL'!$E$5:$E$40,"Oportunidad")</f>
        <v>2</v>
      </c>
      <c r="F34" s="6">
        <f>IFERROR(ROUND(AVERAGEIF('Base PESTEL'!$B$5:$B$40,$B34,'Base PESTEL'!$M$5:$M$40),0),0)</f>
        <v>46</v>
      </c>
      <c r="G34" s="6">
        <f>COUNTIFS('Base PESTEL'!$B$5:$B$40,$B34,'Base PESTEL'!$N$5:$N$40,"Crítico")</f>
        <v>1</v>
      </c>
      <c r="H34" s="46"/>
      <c r="I34" s="7">
        <v>1</v>
      </c>
      <c r="J34" s="8" t="str">
        <f>IFERROR(INDEX('Base PESTEL'!$C$5:$C$40,MATCH(I34,'Base PESTEL'!$T$5:$T$40,0)),"-")</f>
        <v>Preferencia por movilidad sostenible</v>
      </c>
      <c r="K34" s="63" t="str">
        <f>IFERROR(INDEX('Base PESTEL'!$B$5:$B$40,MATCH(I34,'Base PESTEL'!$T$5:$T$40,0)),"-")</f>
        <v>Social</v>
      </c>
      <c r="L34" s="62" t="str">
        <f>IFERROR(INDEX('Base PESTEL'!$E$5:$E$40,MATCH(I34,'Base PESTEL'!$T$5:$T$40,0)),"-")</f>
        <v>Oportunidad</v>
      </c>
      <c r="M34" s="9">
        <f>IFERROR(INDEX('Base PESTEL'!$M$5:$M$40,MATCH(I34,'Base PESTEL'!$T$5:$T$40,0)),"")</f>
        <v>80</v>
      </c>
      <c r="N34" s="61" t="str">
        <f>IFERROR(INDEX('Base PESTEL'!$P$5:$P$40,MATCH(I34,'Base PESTEL'!$T$5:$T$40,0)),"-")</f>
        <v>Activar campañas por barrios y mensajes centrados en ahorro de tiempo y emisiones.</v>
      </c>
      <c r="O34" s="46"/>
      <c r="P34" s="46"/>
    </row>
    <row r="35" spans="1:16" ht="21.95" customHeight="1" x14ac:dyDescent="0.25">
      <c r="A35" s="46"/>
      <c r="B35" s="5" t="s">
        <v>21</v>
      </c>
      <c r="C35" s="6">
        <f>COUNTIF('Base PESTEL'!$B$5:$B$40,$B35)</f>
        <v>4</v>
      </c>
      <c r="D35" s="6">
        <f>COUNTIFS('Base PESTEL'!$B$5:$B$40,$B35,'Base PESTEL'!$E$5:$E$40,"Riesgo")</f>
        <v>3</v>
      </c>
      <c r="E35" s="6">
        <f>COUNTIFS('Base PESTEL'!$B$5:$B$40,$B35,'Base PESTEL'!$E$5:$E$40,"Oportunidad")</f>
        <v>1</v>
      </c>
      <c r="F35" s="6">
        <f>IFERROR(ROUND(AVERAGEIF('Base PESTEL'!$B$5:$B$40,$B35,'Base PESTEL'!$M$5:$M$40),0),0)</f>
        <v>47</v>
      </c>
      <c r="G35" s="6">
        <f>COUNTIFS('Base PESTEL'!$B$5:$B$40,$B35,'Base PESTEL'!$N$5:$N$40,"Crítico")</f>
        <v>1</v>
      </c>
      <c r="H35" s="46"/>
      <c r="I35" s="7">
        <v>2</v>
      </c>
      <c r="J35" s="8" t="str">
        <f>IFERROR(INDEX('Base PESTEL'!$C$5:$C$40,MATCH(I35,'Base PESTEL'!$T$5:$T$40,0)),"-")</f>
        <v>Protección de datos y geolocalización</v>
      </c>
      <c r="K35" s="63" t="str">
        <f>IFERROR(INDEX('Base PESTEL'!$B$5:$B$40,MATCH(I35,'Base PESTEL'!$T$5:$T$40,0)),"-")</f>
        <v>Legal</v>
      </c>
      <c r="L35" s="7" t="str">
        <f>IFERROR(INDEX('Base PESTEL'!$E$5:$E$40,MATCH(I35,'Base PESTEL'!$T$5:$T$40,0)),"-")</f>
        <v>Riesgo</v>
      </c>
      <c r="M35" s="7">
        <f>IFERROR(INDEX('Base PESTEL'!$M$5:$M$40,MATCH(I35,'Base PESTEL'!$T$5:$T$40,0)),"")</f>
        <v>80</v>
      </c>
      <c r="N35" s="8" t="str">
        <f>IFERROR(INDEX('Base PESTEL'!$P$5:$P$40,MATCH(I35,'Base PESTEL'!$T$5:$T$40,0)),"-")</f>
        <v>Revisar consentimiento, retención, seguridad y trazabilidad de accesos a datos.</v>
      </c>
      <c r="O35" s="46"/>
      <c r="P35" s="46"/>
    </row>
    <row r="36" spans="1:16" ht="21.95" customHeight="1" x14ac:dyDescent="0.25">
      <c r="A36" s="46"/>
      <c r="B36" s="5" t="s">
        <v>22</v>
      </c>
      <c r="C36" s="6">
        <f>COUNTIF('Base PESTEL'!$B$5:$B$40,$B36)</f>
        <v>4</v>
      </c>
      <c r="D36" s="6">
        <f>COUNTIFS('Base PESTEL'!$B$5:$B$40,$B36,'Base PESTEL'!$E$5:$E$40,"Riesgo")</f>
        <v>2</v>
      </c>
      <c r="E36" s="6">
        <f>COUNTIFS('Base PESTEL'!$B$5:$B$40,$B36,'Base PESTEL'!$E$5:$E$40,"Oportunidad")</f>
        <v>2</v>
      </c>
      <c r="F36" s="6">
        <f>IFERROR(ROUND(AVERAGEIF('Base PESTEL'!$B$5:$B$40,$B36,'Base PESTEL'!$M$5:$M$40),0),0)</f>
        <v>54</v>
      </c>
      <c r="G36" s="6">
        <f>COUNTIFS('Base PESTEL'!$B$5:$B$40,$B36,'Base PESTEL'!$N$5:$N$40,"Crítico")</f>
        <v>2</v>
      </c>
      <c r="H36" s="46"/>
      <c r="I36" s="7">
        <v>3</v>
      </c>
      <c r="J36" s="8" t="str">
        <f>IFERROR(INDEX('Base PESTEL'!$C$5:$C$40,MATCH(I36,'Base PESTEL'!$T$5:$T$40,0)),"-")</f>
        <v>Zonas de bajas emisiones</v>
      </c>
      <c r="K36" s="63" t="str">
        <f>IFERROR(INDEX('Base PESTEL'!$B$5:$B$40,MATCH(I36,'Base PESTEL'!$T$5:$T$40,0)),"-")</f>
        <v>Político</v>
      </c>
      <c r="L36" s="7" t="str">
        <f>IFERROR(INDEX('Base PESTEL'!$E$5:$E$40,MATCH(I36,'Base PESTEL'!$T$5:$T$40,0)),"-")</f>
        <v>Oportunidad</v>
      </c>
      <c r="M36" s="7">
        <f>IFERROR(INDEX('Base PESTEL'!$M$5:$M$40,MATCH(I36,'Base PESTEL'!$T$5:$T$40,0)),"")</f>
        <v>64</v>
      </c>
      <c r="N36" s="8" t="str">
        <f>IFERROR(INDEX('Base PESTEL'!$P$5:$P$40,MATCH(I36,'Base PESTEL'!$T$5:$T$40,0)),"-")</f>
        <v>Negociar presencia prioritaria en áreas de alta demanda y estaciones clave.</v>
      </c>
      <c r="O36" s="46"/>
      <c r="P36" s="46"/>
    </row>
    <row r="37" spans="1:16" ht="21.95" customHeight="1" x14ac:dyDescent="0.25">
      <c r="A37" s="46"/>
      <c r="B37" s="5" t="s">
        <v>30</v>
      </c>
      <c r="C37" s="6">
        <f>COUNTIF('Base PESTEL'!$B$5:$B$40,$B37)</f>
        <v>4</v>
      </c>
      <c r="D37" s="6">
        <f>COUNTIFS('Base PESTEL'!$B$5:$B$40,$B37,'Base PESTEL'!$E$5:$E$40,"Riesgo")</f>
        <v>1</v>
      </c>
      <c r="E37" s="6">
        <f>COUNTIFS('Base PESTEL'!$B$5:$B$40,$B37,'Base PESTEL'!$E$5:$E$40,"Oportunidad")</f>
        <v>3</v>
      </c>
      <c r="F37" s="6">
        <f>IFERROR(ROUND(AVERAGEIF('Base PESTEL'!$B$5:$B$40,$B37,'Base PESTEL'!$M$5:$M$40),0),0)</f>
        <v>46</v>
      </c>
      <c r="G37" s="6">
        <f>COUNTIFS('Base PESTEL'!$B$5:$B$40,$B37,'Base PESTEL'!$N$5:$N$40,"Crítico")</f>
        <v>1</v>
      </c>
      <c r="H37" s="46"/>
      <c r="I37" s="7">
        <v>4</v>
      </c>
      <c r="J37" s="8" t="str">
        <f>IFERROR(INDEX('Base PESTEL'!$C$5:$C$40,MATCH(I37,'Base PESTEL'!$T$5:$T$40,0)),"-")</f>
        <v>Inflación en repuestos</v>
      </c>
      <c r="K37" s="63" t="str">
        <f>IFERROR(INDEX('Base PESTEL'!$B$5:$B$40,MATCH(I37,'Base PESTEL'!$T$5:$T$40,0)),"-")</f>
        <v>Económico</v>
      </c>
      <c r="L37" s="7" t="str">
        <f>IFERROR(INDEX('Base PESTEL'!$E$5:$E$40,MATCH(I37,'Base PESTEL'!$T$5:$T$40,0)),"-")</f>
        <v>Riesgo</v>
      </c>
      <c r="M37" s="7">
        <f>IFERROR(INDEX('Base PESTEL'!$M$5:$M$40,MATCH(I37,'Base PESTEL'!$T$5:$T$40,0)),"")</f>
        <v>64</v>
      </c>
      <c r="N37" s="8" t="str">
        <f>IFERROR(INDEX('Base PESTEL'!$P$5:$P$40,MATCH(I37,'Base PESTEL'!$T$5:$T$40,0)),"-")</f>
        <v>Renegociar contratos marco y priorizar mantenimiento preventivo para alargar vida útil.</v>
      </c>
      <c r="O37" s="46"/>
      <c r="P37" s="46"/>
    </row>
    <row r="38" spans="1:16" ht="21.95" customHeight="1" x14ac:dyDescent="0.25">
      <c r="A38" s="46"/>
      <c r="B38" s="5" t="s">
        <v>31</v>
      </c>
      <c r="C38" s="6">
        <f>COUNTIF('Base PESTEL'!$B$5:$B$40,$B38)</f>
        <v>4</v>
      </c>
      <c r="D38" s="6">
        <f>COUNTIFS('Base PESTEL'!$B$5:$B$40,$B38,'Base PESTEL'!$E$5:$E$40,"Riesgo")</f>
        <v>2</v>
      </c>
      <c r="E38" s="6">
        <f>COUNTIFS('Base PESTEL'!$B$5:$B$40,$B38,'Base PESTEL'!$E$5:$E$40,"Oportunidad")</f>
        <v>2</v>
      </c>
      <c r="F38" s="6">
        <f>IFERROR(ROUND(AVERAGEIF('Base PESTEL'!$B$5:$B$40,$B38,'Base PESTEL'!$M$5:$M$40),0),0)</f>
        <v>48</v>
      </c>
      <c r="G38" s="6">
        <f>COUNTIFS('Base PESTEL'!$B$5:$B$40,$B38,'Base PESTEL'!$N$5:$N$40,"Crítico")</f>
        <v>1</v>
      </c>
      <c r="H38" s="46"/>
      <c r="I38" s="7">
        <v>5</v>
      </c>
      <c r="J38" s="8" t="str">
        <f>IFERROR(INDEX('Base PESTEL'!$C$5:$C$40,MATCH(I38,'Base PESTEL'!$T$5:$T$40,0)),"-")</f>
        <v>Vandalismo y robos</v>
      </c>
      <c r="K38" s="63" t="str">
        <f>IFERROR(INDEX('Base PESTEL'!$B$5:$B$40,MATCH(I38,'Base PESTEL'!$T$5:$T$40,0)),"-")</f>
        <v>Social</v>
      </c>
      <c r="L38" s="7" t="str">
        <f>IFERROR(INDEX('Base PESTEL'!$E$5:$E$40,MATCH(I38,'Base PESTEL'!$T$5:$T$40,0)),"-")</f>
        <v>Riesgo</v>
      </c>
      <c r="M38" s="7">
        <f>IFERROR(INDEX('Base PESTEL'!$M$5:$M$40,MATCH(I38,'Base PESTEL'!$T$5:$T$40,0)),"")</f>
        <v>64</v>
      </c>
      <c r="N38" s="8" t="str">
        <f>IFERROR(INDEX('Base PESTEL'!$P$5:$P$40,MATCH(I38,'Base PESTEL'!$T$5:$T$40,0)),"-")</f>
        <v>Reforzar anclajes, geofencing y respuesta rápida en zonas de incidencia.</v>
      </c>
      <c r="O38" s="46"/>
      <c r="P38" s="46"/>
    </row>
    <row r="39" spans="1:16" ht="21.95" customHeight="1" x14ac:dyDescent="0.25">
      <c r="A39" s="46"/>
      <c r="B39" s="5" t="s">
        <v>32</v>
      </c>
      <c r="C39" s="6">
        <f>COUNTIF('Base PESTEL'!$B$5:$B$40,$B39)</f>
        <v>4</v>
      </c>
      <c r="D39" s="6">
        <f>COUNTIFS('Base PESTEL'!$B$5:$B$40,$B39,'Base PESTEL'!$E$5:$E$40,"Riesgo")</f>
        <v>4</v>
      </c>
      <c r="E39" s="6">
        <f>COUNTIFS('Base PESTEL'!$B$5:$B$40,$B39,'Base PESTEL'!$E$5:$E$40,"Oportunidad")</f>
        <v>0</v>
      </c>
      <c r="F39" s="6">
        <f>IFERROR(ROUND(AVERAGEIF('Base PESTEL'!$B$5:$B$40,$B39,'Base PESTEL'!$M$5:$M$40),0),0)</f>
        <v>52</v>
      </c>
      <c r="G39" s="6">
        <f>COUNTIFS('Base PESTEL'!$B$5:$B$40,$B39,'Base PESTEL'!$N$5:$N$40,"Crítico")</f>
        <v>1</v>
      </c>
      <c r="H39" s="46"/>
      <c r="I39" s="46"/>
      <c r="J39" s="46"/>
      <c r="K39" s="46"/>
      <c r="L39" s="46"/>
      <c r="M39" s="46"/>
      <c r="N39" s="46"/>
      <c r="O39" s="46"/>
      <c r="P39" s="46"/>
    </row>
    <row r="40" spans="1:16" s="48" customFormat="1" ht="21.95" customHeight="1" x14ac:dyDescent="0.25">
      <c r="A40" s="46"/>
      <c r="B40" s="46"/>
      <c r="C40" s="46"/>
      <c r="D40" s="46"/>
      <c r="E40" s="46"/>
      <c r="F40" s="46"/>
      <c r="G40" s="46"/>
      <c r="H40" s="46"/>
      <c r="I40" s="51" t="s">
        <v>43</v>
      </c>
      <c r="J40" s="47"/>
      <c r="K40" s="47"/>
      <c r="L40" s="47"/>
      <c r="M40" s="47"/>
      <c r="N40" s="47"/>
      <c r="O40" s="46"/>
      <c r="P40" s="46"/>
    </row>
    <row r="41" spans="1:16" s="48" customFormat="1" ht="21.95" customHeight="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</row>
  </sheetData>
  <mergeCells count="90">
    <mergeCell ref="B6:C6"/>
    <mergeCell ref="B7:C7"/>
    <mergeCell ref="B8:C8"/>
    <mergeCell ref="L5:O5"/>
    <mergeCell ref="M6:O6"/>
    <mergeCell ref="M7:O7"/>
    <mergeCell ref="M8:O8"/>
    <mergeCell ref="L23:M23"/>
    <mergeCell ref="L24:M24"/>
    <mergeCell ref="L25:M25"/>
    <mergeCell ref="H6:I6"/>
    <mergeCell ref="H7:I7"/>
    <mergeCell ref="I40:N40"/>
    <mergeCell ref="B11:E11"/>
    <mergeCell ref="I23:J23"/>
    <mergeCell ref="I8:J8"/>
    <mergeCell ref="I14:J14"/>
    <mergeCell ref="N13:O13"/>
    <mergeCell ref="G10:J10"/>
    <mergeCell ref="D12:E12"/>
    <mergeCell ref="D25:E25"/>
    <mergeCell ref="L27:O28"/>
    <mergeCell ref="D24:E24"/>
    <mergeCell ref="N15:O15"/>
    <mergeCell ref="D15:E15"/>
    <mergeCell ref="G27:J28"/>
    <mergeCell ref="N24:O24"/>
    <mergeCell ref="L26:O26"/>
    <mergeCell ref="B1:N2"/>
    <mergeCell ref="I12:J12"/>
    <mergeCell ref="I24:J24"/>
    <mergeCell ref="H5:J5"/>
    <mergeCell ref="B21:E21"/>
    <mergeCell ref="B5:F5"/>
    <mergeCell ref="L17:O18"/>
    <mergeCell ref="D23:E23"/>
    <mergeCell ref="D14:E14"/>
    <mergeCell ref="L20:O20"/>
    <mergeCell ref="I13:J13"/>
    <mergeCell ref="L10:O10"/>
    <mergeCell ref="B10:E10"/>
    <mergeCell ref="D6:F6"/>
    <mergeCell ref="B12:C12"/>
    <mergeCell ref="G11:J11"/>
    <mergeCell ref="D8:F8"/>
    <mergeCell ref="B3:N3"/>
    <mergeCell ref="N23:O23"/>
    <mergeCell ref="N14:O14"/>
    <mergeCell ref="B13:C13"/>
    <mergeCell ref="B14:C14"/>
    <mergeCell ref="B15:C15"/>
    <mergeCell ref="G12:H12"/>
    <mergeCell ref="G13:H13"/>
    <mergeCell ref="G14:H14"/>
    <mergeCell ref="G15:H15"/>
    <mergeCell ref="L12:M12"/>
    <mergeCell ref="L13:M13"/>
    <mergeCell ref="L14:M14"/>
    <mergeCell ref="L15:M15"/>
    <mergeCell ref="N12:O12"/>
    <mergeCell ref="D13:E13"/>
    <mergeCell ref="I25:J25"/>
    <mergeCell ref="B16:E16"/>
    <mergeCell ref="G21:J21"/>
    <mergeCell ref="L16:O16"/>
    <mergeCell ref="I22:J22"/>
    <mergeCell ref="B22:C22"/>
    <mergeCell ref="B23:C23"/>
    <mergeCell ref="B24:C24"/>
    <mergeCell ref="B25:C25"/>
    <mergeCell ref="G22:H22"/>
    <mergeCell ref="G23:H23"/>
    <mergeCell ref="G24:H24"/>
    <mergeCell ref="G25:H25"/>
    <mergeCell ref="L22:M22"/>
    <mergeCell ref="B27:E28"/>
    <mergeCell ref="G26:J26"/>
    <mergeCell ref="I15:J15"/>
    <mergeCell ref="G17:J18"/>
    <mergeCell ref="G20:J20"/>
    <mergeCell ref="L21:O21"/>
    <mergeCell ref="N25:O25"/>
    <mergeCell ref="B17:E18"/>
    <mergeCell ref="G16:J16"/>
    <mergeCell ref="D22:E22"/>
    <mergeCell ref="B20:E20"/>
    <mergeCell ref="D7:F7"/>
    <mergeCell ref="N22:O22"/>
    <mergeCell ref="L11:O11"/>
    <mergeCell ref="B26:E26"/>
  </mergeCells>
  <conditionalFormatting sqref="F34:F39">
    <cfRule type="colorScale" priority="1">
      <colorScale>
        <cfvo type="min"/>
        <cfvo type="percentile" val="50"/>
        <cfvo type="max"/>
        <color rgb="FFE2F0D9"/>
        <color rgb="FFFFF2CC"/>
        <color rgb="FFFDE9E7"/>
      </colorScale>
    </cfRule>
  </conditionalFormatting>
  <conditionalFormatting sqref="M34:M38">
    <cfRule type="colorScale" priority="2">
      <colorScale>
        <cfvo type="min"/>
        <cfvo type="percentile" val="50"/>
        <cfvo type="max"/>
        <color rgb="FFE2F0D9"/>
        <color rgb="FFFFF2CC"/>
        <color rgb="FFFDE9E7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BACC6"/>
  </sheetPr>
  <dimension ref="A1:W41"/>
  <sheetViews>
    <sheetView showGridLines="0" workbookViewId="0"/>
  </sheetViews>
  <sheetFormatPr baseColWidth="10" defaultColWidth="9.140625" defaultRowHeight="15" x14ac:dyDescent="0.25"/>
  <cols>
    <col min="1" max="1" width="6" customWidth="1"/>
    <col min="2" max="2" width="16" customWidth="1"/>
    <col min="3" max="3" width="30" customWidth="1"/>
    <col min="4" max="4" width="44" customWidth="1"/>
    <col min="5" max="5" width="14" customWidth="1"/>
    <col min="6" max="7" width="12" customWidth="1"/>
    <col min="8" max="8" width="10" customWidth="1"/>
    <col min="9" max="9" width="12" customWidth="1"/>
    <col min="10" max="10" width="10" customWidth="1"/>
    <col min="11" max="11" width="18" customWidth="1"/>
    <col min="12" max="12" width="12" customWidth="1"/>
    <col min="13" max="13" width="14" customWidth="1"/>
    <col min="14" max="14" width="12" customWidth="1"/>
    <col min="15" max="15" width="14" customWidth="1"/>
    <col min="16" max="16" width="34" customWidth="1"/>
    <col min="17" max="17" width="14" customWidth="1"/>
    <col min="18" max="18" width="12" hidden="1" customWidth="1"/>
    <col min="19" max="19" width="18" hidden="1" customWidth="1"/>
    <col min="20" max="21" width="12" hidden="1" customWidth="1"/>
    <col min="22" max="22" width="14" hidden="1" customWidth="1"/>
    <col min="23" max="23" width="18" hidden="1" customWidth="1"/>
  </cols>
  <sheetData>
    <row r="1" spans="1:23" ht="21.95" customHeight="1" x14ac:dyDescent="0.25">
      <c r="A1" s="45" t="s">
        <v>44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</row>
    <row r="2" spans="1:23" ht="21.95" customHeight="1" x14ac:dyDescent="0.25">
      <c r="A2" s="44" t="s">
        <v>45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</row>
    <row r="3" spans="1:23" ht="21.95" customHeight="1" x14ac:dyDescent="0.25">
      <c r="A3" s="43" t="s">
        <v>46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5"/>
    </row>
    <row r="4" spans="1:23" ht="21.95" customHeight="1" x14ac:dyDescent="0.25">
      <c r="A4" s="10" t="s">
        <v>47</v>
      </c>
      <c r="B4" s="10" t="s">
        <v>33</v>
      </c>
      <c r="C4" s="10" t="s">
        <v>48</v>
      </c>
      <c r="D4" s="10" t="s">
        <v>49</v>
      </c>
      <c r="E4" s="10" t="s">
        <v>40</v>
      </c>
      <c r="F4" s="10" t="s">
        <v>12</v>
      </c>
      <c r="G4" s="10" t="s">
        <v>50</v>
      </c>
      <c r="H4" s="10" t="s">
        <v>51</v>
      </c>
      <c r="I4" s="10" t="s">
        <v>52</v>
      </c>
      <c r="J4" s="10" t="s">
        <v>53</v>
      </c>
      <c r="K4" s="10" t="s">
        <v>54</v>
      </c>
      <c r="L4" s="10" t="s">
        <v>55</v>
      </c>
      <c r="M4" s="10" t="s">
        <v>56</v>
      </c>
      <c r="N4" s="10" t="s">
        <v>57</v>
      </c>
      <c r="O4" s="10" t="s">
        <v>58</v>
      </c>
      <c r="P4" s="10" t="s">
        <v>59</v>
      </c>
      <c r="Q4" s="10" t="s">
        <v>60</v>
      </c>
      <c r="R4" s="11" t="s">
        <v>61</v>
      </c>
      <c r="S4" s="11" t="s">
        <v>62</v>
      </c>
      <c r="T4" s="11" t="s">
        <v>63</v>
      </c>
      <c r="U4" s="11" t="s">
        <v>64</v>
      </c>
      <c r="V4" s="26"/>
      <c r="W4" s="26"/>
    </row>
    <row r="5" spans="1:23" ht="21.95" customHeight="1" x14ac:dyDescent="0.25">
      <c r="A5" s="12">
        <v>1</v>
      </c>
      <c r="B5" s="13" t="s">
        <v>20</v>
      </c>
      <c r="C5" s="13" t="s">
        <v>65</v>
      </c>
      <c r="D5" s="13" t="s">
        <v>66</v>
      </c>
      <c r="E5" s="13" t="s">
        <v>67</v>
      </c>
      <c r="F5" s="13" t="s">
        <v>68</v>
      </c>
      <c r="G5" s="13" t="s">
        <v>69</v>
      </c>
      <c r="H5" s="14">
        <v>5</v>
      </c>
      <c r="I5" s="14">
        <v>4</v>
      </c>
      <c r="J5" s="14">
        <v>4</v>
      </c>
      <c r="K5" s="14">
        <v>4</v>
      </c>
      <c r="L5" s="15">
        <f t="shared" ref="L5:L40" si="0">IF(C5="","",H5*I5*J5)</f>
        <v>80</v>
      </c>
      <c r="M5" s="15">
        <f t="shared" ref="M5:M40" si="1">IF(C5="","",ROUND(L5*IF(E5="Riesgo",(6-K5)/5,K5/5),0))</f>
        <v>64</v>
      </c>
      <c r="N5" s="16" t="str">
        <f>IF(C5="","",IF(M5&gt;=Panel!$J$6,"Crítico",IF(M5&gt;=Panel!$J$7,"Atención","Controlado")))</f>
        <v>Crítico</v>
      </c>
      <c r="O5" s="13" t="s">
        <v>70</v>
      </c>
      <c r="P5" s="13" t="s">
        <v>71</v>
      </c>
      <c r="Q5" s="17" t="s">
        <v>72</v>
      </c>
      <c r="R5" s="18">
        <f>IF(C5="","",COUNTIFS($B$5:$B$40,B5,$M$5:$M$40,"&gt;"&amp;M5)+COUNTIFS($B$5:B5,B5,$M$5:M5,M5))</f>
        <v>1</v>
      </c>
      <c r="S5" s="19" t="str">
        <f t="shared" ref="S5:S40" si="2">IF(R5="","",B5&amp;"|"&amp;R5)</f>
        <v>Político|1</v>
      </c>
      <c r="T5" s="18">
        <f>IF(C5="","",COUNTIF($M$5:$M$40,"&gt;"&amp;M5)+COUNTIF($M$5:M5,M5))</f>
        <v>3</v>
      </c>
      <c r="U5" s="19" t="str">
        <f t="shared" ref="U5:U40" si="3">IF(T5="","","G|"&amp;T5)</f>
        <v>G|3</v>
      </c>
    </row>
    <row r="6" spans="1:23" ht="21.95" customHeight="1" x14ac:dyDescent="0.25">
      <c r="A6" s="20">
        <v>2</v>
      </c>
      <c r="B6" s="21" t="s">
        <v>20</v>
      </c>
      <c r="C6" s="21" t="s">
        <v>73</v>
      </c>
      <c r="D6" s="21" t="s">
        <v>74</v>
      </c>
      <c r="E6" s="21" t="s">
        <v>67</v>
      </c>
      <c r="F6" s="21" t="s">
        <v>75</v>
      </c>
      <c r="G6" s="21" t="s">
        <v>76</v>
      </c>
      <c r="H6" s="22">
        <v>4</v>
      </c>
      <c r="I6" s="22">
        <v>3</v>
      </c>
      <c r="J6" s="22">
        <v>3</v>
      </c>
      <c r="K6" s="22">
        <v>3</v>
      </c>
      <c r="L6" s="23">
        <f t="shared" si="0"/>
        <v>36</v>
      </c>
      <c r="M6" s="23">
        <f t="shared" si="1"/>
        <v>22</v>
      </c>
      <c r="N6" s="24" t="str">
        <f>IF(C6="","",IF(M6&gt;=Panel!$J$6,"Crítico",IF(M6&gt;=Panel!$J$7,"Atención","Controlado")))</f>
        <v>Controlado</v>
      </c>
      <c r="O6" s="21" t="s">
        <v>77</v>
      </c>
      <c r="P6" s="21" t="s">
        <v>78</v>
      </c>
      <c r="Q6" s="25" t="s">
        <v>79</v>
      </c>
      <c r="R6" s="18">
        <f>IF(C6="","",COUNTIFS($B$5:$B$40,B6,$M$5:$M$40,"&gt;"&amp;M6)+COUNTIFS($B$5:B6,B6,$M$5:M6,M6))</f>
        <v>4</v>
      </c>
      <c r="S6" s="19" t="str">
        <f t="shared" si="2"/>
        <v>Político|4</v>
      </c>
      <c r="T6" s="18">
        <f>IF(C6="","",COUNTIF($M$5:$M$40,"&gt;"&amp;M6)+COUNTIF($M$5:M6,M6))</f>
        <v>22</v>
      </c>
      <c r="U6" s="19" t="str">
        <f t="shared" si="3"/>
        <v>G|22</v>
      </c>
    </row>
    <row r="7" spans="1:23" ht="21.95" customHeight="1" x14ac:dyDescent="0.25">
      <c r="A7" s="12">
        <v>3</v>
      </c>
      <c r="B7" s="13" t="s">
        <v>20</v>
      </c>
      <c r="C7" s="13" t="s">
        <v>80</v>
      </c>
      <c r="D7" s="13" t="s">
        <v>81</v>
      </c>
      <c r="E7" s="13" t="s">
        <v>82</v>
      </c>
      <c r="F7" s="13" t="s">
        <v>83</v>
      </c>
      <c r="G7" s="13" t="s">
        <v>84</v>
      </c>
      <c r="H7" s="14">
        <v>4</v>
      </c>
      <c r="I7" s="14">
        <v>4</v>
      </c>
      <c r="J7" s="14">
        <v>4</v>
      </c>
      <c r="K7" s="14">
        <v>2</v>
      </c>
      <c r="L7" s="15">
        <f t="shared" si="0"/>
        <v>64</v>
      </c>
      <c r="M7" s="15">
        <f t="shared" si="1"/>
        <v>51</v>
      </c>
      <c r="N7" s="16" t="str">
        <f>IF(C7="","",IF(M7&gt;=Panel!$J$6,"Crítico",IF(M7&gt;=Panel!$J$7,"Atención","Controlado")))</f>
        <v>Atención</v>
      </c>
      <c r="O7" s="13" t="s">
        <v>85</v>
      </c>
      <c r="P7" s="13" t="s">
        <v>86</v>
      </c>
      <c r="Q7" s="17" t="s">
        <v>87</v>
      </c>
      <c r="R7" s="18">
        <f>IF(C7="","",COUNTIFS($B$5:$B$40,B7,$M$5:$M$40,"&gt;"&amp;M7)+COUNTIFS($B$5:B7,B7,$M$5:M7,M7))</f>
        <v>2</v>
      </c>
      <c r="S7" s="19" t="str">
        <f t="shared" si="2"/>
        <v>Político|2</v>
      </c>
      <c r="T7" s="18">
        <f>IF(C7="","",COUNTIF($M$5:$M$40,"&gt;"&amp;M7)+COUNTIF($M$5:M7,M7))</f>
        <v>8</v>
      </c>
      <c r="U7" s="19" t="str">
        <f t="shared" si="3"/>
        <v>G|8</v>
      </c>
    </row>
    <row r="8" spans="1:23" ht="21.95" customHeight="1" x14ac:dyDescent="0.25">
      <c r="A8" s="20">
        <v>4</v>
      </c>
      <c r="B8" s="21" t="s">
        <v>20</v>
      </c>
      <c r="C8" s="21" t="s">
        <v>88</v>
      </c>
      <c r="D8" s="21" t="s">
        <v>89</v>
      </c>
      <c r="E8" s="21" t="s">
        <v>82</v>
      </c>
      <c r="F8" s="21" t="s">
        <v>68</v>
      </c>
      <c r="G8" s="21" t="s">
        <v>84</v>
      </c>
      <c r="H8" s="22">
        <v>5</v>
      </c>
      <c r="I8" s="22">
        <v>3</v>
      </c>
      <c r="J8" s="22">
        <v>4</v>
      </c>
      <c r="K8" s="22">
        <v>2</v>
      </c>
      <c r="L8" s="23">
        <f t="shared" si="0"/>
        <v>60</v>
      </c>
      <c r="M8" s="23">
        <f t="shared" si="1"/>
        <v>48</v>
      </c>
      <c r="N8" s="24" t="str">
        <f>IF(C8="","",IF(M8&gt;=Panel!$J$6,"Crítico",IF(M8&gt;=Panel!$J$7,"Atención","Controlado")))</f>
        <v>Atención</v>
      </c>
      <c r="O8" s="21" t="s">
        <v>90</v>
      </c>
      <c r="P8" s="21" t="s">
        <v>91</v>
      </c>
      <c r="Q8" s="25" t="s">
        <v>79</v>
      </c>
      <c r="R8" s="18">
        <f>IF(C8="","",COUNTIFS($B$5:$B$40,B8,$M$5:$M$40,"&gt;"&amp;M8)+COUNTIFS($B$5:B8,B8,$M$5:M8,M8))</f>
        <v>3</v>
      </c>
      <c r="S8" s="19" t="str">
        <f t="shared" si="2"/>
        <v>Político|3</v>
      </c>
      <c r="T8" s="18">
        <f>IF(C8="","",COUNTIF($M$5:$M$40,"&gt;"&amp;M8)+COUNTIF($M$5:M8,M8))</f>
        <v>13</v>
      </c>
      <c r="U8" s="19" t="str">
        <f t="shared" si="3"/>
        <v>G|13</v>
      </c>
    </row>
    <row r="9" spans="1:23" ht="21.95" customHeight="1" x14ac:dyDescent="0.25">
      <c r="A9" s="12">
        <v>5</v>
      </c>
      <c r="B9" s="13" t="s">
        <v>21</v>
      </c>
      <c r="C9" s="13" t="s">
        <v>92</v>
      </c>
      <c r="D9" s="13" t="s">
        <v>93</v>
      </c>
      <c r="E9" s="13" t="s">
        <v>82</v>
      </c>
      <c r="F9" s="13" t="s">
        <v>83</v>
      </c>
      <c r="G9" s="13" t="s">
        <v>84</v>
      </c>
      <c r="H9" s="14">
        <v>4</v>
      </c>
      <c r="I9" s="14">
        <v>5</v>
      </c>
      <c r="J9" s="14">
        <v>4</v>
      </c>
      <c r="K9" s="14">
        <v>2</v>
      </c>
      <c r="L9" s="15">
        <f t="shared" si="0"/>
        <v>80</v>
      </c>
      <c r="M9" s="15">
        <f t="shared" si="1"/>
        <v>64</v>
      </c>
      <c r="N9" s="16" t="str">
        <f>IF(C9="","",IF(M9&gt;=Panel!$J$6,"Crítico",IF(M9&gt;=Panel!$J$7,"Atención","Controlado")))</f>
        <v>Crítico</v>
      </c>
      <c r="O9" s="13" t="s">
        <v>94</v>
      </c>
      <c r="P9" s="13" t="s">
        <v>95</v>
      </c>
      <c r="Q9" s="17" t="s">
        <v>72</v>
      </c>
      <c r="R9" s="18">
        <f>IF(C9="","",COUNTIFS($B$5:$B$40,B9,$M$5:$M$40,"&gt;"&amp;M9)+COUNTIFS($B$5:B9,B9,$M$5:M9,M9))</f>
        <v>1</v>
      </c>
      <c r="S9" s="19" t="str">
        <f t="shared" si="2"/>
        <v>Económico|1</v>
      </c>
      <c r="T9" s="18">
        <f>IF(C9="","",COUNTIF($M$5:$M$40,"&gt;"&amp;M9)+COUNTIF($M$5:M9,M9))</f>
        <v>4</v>
      </c>
      <c r="U9" s="19" t="str">
        <f t="shared" si="3"/>
        <v>G|4</v>
      </c>
    </row>
    <row r="10" spans="1:23" ht="21.95" customHeight="1" x14ac:dyDescent="0.25">
      <c r="A10" s="20">
        <v>6</v>
      </c>
      <c r="B10" s="21" t="s">
        <v>21</v>
      </c>
      <c r="C10" s="21" t="s">
        <v>96</v>
      </c>
      <c r="D10" s="21" t="s">
        <v>97</v>
      </c>
      <c r="E10" s="21" t="s">
        <v>82</v>
      </c>
      <c r="F10" s="21" t="s">
        <v>68</v>
      </c>
      <c r="G10" s="21" t="s">
        <v>76</v>
      </c>
      <c r="H10" s="22">
        <v>4</v>
      </c>
      <c r="I10" s="22">
        <v>4</v>
      </c>
      <c r="J10" s="22">
        <v>3</v>
      </c>
      <c r="K10" s="22">
        <v>2</v>
      </c>
      <c r="L10" s="23">
        <f t="shared" si="0"/>
        <v>48</v>
      </c>
      <c r="M10" s="23">
        <f t="shared" si="1"/>
        <v>38</v>
      </c>
      <c r="N10" s="24" t="str">
        <f>IF(C10="","",IF(M10&gt;=Panel!$J$6,"Crítico",IF(M10&gt;=Panel!$J$7,"Atención","Controlado")))</f>
        <v>Atención</v>
      </c>
      <c r="O10" s="21" t="s">
        <v>85</v>
      </c>
      <c r="P10" s="21" t="s">
        <v>98</v>
      </c>
      <c r="Q10" s="25" t="s">
        <v>87</v>
      </c>
      <c r="R10" s="18">
        <f>IF(C10="","",COUNTIFS($B$5:$B$40,B10,$M$5:$M$40,"&gt;"&amp;M10)+COUNTIFS($B$5:B10,B10,$M$5:M10,M10))</f>
        <v>3</v>
      </c>
      <c r="S10" s="19" t="str">
        <f t="shared" si="2"/>
        <v>Económico|3</v>
      </c>
      <c r="T10" s="18">
        <f>IF(C10="","",COUNTIF($M$5:$M$40,"&gt;"&amp;M10)+COUNTIF($M$5:M10,M10))</f>
        <v>18</v>
      </c>
      <c r="U10" s="19" t="str">
        <f t="shared" si="3"/>
        <v>G|18</v>
      </c>
    </row>
    <row r="11" spans="1:23" ht="21.95" customHeight="1" x14ac:dyDescent="0.25">
      <c r="A11" s="12">
        <v>7</v>
      </c>
      <c r="B11" s="13" t="s">
        <v>21</v>
      </c>
      <c r="C11" s="13" t="s">
        <v>99</v>
      </c>
      <c r="D11" s="13" t="s">
        <v>100</v>
      </c>
      <c r="E11" s="13" t="s">
        <v>82</v>
      </c>
      <c r="F11" s="13" t="s">
        <v>83</v>
      </c>
      <c r="G11" s="13" t="s">
        <v>84</v>
      </c>
      <c r="H11" s="14">
        <v>4</v>
      </c>
      <c r="I11" s="14">
        <v>4</v>
      </c>
      <c r="J11" s="14">
        <v>5</v>
      </c>
      <c r="K11" s="14">
        <v>3</v>
      </c>
      <c r="L11" s="15">
        <f t="shared" si="0"/>
        <v>80</v>
      </c>
      <c r="M11" s="15">
        <f t="shared" si="1"/>
        <v>48</v>
      </c>
      <c r="N11" s="16" t="str">
        <f>IF(C11="","",IF(M11&gt;=Panel!$J$6,"Crítico",IF(M11&gt;=Panel!$J$7,"Atención","Controlado")))</f>
        <v>Atención</v>
      </c>
      <c r="O11" s="13" t="s">
        <v>101</v>
      </c>
      <c r="P11" s="13" t="s">
        <v>102</v>
      </c>
      <c r="Q11" s="17" t="s">
        <v>72</v>
      </c>
      <c r="R11" s="18">
        <f>IF(C11="","",COUNTIFS($B$5:$B$40,B11,$M$5:$M$40,"&gt;"&amp;M11)+COUNTIFS($B$5:B11,B11,$M$5:M11,M11))</f>
        <v>2</v>
      </c>
      <c r="S11" s="19" t="str">
        <f t="shared" si="2"/>
        <v>Económico|2</v>
      </c>
      <c r="T11" s="18">
        <f>IF(C11="","",COUNTIF($M$5:$M$40,"&gt;"&amp;M11)+COUNTIF($M$5:M11,M11))</f>
        <v>14</v>
      </c>
      <c r="U11" s="19" t="str">
        <f t="shared" si="3"/>
        <v>G|14</v>
      </c>
    </row>
    <row r="12" spans="1:23" ht="21.95" customHeight="1" x14ac:dyDescent="0.25">
      <c r="A12" s="20">
        <v>8</v>
      </c>
      <c r="B12" s="21" t="s">
        <v>21</v>
      </c>
      <c r="C12" s="21" t="s">
        <v>103</v>
      </c>
      <c r="D12" s="21" t="s">
        <v>104</v>
      </c>
      <c r="E12" s="21" t="s">
        <v>67</v>
      </c>
      <c r="F12" s="21" t="s">
        <v>68</v>
      </c>
      <c r="G12" s="21" t="s">
        <v>69</v>
      </c>
      <c r="H12" s="22">
        <v>4</v>
      </c>
      <c r="I12" s="22">
        <v>3</v>
      </c>
      <c r="J12" s="22">
        <v>4</v>
      </c>
      <c r="K12" s="22">
        <v>4</v>
      </c>
      <c r="L12" s="23">
        <f t="shared" si="0"/>
        <v>48</v>
      </c>
      <c r="M12" s="23">
        <f t="shared" si="1"/>
        <v>38</v>
      </c>
      <c r="N12" s="24" t="str">
        <f>IF(C12="","",IF(M12&gt;=Panel!$J$6,"Crítico",IF(M12&gt;=Panel!$J$7,"Atención","Controlado")))</f>
        <v>Atención</v>
      </c>
      <c r="O12" s="21" t="s">
        <v>105</v>
      </c>
      <c r="P12" s="21" t="s">
        <v>106</v>
      </c>
      <c r="Q12" s="25" t="s">
        <v>79</v>
      </c>
      <c r="R12" s="18">
        <f>IF(C12="","",COUNTIFS($B$5:$B$40,B12,$M$5:$M$40,"&gt;"&amp;M12)+COUNTIFS($B$5:B12,B12,$M$5:M12,M12))</f>
        <v>4</v>
      </c>
      <c r="S12" s="19" t="str">
        <f t="shared" si="2"/>
        <v>Económico|4</v>
      </c>
      <c r="T12" s="18">
        <f>IF(C12="","",COUNTIF($M$5:$M$40,"&gt;"&amp;M12)+COUNTIF($M$5:M12,M12))</f>
        <v>19</v>
      </c>
      <c r="U12" s="19" t="str">
        <f t="shared" si="3"/>
        <v>G|19</v>
      </c>
    </row>
    <row r="13" spans="1:23" ht="21.95" customHeight="1" x14ac:dyDescent="0.25">
      <c r="A13" s="12">
        <v>9</v>
      </c>
      <c r="B13" s="13" t="s">
        <v>22</v>
      </c>
      <c r="C13" s="13" t="s">
        <v>107</v>
      </c>
      <c r="D13" s="13" t="s">
        <v>108</v>
      </c>
      <c r="E13" s="13" t="s">
        <v>67</v>
      </c>
      <c r="F13" s="13" t="s">
        <v>68</v>
      </c>
      <c r="G13" s="13" t="s">
        <v>69</v>
      </c>
      <c r="H13" s="14">
        <v>5</v>
      </c>
      <c r="I13" s="14">
        <v>4</v>
      </c>
      <c r="J13" s="14">
        <v>4</v>
      </c>
      <c r="K13" s="14">
        <v>5</v>
      </c>
      <c r="L13" s="15">
        <f t="shared" si="0"/>
        <v>80</v>
      </c>
      <c r="M13" s="15">
        <f t="shared" si="1"/>
        <v>80</v>
      </c>
      <c r="N13" s="16" t="str">
        <f>IF(C13="","",IF(M13&gt;=Panel!$J$6,"Crítico",IF(M13&gt;=Panel!$J$7,"Atención","Controlado")))</f>
        <v>Crítico</v>
      </c>
      <c r="O13" s="13" t="s">
        <v>109</v>
      </c>
      <c r="P13" s="13" t="s">
        <v>110</v>
      </c>
      <c r="Q13" s="17" t="s">
        <v>72</v>
      </c>
      <c r="R13" s="18">
        <f>IF(C13="","",COUNTIFS($B$5:$B$40,B13,$M$5:$M$40,"&gt;"&amp;M13)+COUNTIFS($B$5:B13,B13,$M$5:M13,M13))</f>
        <v>1</v>
      </c>
      <c r="S13" s="19" t="str">
        <f t="shared" si="2"/>
        <v>Social|1</v>
      </c>
      <c r="T13" s="18">
        <f>IF(C13="","",COUNTIF($M$5:$M$40,"&gt;"&amp;M13)+COUNTIF($M$5:M13,M13))</f>
        <v>1</v>
      </c>
      <c r="U13" s="19" t="str">
        <f t="shared" si="3"/>
        <v>G|1</v>
      </c>
    </row>
    <row r="14" spans="1:23" ht="21.95" customHeight="1" x14ac:dyDescent="0.25">
      <c r="A14" s="20">
        <v>10</v>
      </c>
      <c r="B14" s="21" t="s">
        <v>22</v>
      </c>
      <c r="C14" s="21" t="s">
        <v>111</v>
      </c>
      <c r="D14" s="21" t="s">
        <v>112</v>
      </c>
      <c r="E14" s="21" t="s">
        <v>67</v>
      </c>
      <c r="F14" s="21" t="s">
        <v>68</v>
      </c>
      <c r="G14" s="21" t="s">
        <v>69</v>
      </c>
      <c r="H14" s="22">
        <v>4</v>
      </c>
      <c r="I14" s="22">
        <v>4</v>
      </c>
      <c r="J14" s="22">
        <v>4</v>
      </c>
      <c r="K14" s="22">
        <v>4</v>
      </c>
      <c r="L14" s="23">
        <f t="shared" si="0"/>
        <v>64</v>
      </c>
      <c r="M14" s="23">
        <f t="shared" si="1"/>
        <v>51</v>
      </c>
      <c r="N14" s="24" t="str">
        <f>IF(C14="","",IF(M14&gt;=Panel!$J$6,"Crítico",IF(M14&gt;=Panel!$J$7,"Atención","Controlado")))</f>
        <v>Atención</v>
      </c>
      <c r="O14" s="21" t="s">
        <v>113</v>
      </c>
      <c r="P14" s="21" t="s">
        <v>114</v>
      </c>
      <c r="Q14" s="25" t="s">
        <v>79</v>
      </c>
      <c r="R14" s="18">
        <f>IF(C14="","",COUNTIFS($B$5:$B$40,B14,$M$5:$M$40,"&gt;"&amp;M14)+COUNTIFS($B$5:B14,B14,$M$5:M14,M14))</f>
        <v>3</v>
      </c>
      <c r="S14" s="19" t="str">
        <f t="shared" si="2"/>
        <v>Social|3</v>
      </c>
      <c r="T14" s="18">
        <f>IF(C14="","",COUNTIF($M$5:$M$40,"&gt;"&amp;M14)+COUNTIF($M$5:M14,M14))</f>
        <v>9</v>
      </c>
      <c r="U14" s="19" t="str">
        <f t="shared" si="3"/>
        <v>G|9</v>
      </c>
    </row>
    <row r="15" spans="1:23" ht="21.95" customHeight="1" x14ac:dyDescent="0.25">
      <c r="A15" s="12">
        <v>11</v>
      </c>
      <c r="B15" s="13" t="s">
        <v>22</v>
      </c>
      <c r="C15" s="13" t="s">
        <v>115</v>
      </c>
      <c r="D15" s="13" t="s">
        <v>116</v>
      </c>
      <c r="E15" s="13" t="s">
        <v>82</v>
      </c>
      <c r="F15" s="13" t="s">
        <v>83</v>
      </c>
      <c r="G15" s="13" t="s">
        <v>76</v>
      </c>
      <c r="H15" s="14">
        <v>4</v>
      </c>
      <c r="I15" s="14">
        <v>4</v>
      </c>
      <c r="J15" s="14">
        <v>5</v>
      </c>
      <c r="K15" s="14">
        <v>2</v>
      </c>
      <c r="L15" s="15">
        <f t="shared" si="0"/>
        <v>80</v>
      </c>
      <c r="M15" s="15">
        <f t="shared" si="1"/>
        <v>64</v>
      </c>
      <c r="N15" s="16" t="str">
        <f>IF(C15="","",IF(M15&gt;=Panel!$J$6,"Crítico",IF(M15&gt;=Panel!$J$7,"Atención","Controlado")))</f>
        <v>Crítico</v>
      </c>
      <c r="O15" s="13" t="s">
        <v>90</v>
      </c>
      <c r="P15" s="13" t="s">
        <v>117</v>
      </c>
      <c r="Q15" s="17" t="s">
        <v>72</v>
      </c>
      <c r="R15" s="18">
        <f>IF(C15="","",COUNTIFS($B$5:$B$40,B15,$M$5:$M$40,"&gt;"&amp;M15)+COUNTIFS($B$5:B15,B15,$M$5:M15,M15))</f>
        <v>2</v>
      </c>
      <c r="S15" s="19" t="str">
        <f t="shared" si="2"/>
        <v>Social|2</v>
      </c>
      <c r="T15" s="18">
        <f>IF(C15="","",COUNTIF($M$5:$M$40,"&gt;"&amp;M15)+COUNTIF($M$5:M15,M15))</f>
        <v>5</v>
      </c>
      <c r="U15" s="19" t="str">
        <f t="shared" si="3"/>
        <v>G|5</v>
      </c>
    </row>
    <row r="16" spans="1:23" ht="21.95" customHeight="1" x14ac:dyDescent="0.25">
      <c r="A16" s="20">
        <v>12</v>
      </c>
      <c r="B16" s="21" t="s">
        <v>22</v>
      </c>
      <c r="C16" s="21" t="s">
        <v>118</v>
      </c>
      <c r="D16" s="21" t="s">
        <v>119</v>
      </c>
      <c r="E16" s="21" t="s">
        <v>82</v>
      </c>
      <c r="F16" s="21" t="s">
        <v>75</v>
      </c>
      <c r="G16" s="21" t="s">
        <v>76</v>
      </c>
      <c r="H16" s="22">
        <v>3</v>
      </c>
      <c r="I16" s="22">
        <v>4</v>
      </c>
      <c r="J16" s="22">
        <v>3</v>
      </c>
      <c r="K16" s="22">
        <v>3</v>
      </c>
      <c r="L16" s="23">
        <f t="shared" si="0"/>
        <v>36</v>
      </c>
      <c r="M16" s="23">
        <f t="shared" si="1"/>
        <v>22</v>
      </c>
      <c r="N16" s="24" t="str">
        <f>IF(C16="","",IF(M16&gt;=Panel!$J$6,"Crítico",IF(M16&gt;=Panel!$J$7,"Atención","Controlado")))</f>
        <v>Controlado</v>
      </c>
      <c r="O16" s="21" t="s">
        <v>120</v>
      </c>
      <c r="P16" s="21" t="s">
        <v>121</v>
      </c>
      <c r="Q16" s="25" t="s">
        <v>87</v>
      </c>
      <c r="R16" s="18">
        <f>IF(C16="","",COUNTIFS($B$5:$B$40,B16,$M$5:$M$40,"&gt;"&amp;M16)+COUNTIFS($B$5:B16,B16,$M$5:M16,M16))</f>
        <v>4</v>
      </c>
      <c r="S16" s="19" t="str">
        <f t="shared" si="2"/>
        <v>Social|4</v>
      </c>
      <c r="T16" s="18">
        <f>IF(C16="","",COUNTIF($M$5:$M$40,"&gt;"&amp;M16)+COUNTIF($M$5:M16,M16))</f>
        <v>23</v>
      </c>
      <c r="U16" s="19" t="str">
        <f t="shared" si="3"/>
        <v>G|23</v>
      </c>
    </row>
    <row r="17" spans="1:21" ht="21.95" customHeight="1" x14ac:dyDescent="0.25">
      <c r="A17" s="12">
        <v>13</v>
      </c>
      <c r="B17" s="13" t="s">
        <v>30</v>
      </c>
      <c r="C17" s="13" t="s">
        <v>122</v>
      </c>
      <c r="D17" s="13" t="s">
        <v>123</v>
      </c>
      <c r="E17" s="13" t="s">
        <v>67</v>
      </c>
      <c r="F17" s="13" t="s">
        <v>68</v>
      </c>
      <c r="G17" s="13" t="s">
        <v>69</v>
      </c>
      <c r="H17" s="14">
        <v>4</v>
      </c>
      <c r="I17" s="14">
        <v>4</v>
      </c>
      <c r="J17" s="14">
        <v>4</v>
      </c>
      <c r="K17" s="14">
        <v>4</v>
      </c>
      <c r="L17" s="15">
        <f t="shared" si="0"/>
        <v>64</v>
      </c>
      <c r="M17" s="15">
        <f t="shared" si="1"/>
        <v>51</v>
      </c>
      <c r="N17" s="16" t="str">
        <f>IF(C17="","",IF(M17&gt;=Panel!$J$6,"Crítico",IF(M17&gt;=Panel!$J$7,"Atención","Controlado")))</f>
        <v>Atención</v>
      </c>
      <c r="O17" s="13" t="s">
        <v>124</v>
      </c>
      <c r="P17" s="13" t="s">
        <v>125</v>
      </c>
      <c r="Q17" s="17" t="s">
        <v>72</v>
      </c>
      <c r="R17" s="18">
        <f>IF(C17="","",COUNTIFS($B$5:$B$40,B17,$M$5:$M$40,"&gt;"&amp;M17)+COUNTIFS($B$5:B17,B17,$M$5:M17,M17))</f>
        <v>2</v>
      </c>
      <c r="S17" s="19" t="str">
        <f t="shared" si="2"/>
        <v>Tecnológico|2</v>
      </c>
      <c r="T17" s="18">
        <f>IF(C17="","",COUNTIF($M$5:$M$40,"&gt;"&amp;M17)+COUNTIF($M$5:M17,M17))</f>
        <v>10</v>
      </c>
      <c r="U17" s="19" t="str">
        <f t="shared" si="3"/>
        <v>G|10</v>
      </c>
    </row>
    <row r="18" spans="1:21" ht="21.95" customHeight="1" x14ac:dyDescent="0.25">
      <c r="A18" s="20">
        <v>14</v>
      </c>
      <c r="B18" s="21" t="s">
        <v>30</v>
      </c>
      <c r="C18" s="21" t="s">
        <v>126</v>
      </c>
      <c r="D18" s="21" t="s">
        <v>127</v>
      </c>
      <c r="E18" s="21" t="s">
        <v>67</v>
      </c>
      <c r="F18" s="21" t="s">
        <v>83</v>
      </c>
      <c r="G18" s="21" t="s">
        <v>69</v>
      </c>
      <c r="H18" s="22">
        <v>4</v>
      </c>
      <c r="I18" s="22">
        <v>5</v>
      </c>
      <c r="J18" s="22">
        <v>4</v>
      </c>
      <c r="K18" s="22">
        <v>4</v>
      </c>
      <c r="L18" s="23">
        <f t="shared" si="0"/>
        <v>80</v>
      </c>
      <c r="M18" s="23">
        <f t="shared" si="1"/>
        <v>64</v>
      </c>
      <c r="N18" s="24" t="str">
        <f>IF(C18="","",IF(M18&gt;=Panel!$J$6,"Crítico",IF(M18&gt;=Panel!$J$7,"Atención","Controlado")))</f>
        <v>Crítico</v>
      </c>
      <c r="O18" s="21" t="s">
        <v>128</v>
      </c>
      <c r="P18" s="21" t="s">
        <v>129</v>
      </c>
      <c r="Q18" s="25" t="s">
        <v>79</v>
      </c>
      <c r="R18" s="18">
        <f>IF(C18="","",COUNTIFS($B$5:$B$40,B18,$M$5:$M$40,"&gt;"&amp;M18)+COUNTIFS($B$5:B18,B18,$M$5:M18,M18))</f>
        <v>1</v>
      </c>
      <c r="S18" s="19" t="str">
        <f t="shared" si="2"/>
        <v>Tecnológico|1</v>
      </c>
      <c r="T18" s="18">
        <f>IF(C18="","",COUNTIF($M$5:$M$40,"&gt;"&amp;M18)+COUNTIF($M$5:M18,M18))</f>
        <v>6</v>
      </c>
      <c r="U18" s="19" t="str">
        <f t="shared" si="3"/>
        <v>G|6</v>
      </c>
    </row>
    <row r="19" spans="1:21" ht="21.95" customHeight="1" x14ac:dyDescent="0.25">
      <c r="A19" s="12">
        <v>15</v>
      </c>
      <c r="B19" s="13" t="s">
        <v>30</v>
      </c>
      <c r="C19" s="13" t="s">
        <v>130</v>
      </c>
      <c r="D19" s="13" t="s">
        <v>131</v>
      </c>
      <c r="E19" s="13" t="s">
        <v>82</v>
      </c>
      <c r="F19" s="13" t="s">
        <v>83</v>
      </c>
      <c r="G19" s="13" t="s">
        <v>84</v>
      </c>
      <c r="H19" s="14">
        <v>5</v>
      </c>
      <c r="I19" s="14">
        <v>3</v>
      </c>
      <c r="J19" s="14">
        <v>5</v>
      </c>
      <c r="K19" s="14">
        <v>3</v>
      </c>
      <c r="L19" s="15">
        <f t="shared" si="0"/>
        <v>75</v>
      </c>
      <c r="M19" s="15">
        <f t="shared" si="1"/>
        <v>45</v>
      </c>
      <c r="N19" s="16" t="str">
        <f>IF(C19="","",IF(M19&gt;=Panel!$J$6,"Crítico",IF(M19&gt;=Panel!$J$7,"Atención","Controlado")))</f>
        <v>Atención</v>
      </c>
      <c r="O19" s="13" t="s">
        <v>113</v>
      </c>
      <c r="P19" s="13" t="s">
        <v>132</v>
      </c>
      <c r="Q19" s="17" t="s">
        <v>72</v>
      </c>
      <c r="R19" s="18">
        <f>IF(C19="","",COUNTIFS($B$5:$B$40,B19,$M$5:$M$40,"&gt;"&amp;M19)+COUNTIFS($B$5:B19,B19,$M$5:M19,M19))</f>
        <v>3</v>
      </c>
      <c r="S19" s="19" t="str">
        <f t="shared" si="2"/>
        <v>Tecnológico|3</v>
      </c>
      <c r="T19" s="18">
        <f>IF(C19="","",COUNTIF($M$5:$M$40,"&gt;"&amp;M19)+COUNTIF($M$5:M19,M19))</f>
        <v>17</v>
      </c>
      <c r="U19" s="19" t="str">
        <f t="shared" si="3"/>
        <v>G|17</v>
      </c>
    </row>
    <row r="20" spans="1:21" ht="21.95" customHeight="1" x14ac:dyDescent="0.25">
      <c r="A20" s="20">
        <v>16</v>
      </c>
      <c r="B20" s="21" t="s">
        <v>30</v>
      </c>
      <c r="C20" s="21" t="s">
        <v>133</v>
      </c>
      <c r="D20" s="21" t="s">
        <v>134</v>
      </c>
      <c r="E20" s="21" t="s">
        <v>67</v>
      </c>
      <c r="F20" s="21" t="s">
        <v>75</v>
      </c>
      <c r="G20" s="21" t="s">
        <v>69</v>
      </c>
      <c r="H20" s="22">
        <v>4</v>
      </c>
      <c r="I20" s="22">
        <v>3</v>
      </c>
      <c r="J20" s="22">
        <v>3</v>
      </c>
      <c r="K20" s="22">
        <v>3</v>
      </c>
      <c r="L20" s="23">
        <f t="shared" si="0"/>
        <v>36</v>
      </c>
      <c r="M20" s="23">
        <f t="shared" si="1"/>
        <v>22</v>
      </c>
      <c r="N20" s="24" t="str">
        <f>IF(C20="","",IF(M20&gt;=Panel!$J$6,"Crítico",IF(M20&gt;=Panel!$J$7,"Atención","Controlado")))</f>
        <v>Controlado</v>
      </c>
      <c r="O20" s="21" t="s">
        <v>135</v>
      </c>
      <c r="P20" s="21" t="s">
        <v>136</v>
      </c>
      <c r="Q20" s="25" t="s">
        <v>87</v>
      </c>
      <c r="R20" s="18">
        <f>IF(C20="","",COUNTIFS($B$5:$B$40,B20,$M$5:$M$40,"&gt;"&amp;M20)+COUNTIFS($B$5:B20,B20,$M$5:M20,M20))</f>
        <v>4</v>
      </c>
      <c r="S20" s="19" t="str">
        <f t="shared" si="2"/>
        <v>Tecnológico|4</v>
      </c>
      <c r="T20" s="18">
        <f>IF(C20="","",COUNTIF($M$5:$M$40,"&gt;"&amp;M20)+COUNTIF($M$5:M20,M20))</f>
        <v>24</v>
      </c>
      <c r="U20" s="19" t="str">
        <f t="shared" si="3"/>
        <v>G|24</v>
      </c>
    </row>
    <row r="21" spans="1:21" ht="21.95" customHeight="1" x14ac:dyDescent="0.25">
      <c r="A21" s="12">
        <v>17</v>
      </c>
      <c r="B21" s="13" t="s">
        <v>31</v>
      </c>
      <c r="C21" s="13" t="s">
        <v>137</v>
      </c>
      <c r="D21" s="13" t="s">
        <v>138</v>
      </c>
      <c r="E21" s="13" t="s">
        <v>82</v>
      </c>
      <c r="F21" s="13" t="s">
        <v>68</v>
      </c>
      <c r="G21" s="13" t="s">
        <v>84</v>
      </c>
      <c r="H21" s="14">
        <v>5</v>
      </c>
      <c r="I21" s="14">
        <v>4</v>
      </c>
      <c r="J21" s="14">
        <v>4</v>
      </c>
      <c r="K21" s="14">
        <v>2</v>
      </c>
      <c r="L21" s="15">
        <f t="shared" si="0"/>
        <v>80</v>
      </c>
      <c r="M21" s="15">
        <f t="shared" si="1"/>
        <v>64</v>
      </c>
      <c r="N21" s="16" t="str">
        <f>IF(C21="","",IF(M21&gt;=Panel!$J$6,"Crítico",IF(M21&gt;=Panel!$J$7,"Atención","Controlado")))</f>
        <v>Crítico</v>
      </c>
      <c r="O21" s="13" t="s">
        <v>139</v>
      </c>
      <c r="P21" s="13" t="s">
        <v>140</v>
      </c>
      <c r="Q21" s="17" t="s">
        <v>72</v>
      </c>
      <c r="R21" s="18">
        <f>IF(C21="","",COUNTIFS($B$5:$B$40,B21,$M$5:$M$40,"&gt;"&amp;M21)+COUNTIFS($B$5:B21,B21,$M$5:M21,M21))</f>
        <v>1</v>
      </c>
      <c r="S21" s="19" t="str">
        <f t="shared" si="2"/>
        <v>Ecológico|1</v>
      </c>
      <c r="T21" s="18">
        <f>IF(C21="","",COUNTIF($M$5:$M$40,"&gt;"&amp;M21)+COUNTIF($M$5:M21,M21))</f>
        <v>7</v>
      </c>
      <c r="U21" s="19" t="str">
        <f t="shared" si="3"/>
        <v>G|7</v>
      </c>
    </row>
    <row r="22" spans="1:21" ht="21.95" customHeight="1" x14ac:dyDescent="0.25">
      <c r="A22" s="20">
        <v>18</v>
      </c>
      <c r="B22" s="21" t="s">
        <v>31</v>
      </c>
      <c r="C22" s="21" t="s">
        <v>141</v>
      </c>
      <c r="D22" s="21" t="s">
        <v>142</v>
      </c>
      <c r="E22" s="21" t="s">
        <v>67</v>
      </c>
      <c r="F22" s="21" t="s">
        <v>83</v>
      </c>
      <c r="G22" s="21" t="s">
        <v>69</v>
      </c>
      <c r="H22" s="22">
        <v>4</v>
      </c>
      <c r="I22" s="22">
        <v>4</v>
      </c>
      <c r="J22" s="22">
        <v>3</v>
      </c>
      <c r="K22" s="22">
        <v>5</v>
      </c>
      <c r="L22" s="23">
        <f t="shared" si="0"/>
        <v>48</v>
      </c>
      <c r="M22" s="23">
        <f t="shared" si="1"/>
        <v>48</v>
      </c>
      <c r="N22" s="24" t="str">
        <f>IF(C22="","",IF(M22&gt;=Panel!$J$6,"Crítico",IF(M22&gt;=Panel!$J$7,"Atención","Controlado")))</f>
        <v>Atención</v>
      </c>
      <c r="O22" s="21" t="s">
        <v>109</v>
      </c>
      <c r="P22" s="21" t="s">
        <v>143</v>
      </c>
      <c r="Q22" s="25" t="s">
        <v>79</v>
      </c>
      <c r="R22" s="18">
        <f>IF(C22="","",COUNTIFS($B$5:$B$40,B22,$M$5:$M$40,"&gt;"&amp;M22)+COUNTIFS($B$5:B22,B22,$M$5:M22,M22))</f>
        <v>3</v>
      </c>
      <c r="S22" s="19" t="str">
        <f t="shared" si="2"/>
        <v>Ecológico|3</v>
      </c>
      <c r="T22" s="18">
        <f>IF(C22="","",COUNTIF($M$5:$M$40,"&gt;"&amp;M22)+COUNTIF($M$5:M22,M22))</f>
        <v>15</v>
      </c>
      <c r="U22" s="19" t="str">
        <f t="shared" si="3"/>
        <v>G|15</v>
      </c>
    </row>
    <row r="23" spans="1:21" ht="21.95" customHeight="1" x14ac:dyDescent="0.25">
      <c r="A23" s="12">
        <v>19</v>
      </c>
      <c r="B23" s="13" t="s">
        <v>31</v>
      </c>
      <c r="C23" s="13" t="s">
        <v>144</v>
      </c>
      <c r="D23" s="13" t="s">
        <v>145</v>
      </c>
      <c r="E23" s="13" t="s">
        <v>82</v>
      </c>
      <c r="F23" s="13" t="s">
        <v>83</v>
      </c>
      <c r="G23" s="13" t="s">
        <v>84</v>
      </c>
      <c r="H23" s="14">
        <v>4</v>
      </c>
      <c r="I23" s="14">
        <v>4</v>
      </c>
      <c r="J23" s="14">
        <v>4</v>
      </c>
      <c r="K23" s="14">
        <v>2</v>
      </c>
      <c r="L23" s="15">
        <f t="shared" si="0"/>
        <v>64</v>
      </c>
      <c r="M23" s="15">
        <f t="shared" si="1"/>
        <v>51</v>
      </c>
      <c r="N23" s="16" t="str">
        <f>IF(C23="","",IF(M23&gt;=Panel!$J$6,"Crítico",IF(M23&gt;=Panel!$J$7,"Atención","Controlado")))</f>
        <v>Atención</v>
      </c>
      <c r="O23" s="13" t="s">
        <v>90</v>
      </c>
      <c r="P23" s="13" t="s">
        <v>146</v>
      </c>
      <c r="Q23" s="17" t="s">
        <v>87</v>
      </c>
      <c r="R23" s="18">
        <f>IF(C23="","",COUNTIFS($B$5:$B$40,B23,$M$5:$M$40,"&gt;"&amp;M23)+COUNTIFS($B$5:B23,B23,$M$5:M23,M23))</f>
        <v>2</v>
      </c>
      <c r="S23" s="19" t="str">
        <f t="shared" si="2"/>
        <v>Ecológico|2</v>
      </c>
      <c r="T23" s="18">
        <f>IF(C23="","",COUNTIF($M$5:$M$40,"&gt;"&amp;M23)+COUNTIF($M$5:M23,M23))</f>
        <v>11</v>
      </c>
      <c r="U23" s="19" t="str">
        <f t="shared" si="3"/>
        <v>G|11</v>
      </c>
    </row>
    <row r="24" spans="1:21" ht="21.95" customHeight="1" x14ac:dyDescent="0.25">
      <c r="A24" s="20">
        <v>20</v>
      </c>
      <c r="B24" s="21" t="s">
        <v>31</v>
      </c>
      <c r="C24" s="21" t="s">
        <v>147</v>
      </c>
      <c r="D24" s="21" t="s">
        <v>148</v>
      </c>
      <c r="E24" s="21" t="s">
        <v>67</v>
      </c>
      <c r="F24" s="21" t="s">
        <v>68</v>
      </c>
      <c r="G24" s="21" t="s">
        <v>69</v>
      </c>
      <c r="H24" s="22">
        <v>3</v>
      </c>
      <c r="I24" s="22">
        <v>4</v>
      </c>
      <c r="J24" s="22">
        <v>3</v>
      </c>
      <c r="K24" s="22">
        <v>4</v>
      </c>
      <c r="L24" s="23">
        <f t="shared" si="0"/>
        <v>36</v>
      </c>
      <c r="M24" s="23">
        <f t="shared" si="1"/>
        <v>29</v>
      </c>
      <c r="N24" s="24" t="str">
        <f>IF(C24="","",IF(M24&gt;=Panel!$J$6,"Crítico",IF(M24&gt;=Panel!$J$7,"Atención","Controlado")))</f>
        <v>Controlado</v>
      </c>
      <c r="O24" s="21" t="s">
        <v>139</v>
      </c>
      <c r="P24" s="21" t="s">
        <v>149</v>
      </c>
      <c r="Q24" s="25" t="s">
        <v>79</v>
      </c>
      <c r="R24" s="18">
        <f>IF(C24="","",COUNTIFS($B$5:$B$40,B24,$M$5:$M$40,"&gt;"&amp;M24)+COUNTIFS($B$5:B24,B24,$M$5:M24,M24))</f>
        <v>4</v>
      </c>
      <c r="S24" s="19" t="str">
        <f t="shared" si="2"/>
        <v>Ecológico|4</v>
      </c>
      <c r="T24" s="18">
        <f>IF(C24="","",COUNTIF($M$5:$M$40,"&gt;"&amp;M24)+COUNTIF($M$5:M24,M24))</f>
        <v>20</v>
      </c>
      <c r="U24" s="19" t="str">
        <f t="shared" si="3"/>
        <v>G|20</v>
      </c>
    </row>
    <row r="25" spans="1:21" ht="21.95" customHeight="1" x14ac:dyDescent="0.25">
      <c r="A25" s="12">
        <v>21</v>
      </c>
      <c r="B25" s="13" t="s">
        <v>32</v>
      </c>
      <c r="C25" s="13" t="s">
        <v>150</v>
      </c>
      <c r="D25" s="13" t="s">
        <v>151</v>
      </c>
      <c r="E25" s="13" t="s">
        <v>82</v>
      </c>
      <c r="F25" s="13" t="s">
        <v>83</v>
      </c>
      <c r="G25" s="13" t="s">
        <v>84</v>
      </c>
      <c r="H25" s="14">
        <v>5</v>
      </c>
      <c r="I25" s="14">
        <v>4</v>
      </c>
      <c r="J25" s="14">
        <v>5</v>
      </c>
      <c r="K25" s="14">
        <v>2</v>
      </c>
      <c r="L25" s="15">
        <f t="shared" si="0"/>
        <v>100</v>
      </c>
      <c r="M25" s="15">
        <f t="shared" si="1"/>
        <v>80</v>
      </c>
      <c r="N25" s="16" t="str">
        <f>IF(C25="","",IF(M25&gt;=Panel!$J$6,"Crítico",IF(M25&gt;=Panel!$J$7,"Atención","Controlado")))</f>
        <v>Crítico</v>
      </c>
      <c r="O25" s="13" t="s">
        <v>32</v>
      </c>
      <c r="P25" s="13" t="s">
        <v>152</v>
      </c>
      <c r="Q25" s="17" t="s">
        <v>72</v>
      </c>
      <c r="R25" s="18">
        <f>IF(C25="","",COUNTIFS($B$5:$B$40,B25,$M$5:$M$40,"&gt;"&amp;M25)+COUNTIFS($B$5:B25,B25,$M$5:M25,M25))</f>
        <v>1</v>
      </c>
      <c r="S25" s="19" t="str">
        <f t="shared" si="2"/>
        <v>Legal|1</v>
      </c>
      <c r="T25" s="18">
        <f>IF(C25="","",COUNTIF($M$5:$M$40,"&gt;"&amp;M25)+COUNTIF($M$5:M25,M25))</f>
        <v>2</v>
      </c>
      <c r="U25" s="19" t="str">
        <f t="shared" si="3"/>
        <v>G|2</v>
      </c>
    </row>
    <row r="26" spans="1:21" ht="21.95" customHeight="1" x14ac:dyDescent="0.25">
      <c r="A26" s="20">
        <v>22</v>
      </c>
      <c r="B26" s="21" t="s">
        <v>32</v>
      </c>
      <c r="C26" s="21" t="s">
        <v>153</v>
      </c>
      <c r="D26" s="21" t="s">
        <v>154</v>
      </c>
      <c r="E26" s="21" t="s">
        <v>82</v>
      </c>
      <c r="F26" s="21" t="s">
        <v>83</v>
      </c>
      <c r="G26" s="21" t="s">
        <v>76</v>
      </c>
      <c r="H26" s="22">
        <v>5</v>
      </c>
      <c r="I26" s="22">
        <v>4</v>
      </c>
      <c r="J26" s="22">
        <v>4</v>
      </c>
      <c r="K26" s="22">
        <v>3</v>
      </c>
      <c r="L26" s="23">
        <f t="shared" si="0"/>
        <v>80</v>
      </c>
      <c r="M26" s="23">
        <f t="shared" si="1"/>
        <v>48</v>
      </c>
      <c r="N26" s="24" t="str">
        <f>IF(C26="","",IF(M26&gt;=Panel!$J$6,"Crítico",IF(M26&gt;=Panel!$J$7,"Atención","Controlado")))</f>
        <v>Atención</v>
      </c>
      <c r="O26" s="21" t="s">
        <v>32</v>
      </c>
      <c r="P26" s="21" t="s">
        <v>155</v>
      </c>
      <c r="Q26" s="25" t="s">
        <v>79</v>
      </c>
      <c r="R26" s="18">
        <f>IF(C26="","",COUNTIFS($B$5:$B$40,B26,$M$5:$M$40,"&gt;"&amp;M26)+COUNTIFS($B$5:B26,B26,$M$5:M26,M26))</f>
        <v>3</v>
      </c>
      <c r="S26" s="19" t="str">
        <f t="shared" si="2"/>
        <v>Legal|3</v>
      </c>
      <c r="T26" s="18">
        <f>IF(C26="","",COUNTIF($M$5:$M$40,"&gt;"&amp;M26)+COUNTIF($M$5:M26,M26))</f>
        <v>16</v>
      </c>
      <c r="U26" s="19" t="str">
        <f t="shared" si="3"/>
        <v>G|16</v>
      </c>
    </row>
    <row r="27" spans="1:21" ht="21.95" customHeight="1" x14ac:dyDescent="0.25">
      <c r="A27" s="12">
        <v>23</v>
      </c>
      <c r="B27" s="13" t="s">
        <v>32</v>
      </c>
      <c r="C27" s="13" t="s">
        <v>156</v>
      </c>
      <c r="D27" s="13" t="s">
        <v>157</v>
      </c>
      <c r="E27" s="13" t="s">
        <v>82</v>
      </c>
      <c r="F27" s="13" t="s">
        <v>68</v>
      </c>
      <c r="G27" s="13" t="s">
        <v>84</v>
      </c>
      <c r="H27" s="14">
        <v>4</v>
      </c>
      <c r="I27" s="14">
        <v>4</v>
      </c>
      <c r="J27" s="14">
        <v>4</v>
      </c>
      <c r="K27" s="14">
        <v>2</v>
      </c>
      <c r="L27" s="15">
        <f t="shared" si="0"/>
        <v>64</v>
      </c>
      <c r="M27" s="15">
        <f t="shared" si="1"/>
        <v>51</v>
      </c>
      <c r="N27" s="16" t="str">
        <f>IF(C27="","",IF(M27&gt;=Panel!$J$6,"Crítico",IF(M27&gt;=Panel!$J$7,"Atención","Controlado")))</f>
        <v>Atención</v>
      </c>
      <c r="O27" s="13" t="s">
        <v>158</v>
      </c>
      <c r="P27" s="13" t="s">
        <v>159</v>
      </c>
      <c r="Q27" s="17" t="s">
        <v>87</v>
      </c>
      <c r="R27" s="18">
        <f>IF(C27="","",COUNTIFS($B$5:$B$40,B27,$M$5:$M$40,"&gt;"&amp;M27)+COUNTIFS($B$5:B27,B27,$M$5:M27,M27))</f>
        <v>2</v>
      </c>
      <c r="S27" s="19" t="str">
        <f t="shared" si="2"/>
        <v>Legal|2</v>
      </c>
      <c r="T27" s="18">
        <f>IF(C27="","",COUNTIF($M$5:$M$40,"&gt;"&amp;M27)+COUNTIF($M$5:M27,M27))</f>
        <v>12</v>
      </c>
      <c r="U27" s="19" t="str">
        <f t="shared" si="3"/>
        <v>G|12</v>
      </c>
    </row>
    <row r="28" spans="1:21" ht="21.95" customHeight="1" x14ac:dyDescent="0.25">
      <c r="A28" s="20">
        <v>24</v>
      </c>
      <c r="B28" s="21" t="s">
        <v>32</v>
      </c>
      <c r="C28" s="21" t="s">
        <v>160</v>
      </c>
      <c r="D28" s="21" t="s">
        <v>161</v>
      </c>
      <c r="E28" s="21" t="s">
        <v>82</v>
      </c>
      <c r="F28" s="21" t="s">
        <v>68</v>
      </c>
      <c r="G28" s="21" t="s">
        <v>76</v>
      </c>
      <c r="H28" s="22">
        <v>4</v>
      </c>
      <c r="I28" s="22">
        <v>3</v>
      </c>
      <c r="J28" s="22">
        <v>4</v>
      </c>
      <c r="K28" s="22">
        <v>3</v>
      </c>
      <c r="L28" s="23">
        <f t="shared" si="0"/>
        <v>48</v>
      </c>
      <c r="M28" s="23">
        <f t="shared" si="1"/>
        <v>29</v>
      </c>
      <c r="N28" s="24" t="str">
        <f>IF(C28="","",IF(M28&gt;=Panel!$J$6,"Crítico",IF(M28&gt;=Panel!$J$7,"Atención","Controlado")))</f>
        <v>Controlado</v>
      </c>
      <c r="O28" s="21" t="s">
        <v>90</v>
      </c>
      <c r="P28" s="21" t="s">
        <v>162</v>
      </c>
      <c r="Q28" s="25" t="s">
        <v>79</v>
      </c>
      <c r="R28" s="18">
        <f>IF(C28="","",COUNTIFS($B$5:$B$40,B28,$M$5:$M$40,"&gt;"&amp;M28)+COUNTIFS($B$5:B28,B28,$M$5:M28,M28))</f>
        <v>4</v>
      </c>
      <c r="S28" s="19" t="str">
        <f t="shared" si="2"/>
        <v>Legal|4</v>
      </c>
      <c r="T28" s="18">
        <f>IF(C28="","",COUNTIF($M$5:$M$40,"&gt;"&amp;M28)+COUNTIF($M$5:M28,M28))</f>
        <v>21</v>
      </c>
      <c r="U28" s="19" t="str">
        <f t="shared" si="3"/>
        <v>G|21</v>
      </c>
    </row>
    <row r="29" spans="1:21" ht="21.95" customHeight="1" x14ac:dyDescent="0.25">
      <c r="A29" s="12"/>
      <c r="B29" s="13"/>
      <c r="C29" s="13"/>
      <c r="D29" s="13"/>
      <c r="E29" s="13"/>
      <c r="F29" s="13"/>
      <c r="G29" s="13"/>
      <c r="H29" s="14"/>
      <c r="I29" s="14"/>
      <c r="J29" s="14"/>
      <c r="K29" s="14"/>
      <c r="L29" s="15" t="str">
        <f t="shared" si="0"/>
        <v/>
      </c>
      <c r="M29" s="15" t="str">
        <f t="shared" si="1"/>
        <v/>
      </c>
      <c r="N29" s="16" t="str">
        <f>IF(C29="","",IF(M29&gt;=Panel!$J$6,"Crítico",IF(M29&gt;=Panel!$J$7,"Atención","Controlado")))</f>
        <v/>
      </c>
      <c r="O29" s="13"/>
      <c r="P29" s="13"/>
      <c r="Q29" s="17"/>
      <c r="R29" s="18" t="str">
        <f>IF(C29="","",COUNTIFS($B$5:$B$40,B29,$M$5:$M$40,"&gt;"&amp;M29)+COUNTIFS($B$5:B29,B29,$M$5:M29,M29))</f>
        <v/>
      </c>
      <c r="S29" s="19" t="str">
        <f t="shared" si="2"/>
        <v/>
      </c>
      <c r="T29" s="18" t="str">
        <f>IF(C29="","",COUNTIF($M$5:$M$40,"&gt;"&amp;M29)+COUNTIF($M$5:M29,M29))</f>
        <v/>
      </c>
      <c r="U29" s="19" t="str">
        <f t="shared" si="3"/>
        <v/>
      </c>
    </row>
    <row r="30" spans="1:21" ht="21.95" customHeight="1" x14ac:dyDescent="0.25">
      <c r="A30" s="20"/>
      <c r="B30" s="21"/>
      <c r="C30" s="21"/>
      <c r="D30" s="21"/>
      <c r="E30" s="21"/>
      <c r="F30" s="21"/>
      <c r="G30" s="21"/>
      <c r="H30" s="22"/>
      <c r="I30" s="22"/>
      <c r="J30" s="22"/>
      <c r="K30" s="22"/>
      <c r="L30" s="23" t="str">
        <f t="shared" si="0"/>
        <v/>
      </c>
      <c r="M30" s="23" t="str">
        <f t="shared" si="1"/>
        <v/>
      </c>
      <c r="N30" s="24" t="str">
        <f>IF(C30="","",IF(M30&gt;=Panel!$J$6,"Crítico",IF(M30&gt;=Panel!$J$7,"Atención","Controlado")))</f>
        <v/>
      </c>
      <c r="O30" s="21"/>
      <c r="P30" s="21"/>
      <c r="Q30" s="25"/>
      <c r="R30" s="18" t="str">
        <f>IF(C30="","",COUNTIFS($B$5:$B$40,B30,$M$5:$M$40,"&gt;"&amp;M30)+COUNTIFS($B$5:B30,B30,$M$5:M30,M30))</f>
        <v/>
      </c>
      <c r="S30" s="19" t="str">
        <f t="shared" si="2"/>
        <v/>
      </c>
      <c r="T30" s="18" t="str">
        <f>IF(C30="","",COUNTIF($M$5:$M$40,"&gt;"&amp;M30)+COUNTIF($M$5:M30,M30))</f>
        <v/>
      </c>
      <c r="U30" s="19" t="str">
        <f t="shared" si="3"/>
        <v/>
      </c>
    </row>
    <row r="31" spans="1:21" ht="21.95" customHeight="1" x14ac:dyDescent="0.25">
      <c r="A31" s="12"/>
      <c r="B31" s="13"/>
      <c r="C31" s="13"/>
      <c r="D31" s="13"/>
      <c r="E31" s="13"/>
      <c r="F31" s="13"/>
      <c r="G31" s="13"/>
      <c r="H31" s="14"/>
      <c r="I31" s="14"/>
      <c r="J31" s="14"/>
      <c r="K31" s="14"/>
      <c r="L31" s="15" t="str">
        <f t="shared" si="0"/>
        <v/>
      </c>
      <c r="M31" s="15" t="str">
        <f t="shared" si="1"/>
        <v/>
      </c>
      <c r="N31" s="16" t="str">
        <f>IF(C31="","",IF(M31&gt;=Panel!$J$6,"Crítico",IF(M31&gt;=Panel!$J$7,"Atención","Controlado")))</f>
        <v/>
      </c>
      <c r="O31" s="13"/>
      <c r="P31" s="13"/>
      <c r="Q31" s="17"/>
      <c r="R31" s="18" t="str">
        <f>IF(C31="","",COUNTIFS($B$5:$B$40,B31,$M$5:$M$40,"&gt;"&amp;M31)+COUNTIFS($B$5:B31,B31,$M$5:M31,M31))</f>
        <v/>
      </c>
      <c r="S31" s="19" t="str">
        <f t="shared" si="2"/>
        <v/>
      </c>
      <c r="T31" s="18" t="str">
        <f>IF(C31="","",COUNTIF($M$5:$M$40,"&gt;"&amp;M31)+COUNTIF($M$5:M31,M31))</f>
        <v/>
      </c>
      <c r="U31" s="19" t="str">
        <f t="shared" si="3"/>
        <v/>
      </c>
    </row>
    <row r="32" spans="1:21" ht="21.95" customHeight="1" x14ac:dyDescent="0.25">
      <c r="A32" s="20"/>
      <c r="B32" s="21"/>
      <c r="C32" s="21"/>
      <c r="D32" s="21"/>
      <c r="E32" s="21"/>
      <c r="F32" s="21"/>
      <c r="G32" s="21"/>
      <c r="H32" s="22"/>
      <c r="I32" s="22"/>
      <c r="J32" s="22"/>
      <c r="K32" s="22"/>
      <c r="L32" s="23" t="str">
        <f t="shared" si="0"/>
        <v/>
      </c>
      <c r="M32" s="23" t="str">
        <f t="shared" si="1"/>
        <v/>
      </c>
      <c r="N32" s="24" t="str">
        <f>IF(C32="","",IF(M32&gt;=Panel!$J$6,"Crítico",IF(M32&gt;=Panel!$J$7,"Atención","Controlado")))</f>
        <v/>
      </c>
      <c r="O32" s="21"/>
      <c r="P32" s="21"/>
      <c r="Q32" s="25"/>
      <c r="R32" s="18" t="str">
        <f>IF(C32="","",COUNTIFS($B$5:$B$40,B32,$M$5:$M$40,"&gt;"&amp;M32)+COUNTIFS($B$5:B32,B32,$M$5:M32,M32))</f>
        <v/>
      </c>
      <c r="S32" s="19" t="str">
        <f t="shared" si="2"/>
        <v/>
      </c>
      <c r="T32" s="18" t="str">
        <f>IF(C32="","",COUNTIF($M$5:$M$40,"&gt;"&amp;M32)+COUNTIF($M$5:M32,M32))</f>
        <v/>
      </c>
      <c r="U32" s="19" t="str">
        <f t="shared" si="3"/>
        <v/>
      </c>
    </row>
    <row r="33" spans="1:21" ht="21.95" customHeight="1" x14ac:dyDescent="0.25">
      <c r="A33" s="12"/>
      <c r="B33" s="13"/>
      <c r="C33" s="13"/>
      <c r="D33" s="13"/>
      <c r="E33" s="13"/>
      <c r="F33" s="13"/>
      <c r="G33" s="13"/>
      <c r="H33" s="14"/>
      <c r="I33" s="14"/>
      <c r="J33" s="14"/>
      <c r="K33" s="14"/>
      <c r="L33" s="15" t="str">
        <f t="shared" si="0"/>
        <v/>
      </c>
      <c r="M33" s="15" t="str">
        <f t="shared" si="1"/>
        <v/>
      </c>
      <c r="N33" s="16" t="str">
        <f>IF(C33="","",IF(M33&gt;=Panel!$J$6,"Crítico",IF(M33&gt;=Panel!$J$7,"Atención","Controlado")))</f>
        <v/>
      </c>
      <c r="O33" s="13"/>
      <c r="P33" s="13"/>
      <c r="Q33" s="17"/>
      <c r="R33" s="18" t="str">
        <f>IF(C33="","",COUNTIFS($B$5:$B$40,B33,$M$5:$M$40,"&gt;"&amp;M33)+COUNTIFS($B$5:B33,B33,$M$5:M33,M33))</f>
        <v/>
      </c>
      <c r="S33" s="19" t="str">
        <f t="shared" si="2"/>
        <v/>
      </c>
      <c r="T33" s="18" t="str">
        <f>IF(C33="","",COUNTIF($M$5:$M$40,"&gt;"&amp;M33)+COUNTIF($M$5:M33,M33))</f>
        <v/>
      </c>
      <c r="U33" s="19" t="str">
        <f t="shared" si="3"/>
        <v/>
      </c>
    </row>
    <row r="34" spans="1:21" ht="21.95" customHeight="1" x14ac:dyDescent="0.25">
      <c r="A34" s="20"/>
      <c r="B34" s="21"/>
      <c r="C34" s="21"/>
      <c r="D34" s="21"/>
      <c r="E34" s="21"/>
      <c r="F34" s="21"/>
      <c r="G34" s="21"/>
      <c r="H34" s="22"/>
      <c r="I34" s="22"/>
      <c r="J34" s="22"/>
      <c r="K34" s="22"/>
      <c r="L34" s="23" t="str">
        <f t="shared" si="0"/>
        <v/>
      </c>
      <c r="M34" s="23" t="str">
        <f t="shared" si="1"/>
        <v/>
      </c>
      <c r="N34" s="24" t="str">
        <f>IF(C34="","",IF(M34&gt;=Panel!$J$6,"Crítico",IF(M34&gt;=Panel!$J$7,"Atención","Controlado")))</f>
        <v/>
      </c>
      <c r="O34" s="21"/>
      <c r="P34" s="21"/>
      <c r="Q34" s="25"/>
      <c r="R34" s="18" t="str">
        <f>IF(C34="","",COUNTIFS($B$5:$B$40,B34,$M$5:$M$40,"&gt;"&amp;M34)+COUNTIFS($B$5:B34,B34,$M$5:M34,M34))</f>
        <v/>
      </c>
      <c r="S34" s="19" t="str">
        <f t="shared" si="2"/>
        <v/>
      </c>
      <c r="T34" s="18" t="str">
        <f>IF(C34="","",COUNTIF($M$5:$M$40,"&gt;"&amp;M34)+COUNTIF($M$5:M34,M34))</f>
        <v/>
      </c>
      <c r="U34" s="19" t="str">
        <f t="shared" si="3"/>
        <v/>
      </c>
    </row>
    <row r="35" spans="1:21" ht="21.95" customHeight="1" x14ac:dyDescent="0.25">
      <c r="A35" s="12"/>
      <c r="B35" s="13"/>
      <c r="C35" s="13"/>
      <c r="D35" s="13"/>
      <c r="E35" s="13"/>
      <c r="F35" s="13"/>
      <c r="G35" s="13"/>
      <c r="H35" s="14"/>
      <c r="I35" s="14"/>
      <c r="J35" s="14"/>
      <c r="K35" s="14"/>
      <c r="L35" s="15" t="str">
        <f t="shared" si="0"/>
        <v/>
      </c>
      <c r="M35" s="15" t="str">
        <f t="shared" si="1"/>
        <v/>
      </c>
      <c r="N35" s="16" t="str">
        <f>IF(C35="","",IF(M35&gt;=Panel!$J$6,"Crítico",IF(M35&gt;=Panel!$J$7,"Atención","Controlado")))</f>
        <v/>
      </c>
      <c r="O35" s="13"/>
      <c r="P35" s="13"/>
      <c r="Q35" s="17"/>
      <c r="R35" s="18" t="str">
        <f>IF(C35="","",COUNTIFS($B$5:$B$40,B35,$M$5:$M$40,"&gt;"&amp;M35)+COUNTIFS($B$5:B35,B35,$M$5:M35,M35))</f>
        <v/>
      </c>
      <c r="S35" s="19" t="str">
        <f t="shared" si="2"/>
        <v/>
      </c>
      <c r="T35" s="18" t="str">
        <f>IF(C35="","",COUNTIF($M$5:$M$40,"&gt;"&amp;M35)+COUNTIF($M$5:M35,M35))</f>
        <v/>
      </c>
      <c r="U35" s="19" t="str">
        <f t="shared" si="3"/>
        <v/>
      </c>
    </row>
    <row r="36" spans="1:21" ht="21.95" customHeight="1" x14ac:dyDescent="0.25">
      <c r="A36" s="20"/>
      <c r="B36" s="21"/>
      <c r="C36" s="21"/>
      <c r="D36" s="21"/>
      <c r="E36" s="21"/>
      <c r="F36" s="21"/>
      <c r="G36" s="21"/>
      <c r="H36" s="22"/>
      <c r="I36" s="22"/>
      <c r="J36" s="22"/>
      <c r="K36" s="22"/>
      <c r="L36" s="23" t="str">
        <f t="shared" si="0"/>
        <v/>
      </c>
      <c r="M36" s="23" t="str">
        <f t="shared" si="1"/>
        <v/>
      </c>
      <c r="N36" s="24" t="str">
        <f>IF(C36="","",IF(M36&gt;=Panel!$J$6,"Crítico",IF(M36&gt;=Panel!$J$7,"Atención","Controlado")))</f>
        <v/>
      </c>
      <c r="O36" s="21"/>
      <c r="P36" s="21"/>
      <c r="Q36" s="25"/>
      <c r="R36" s="18" t="str">
        <f>IF(C36="","",COUNTIFS($B$5:$B$40,B36,$M$5:$M$40,"&gt;"&amp;M36)+COUNTIFS($B$5:B36,B36,$M$5:M36,M36))</f>
        <v/>
      </c>
      <c r="S36" s="19" t="str">
        <f t="shared" si="2"/>
        <v/>
      </c>
      <c r="T36" s="18" t="str">
        <f>IF(C36="","",COUNTIF($M$5:$M$40,"&gt;"&amp;M36)+COUNTIF($M$5:M36,M36))</f>
        <v/>
      </c>
      <c r="U36" s="19" t="str">
        <f t="shared" si="3"/>
        <v/>
      </c>
    </row>
    <row r="37" spans="1:21" ht="21.95" customHeight="1" x14ac:dyDescent="0.25">
      <c r="A37" s="12"/>
      <c r="B37" s="13"/>
      <c r="C37" s="13"/>
      <c r="D37" s="13"/>
      <c r="E37" s="13"/>
      <c r="F37" s="13"/>
      <c r="G37" s="13"/>
      <c r="H37" s="14"/>
      <c r="I37" s="14"/>
      <c r="J37" s="14"/>
      <c r="K37" s="14"/>
      <c r="L37" s="15" t="str">
        <f t="shared" si="0"/>
        <v/>
      </c>
      <c r="M37" s="15" t="str">
        <f t="shared" si="1"/>
        <v/>
      </c>
      <c r="N37" s="16" t="str">
        <f>IF(C37="","",IF(M37&gt;=Panel!$J$6,"Crítico",IF(M37&gt;=Panel!$J$7,"Atención","Controlado")))</f>
        <v/>
      </c>
      <c r="O37" s="13"/>
      <c r="P37" s="13"/>
      <c r="Q37" s="17"/>
      <c r="R37" s="18" t="str">
        <f>IF(C37="","",COUNTIFS($B$5:$B$40,B37,$M$5:$M$40,"&gt;"&amp;M37)+COUNTIFS($B$5:B37,B37,$M$5:M37,M37))</f>
        <v/>
      </c>
      <c r="S37" s="19" t="str">
        <f t="shared" si="2"/>
        <v/>
      </c>
      <c r="T37" s="18" t="str">
        <f>IF(C37="","",COUNTIF($M$5:$M$40,"&gt;"&amp;M37)+COUNTIF($M$5:M37,M37))</f>
        <v/>
      </c>
      <c r="U37" s="19" t="str">
        <f t="shared" si="3"/>
        <v/>
      </c>
    </row>
    <row r="38" spans="1:21" ht="21.95" customHeight="1" x14ac:dyDescent="0.25">
      <c r="A38" s="20"/>
      <c r="B38" s="21"/>
      <c r="C38" s="21"/>
      <c r="D38" s="21"/>
      <c r="E38" s="21"/>
      <c r="F38" s="21"/>
      <c r="G38" s="21"/>
      <c r="H38" s="22"/>
      <c r="I38" s="22"/>
      <c r="J38" s="22"/>
      <c r="K38" s="22"/>
      <c r="L38" s="23" t="str">
        <f t="shared" si="0"/>
        <v/>
      </c>
      <c r="M38" s="23" t="str">
        <f t="shared" si="1"/>
        <v/>
      </c>
      <c r="N38" s="24" t="str">
        <f>IF(C38="","",IF(M38&gt;=Panel!$J$6,"Crítico",IF(M38&gt;=Panel!$J$7,"Atención","Controlado")))</f>
        <v/>
      </c>
      <c r="O38" s="21"/>
      <c r="P38" s="21"/>
      <c r="Q38" s="25"/>
      <c r="R38" s="18" t="str">
        <f>IF(C38="","",COUNTIFS($B$5:$B$40,B38,$M$5:$M$40,"&gt;"&amp;M38)+COUNTIFS($B$5:B38,B38,$M$5:M38,M38))</f>
        <v/>
      </c>
      <c r="S38" s="19" t="str">
        <f t="shared" si="2"/>
        <v/>
      </c>
      <c r="T38" s="18" t="str">
        <f>IF(C38="","",COUNTIF($M$5:$M$40,"&gt;"&amp;M38)+COUNTIF($M$5:M38,M38))</f>
        <v/>
      </c>
      <c r="U38" s="19" t="str">
        <f t="shared" si="3"/>
        <v/>
      </c>
    </row>
    <row r="39" spans="1:21" ht="21.95" customHeight="1" x14ac:dyDescent="0.25">
      <c r="A39" s="12"/>
      <c r="B39" s="13"/>
      <c r="C39" s="13"/>
      <c r="D39" s="13"/>
      <c r="E39" s="13"/>
      <c r="F39" s="13"/>
      <c r="G39" s="13"/>
      <c r="H39" s="14"/>
      <c r="I39" s="14"/>
      <c r="J39" s="14"/>
      <c r="K39" s="14"/>
      <c r="L39" s="15" t="str">
        <f t="shared" si="0"/>
        <v/>
      </c>
      <c r="M39" s="15" t="str">
        <f t="shared" si="1"/>
        <v/>
      </c>
      <c r="N39" s="16" t="str">
        <f>IF(C39="","",IF(M39&gt;=Panel!$J$6,"Crítico",IF(M39&gt;=Panel!$J$7,"Atención","Controlado")))</f>
        <v/>
      </c>
      <c r="O39" s="13"/>
      <c r="P39" s="13"/>
      <c r="Q39" s="17"/>
      <c r="R39" s="18" t="str">
        <f>IF(C39="","",COUNTIFS($B$5:$B$40,B39,$M$5:$M$40,"&gt;"&amp;M39)+COUNTIFS($B$5:B39,B39,$M$5:M39,M39))</f>
        <v/>
      </c>
      <c r="S39" s="19" t="str">
        <f t="shared" si="2"/>
        <v/>
      </c>
      <c r="T39" s="18" t="str">
        <f>IF(C39="","",COUNTIF($M$5:$M$40,"&gt;"&amp;M39)+COUNTIF($M$5:M39,M39))</f>
        <v/>
      </c>
      <c r="U39" s="19" t="str">
        <f t="shared" si="3"/>
        <v/>
      </c>
    </row>
    <row r="40" spans="1:21" ht="21.95" customHeight="1" x14ac:dyDescent="0.25">
      <c r="A40" s="20"/>
      <c r="B40" s="21"/>
      <c r="C40" s="21"/>
      <c r="D40" s="21"/>
      <c r="E40" s="21"/>
      <c r="F40" s="21"/>
      <c r="G40" s="21"/>
      <c r="H40" s="22"/>
      <c r="I40" s="22"/>
      <c r="J40" s="22"/>
      <c r="K40" s="22"/>
      <c r="L40" s="23" t="str">
        <f t="shared" si="0"/>
        <v/>
      </c>
      <c r="M40" s="23" t="str">
        <f t="shared" si="1"/>
        <v/>
      </c>
      <c r="N40" s="24" t="str">
        <f>IF(C40="","",IF(M40&gt;=Panel!$J$6,"Crítico",IF(M40&gt;=Panel!$J$7,"Atención","Controlado")))</f>
        <v/>
      </c>
      <c r="O40" s="21"/>
      <c r="P40" s="21"/>
      <c r="Q40" s="25"/>
      <c r="R40" s="18" t="str">
        <f>IF(C40="","",COUNTIFS($B$5:$B$40,B40,$M$5:$M$40,"&gt;"&amp;M40)+COUNTIFS($B$5:B40,B40,$M$5:M40,M40))</f>
        <v/>
      </c>
      <c r="S40" s="19" t="str">
        <f t="shared" si="2"/>
        <v/>
      </c>
      <c r="T40" s="18" t="str">
        <f>IF(C40="","",COUNTIF($M$5:$M$40,"&gt;"&amp;M40)+COUNTIF($M$5:M40,M40))</f>
        <v/>
      </c>
      <c r="U40" s="19" t="str">
        <f t="shared" si="3"/>
        <v/>
      </c>
    </row>
    <row r="41" spans="1:21" ht="21.95" customHeight="1" x14ac:dyDescent="0.25"/>
  </sheetData>
  <mergeCells count="3">
    <mergeCell ref="A3:Q3"/>
    <mergeCell ref="A2:Q2"/>
    <mergeCell ref="A1:Q1"/>
  </mergeCells>
  <conditionalFormatting sqref="M5:M40">
    <cfRule type="colorScale" priority="1">
      <colorScale>
        <cfvo type="min"/>
        <cfvo type="percentile" val="50"/>
        <cfvo type="max"/>
        <color rgb="FFE2F0D9"/>
        <color rgb="FFFFF2CC"/>
        <color rgb="FFFDE9E7"/>
      </colorScale>
    </cfRule>
  </conditionalFormatting>
  <conditionalFormatting sqref="N5:N40">
    <cfRule type="cellIs" dxfId="5" priority="2" operator="equal">
      <formula>"Crítico"</formula>
    </cfRule>
    <cfRule type="cellIs" dxfId="4" priority="3" operator="equal">
      <formula>"Atención"</formula>
    </cfRule>
    <cfRule type="cellIs" dxfId="3" priority="4" operator="equal">
      <formula>"Controlado"</formula>
    </cfRule>
  </conditionalFormatting>
  <conditionalFormatting sqref="Q5:Q40">
    <cfRule type="cellIs" dxfId="2" priority="5" operator="equal">
      <formula>"En curso"</formula>
    </cfRule>
    <cfRule type="cellIs" dxfId="1" priority="6" operator="equal">
      <formula>"Planificado"</formula>
    </cfRule>
    <cfRule type="cellIs" dxfId="0" priority="7" operator="equal">
      <formula>"Vigilar"</formula>
    </cfRule>
  </conditionalFormatting>
  <dataValidations count="6">
    <dataValidation type="list" allowBlank="1" sqref="B5:B40" xr:uid="{00000000-0002-0000-0100-000000000000}">
      <formula1>"Político,Económico,Social,Tecnológico,Ecológico,Legal"</formula1>
    </dataValidation>
    <dataValidation type="list" allowBlank="1" sqref="E5:E40" xr:uid="{00000000-0002-0000-0100-000001000000}">
      <formula1>"Riesgo,Oportunidad"</formula1>
    </dataValidation>
    <dataValidation type="list" allowBlank="1" sqref="F5:F40" xr:uid="{00000000-0002-0000-0100-000002000000}">
      <formula1>"0-6 m,6-18 m,&gt;18 m"</formula1>
    </dataValidation>
    <dataValidation type="list" allowBlank="1" sqref="G5:G40" xr:uid="{00000000-0002-0000-0100-000003000000}">
      <formula1>"Mejora,Estable,Empeora"</formula1>
    </dataValidation>
    <dataValidation type="list" allowBlank="1" sqref="Q5:Q40" xr:uid="{00000000-0002-0000-0100-000004000000}">
      <formula1>"Vigilar,Planificado,En curso,Implementado"</formula1>
    </dataValidation>
    <dataValidation type="whole" allowBlank="1" sqref="H5:K40" xr:uid="{00000000-0002-0000-0100-000005000000}">
      <formula1>1</formula1>
      <formula2>5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Panel</vt:lpstr>
      <vt:lpstr>Base PESTEL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2026-03-17T12:11:46Z</dcterms:modified>
</cp:coreProperties>
</file>