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finanzas personales\"/>
    </mc:Choice>
  </mc:AlternateContent>
  <xr:revisionPtr revIDLastSave="0" documentId="8_{8F173FBE-E1FC-4D2B-B8CA-988D883305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icio" sheetId="1" r:id="rId1"/>
    <sheet name="Movimientos" sheetId="2" r:id="rId2"/>
    <sheet name="Presupuesto" sheetId="3" r:id="rId3"/>
    <sheet name="Patrimonio" sheetId="4" r:id="rId4"/>
    <sheet name="Listas" sheetId="5" r:id="rId5"/>
  </sheets>
  <definedNames>
    <definedName name="lst_anios">Listas!$Q$5:$Q$11</definedName>
    <definedName name="lst_cat_all">Listas!$N$6:$N$22</definedName>
    <definedName name="lst_cat_gasto">Listas!$J$6:$J$17</definedName>
    <definedName name="lst_cat_ing">Listas!$L$6:$L$10</definedName>
    <definedName name="lst_cuentas">Listas!$A$6:$A$9</definedName>
    <definedName name="lst_dir">Listas!$E$6:$E$7</definedName>
    <definedName name="lst_meses">Listas!$P$5:$P$16</definedName>
    <definedName name="lst_metodos">Listas!$G$6:$G$11</definedName>
    <definedName name="lst_tipos">Listas!$D$6:$D$8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4" l="1"/>
  <c r="C8" i="4"/>
  <c r="C19" i="4" s="1"/>
  <c r="C6" i="4"/>
  <c r="B31" i="3"/>
  <c r="B22" i="3"/>
  <c r="D3" i="3"/>
  <c r="C18" i="3" s="1"/>
  <c r="B3" i="3"/>
  <c r="C27" i="3" s="1"/>
  <c r="P200" i="2"/>
  <c r="O200" i="2"/>
  <c r="N200" i="2"/>
  <c r="M200" i="2"/>
  <c r="L200" i="2"/>
  <c r="K200" i="2"/>
  <c r="P199" i="2"/>
  <c r="O199" i="2"/>
  <c r="N199" i="2"/>
  <c r="M199" i="2"/>
  <c r="L199" i="2"/>
  <c r="K199" i="2"/>
  <c r="P198" i="2"/>
  <c r="O198" i="2"/>
  <c r="N198" i="2"/>
  <c r="M198" i="2"/>
  <c r="L198" i="2"/>
  <c r="K198" i="2"/>
  <c r="P197" i="2"/>
  <c r="O197" i="2"/>
  <c r="N197" i="2"/>
  <c r="M197" i="2"/>
  <c r="L197" i="2"/>
  <c r="K197" i="2"/>
  <c r="P196" i="2"/>
  <c r="O196" i="2"/>
  <c r="N196" i="2"/>
  <c r="M196" i="2"/>
  <c r="L196" i="2"/>
  <c r="K196" i="2"/>
  <c r="P195" i="2"/>
  <c r="O195" i="2"/>
  <c r="N195" i="2"/>
  <c r="M195" i="2"/>
  <c r="L195" i="2"/>
  <c r="K195" i="2"/>
  <c r="P194" i="2"/>
  <c r="O194" i="2"/>
  <c r="N194" i="2"/>
  <c r="M194" i="2"/>
  <c r="L194" i="2"/>
  <c r="K194" i="2"/>
  <c r="P193" i="2"/>
  <c r="O193" i="2"/>
  <c r="N193" i="2"/>
  <c r="M193" i="2"/>
  <c r="L193" i="2"/>
  <c r="K193" i="2"/>
  <c r="P192" i="2"/>
  <c r="O192" i="2"/>
  <c r="N192" i="2"/>
  <c r="M192" i="2"/>
  <c r="L192" i="2"/>
  <c r="K192" i="2"/>
  <c r="P191" i="2"/>
  <c r="O191" i="2"/>
  <c r="N191" i="2"/>
  <c r="M191" i="2"/>
  <c r="L191" i="2"/>
  <c r="K191" i="2"/>
  <c r="P190" i="2"/>
  <c r="O190" i="2"/>
  <c r="N190" i="2"/>
  <c r="M190" i="2"/>
  <c r="L190" i="2"/>
  <c r="K190" i="2"/>
  <c r="P189" i="2"/>
  <c r="O189" i="2"/>
  <c r="N189" i="2"/>
  <c r="M189" i="2"/>
  <c r="L189" i="2"/>
  <c r="K189" i="2"/>
  <c r="P188" i="2"/>
  <c r="O188" i="2"/>
  <c r="N188" i="2"/>
  <c r="M188" i="2"/>
  <c r="L188" i="2"/>
  <c r="K188" i="2"/>
  <c r="P187" i="2"/>
  <c r="O187" i="2"/>
  <c r="N187" i="2"/>
  <c r="M187" i="2"/>
  <c r="L187" i="2"/>
  <c r="K187" i="2"/>
  <c r="P186" i="2"/>
  <c r="O186" i="2"/>
  <c r="N186" i="2"/>
  <c r="M186" i="2"/>
  <c r="L186" i="2"/>
  <c r="K186" i="2"/>
  <c r="P185" i="2"/>
  <c r="O185" i="2"/>
  <c r="N185" i="2"/>
  <c r="M185" i="2"/>
  <c r="L185" i="2"/>
  <c r="K185" i="2"/>
  <c r="P184" i="2"/>
  <c r="O184" i="2"/>
  <c r="N184" i="2"/>
  <c r="M184" i="2"/>
  <c r="L184" i="2"/>
  <c r="K184" i="2"/>
  <c r="P183" i="2"/>
  <c r="O183" i="2"/>
  <c r="N183" i="2"/>
  <c r="M183" i="2"/>
  <c r="L183" i="2"/>
  <c r="K183" i="2"/>
  <c r="P182" i="2"/>
  <c r="O182" i="2"/>
  <c r="N182" i="2"/>
  <c r="M182" i="2"/>
  <c r="L182" i="2"/>
  <c r="K182" i="2"/>
  <c r="P181" i="2"/>
  <c r="O181" i="2"/>
  <c r="N181" i="2"/>
  <c r="M181" i="2"/>
  <c r="L181" i="2"/>
  <c r="K181" i="2"/>
  <c r="P180" i="2"/>
  <c r="O180" i="2"/>
  <c r="N180" i="2"/>
  <c r="M180" i="2"/>
  <c r="L180" i="2"/>
  <c r="K180" i="2"/>
  <c r="P179" i="2"/>
  <c r="O179" i="2"/>
  <c r="N179" i="2"/>
  <c r="M179" i="2"/>
  <c r="L179" i="2"/>
  <c r="K179" i="2"/>
  <c r="P178" i="2"/>
  <c r="O178" i="2"/>
  <c r="N178" i="2"/>
  <c r="M178" i="2"/>
  <c r="L178" i="2"/>
  <c r="K178" i="2"/>
  <c r="P177" i="2"/>
  <c r="O177" i="2"/>
  <c r="N177" i="2"/>
  <c r="M177" i="2"/>
  <c r="L177" i="2"/>
  <c r="K177" i="2"/>
  <c r="P176" i="2"/>
  <c r="O176" i="2"/>
  <c r="N176" i="2"/>
  <c r="M176" i="2"/>
  <c r="L176" i="2"/>
  <c r="K176" i="2"/>
  <c r="P175" i="2"/>
  <c r="O175" i="2"/>
  <c r="N175" i="2"/>
  <c r="M175" i="2"/>
  <c r="L175" i="2"/>
  <c r="K175" i="2"/>
  <c r="P174" i="2"/>
  <c r="O174" i="2"/>
  <c r="N174" i="2"/>
  <c r="M174" i="2"/>
  <c r="L174" i="2"/>
  <c r="K174" i="2"/>
  <c r="P173" i="2"/>
  <c r="O173" i="2"/>
  <c r="N173" i="2"/>
  <c r="M173" i="2"/>
  <c r="L173" i="2"/>
  <c r="K173" i="2"/>
  <c r="P172" i="2"/>
  <c r="O172" i="2"/>
  <c r="N172" i="2"/>
  <c r="M172" i="2"/>
  <c r="L172" i="2"/>
  <c r="K172" i="2"/>
  <c r="P171" i="2"/>
  <c r="O171" i="2"/>
  <c r="N171" i="2"/>
  <c r="M171" i="2"/>
  <c r="L171" i="2"/>
  <c r="K171" i="2"/>
  <c r="P170" i="2"/>
  <c r="O170" i="2"/>
  <c r="N170" i="2"/>
  <c r="M170" i="2"/>
  <c r="L170" i="2"/>
  <c r="K170" i="2"/>
  <c r="P169" i="2"/>
  <c r="O169" i="2"/>
  <c r="N169" i="2"/>
  <c r="M169" i="2"/>
  <c r="L169" i="2"/>
  <c r="K169" i="2"/>
  <c r="P168" i="2"/>
  <c r="O168" i="2"/>
  <c r="N168" i="2"/>
  <c r="M168" i="2"/>
  <c r="L168" i="2"/>
  <c r="K168" i="2"/>
  <c r="P167" i="2"/>
  <c r="O167" i="2"/>
  <c r="N167" i="2"/>
  <c r="M167" i="2"/>
  <c r="L167" i="2"/>
  <c r="K167" i="2"/>
  <c r="P166" i="2"/>
  <c r="O166" i="2"/>
  <c r="N166" i="2"/>
  <c r="M166" i="2"/>
  <c r="L166" i="2"/>
  <c r="K166" i="2"/>
  <c r="P165" i="2"/>
  <c r="O165" i="2"/>
  <c r="N165" i="2"/>
  <c r="M165" i="2"/>
  <c r="L165" i="2"/>
  <c r="K165" i="2"/>
  <c r="P164" i="2"/>
  <c r="O164" i="2"/>
  <c r="N164" i="2"/>
  <c r="M164" i="2"/>
  <c r="L164" i="2"/>
  <c r="K164" i="2"/>
  <c r="P163" i="2"/>
  <c r="O163" i="2"/>
  <c r="N163" i="2"/>
  <c r="M163" i="2"/>
  <c r="L163" i="2"/>
  <c r="K163" i="2"/>
  <c r="P162" i="2"/>
  <c r="O162" i="2"/>
  <c r="N162" i="2"/>
  <c r="M162" i="2"/>
  <c r="L162" i="2"/>
  <c r="K162" i="2"/>
  <c r="P161" i="2"/>
  <c r="O161" i="2"/>
  <c r="N161" i="2"/>
  <c r="M161" i="2"/>
  <c r="L161" i="2"/>
  <c r="K161" i="2"/>
  <c r="P160" i="2"/>
  <c r="O160" i="2"/>
  <c r="N160" i="2"/>
  <c r="M160" i="2"/>
  <c r="L160" i="2"/>
  <c r="K160" i="2"/>
  <c r="P159" i="2"/>
  <c r="O159" i="2"/>
  <c r="N159" i="2"/>
  <c r="M159" i="2"/>
  <c r="L159" i="2"/>
  <c r="K159" i="2"/>
  <c r="P158" i="2"/>
  <c r="O158" i="2"/>
  <c r="N158" i="2"/>
  <c r="M158" i="2"/>
  <c r="L158" i="2"/>
  <c r="K158" i="2"/>
  <c r="P157" i="2"/>
  <c r="O157" i="2"/>
  <c r="N157" i="2"/>
  <c r="M157" i="2"/>
  <c r="L157" i="2"/>
  <c r="K157" i="2"/>
  <c r="P156" i="2"/>
  <c r="O156" i="2"/>
  <c r="N156" i="2"/>
  <c r="M156" i="2"/>
  <c r="L156" i="2"/>
  <c r="K156" i="2"/>
  <c r="P155" i="2"/>
  <c r="O155" i="2"/>
  <c r="N155" i="2"/>
  <c r="M155" i="2"/>
  <c r="L155" i="2"/>
  <c r="K155" i="2"/>
  <c r="P154" i="2"/>
  <c r="O154" i="2"/>
  <c r="N154" i="2"/>
  <c r="M154" i="2"/>
  <c r="L154" i="2"/>
  <c r="K154" i="2"/>
  <c r="P153" i="2"/>
  <c r="O153" i="2"/>
  <c r="N153" i="2"/>
  <c r="M153" i="2"/>
  <c r="L153" i="2"/>
  <c r="K153" i="2"/>
  <c r="P152" i="2"/>
  <c r="O152" i="2"/>
  <c r="N152" i="2"/>
  <c r="M152" i="2"/>
  <c r="L152" i="2"/>
  <c r="K152" i="2"/>
  <c r="P151" i="2"/>
  <c r="O151" i="2"/>
  <c r="N151" i="2"/>
  <c r="M151" i="2"/>
  <c r="L151" i="2"/>
  <c r="K151" i="2"/>
  <c r="P150" i="2"/>
  <c r="O150" i="2"/>
  <c r="N150" i="2"/>
  <c r="M150" i="2"/>
  <c r="L150" i="2"/>
  <c r="K150" i="2"/>
  <c r="P149" i="2"/>
  <c r="O149" i="2"/>
  <c r="N149" i="2"/>
  <c r="M149" i="2"/>
  <c r="L149" i="2"/>
  <c r="K149" i="2"/>
  <c r="P148" i="2"/>
  <c r="O148" i="2"/>
  <c r="N148" i="2"/>
  <c r="M148" i="2"/>
  <c r="L148" i="2"/>
  <c r="K148" i="2"/>
  <c r="P147" i="2"/>
  <c r="O147" i="2"/>
  <c r="N147" i="2"/>
  <c r="M147" i="2"/>
  <c r="L147" i="2"/>
  <c r="K147" i="2"/>
  <c r="P146" i="2"/>
  <c r="O146" i="2"/>
  <c r="N146" i="2"/>
  <c r="M146" i="2"/>
  <c r="L146" i="2"/>
  <c r="K146" i="2"/>
  <c r="P145" i="2"/>
  <c r="O145" i="2"/>
  <c r="N145" i="2"/>
  <c r="M145" i="2"/>
  <c r="L145" i="2"/>
  <c r="K145" i="2"/>
  <c r="P144" i="2"/>
  <c r="O144" i="2"/>
  <c r="N144" i="2"/>
  <c r="M144" i="2"/>
  <c r="L144" i="2"/>
  <c r="K144" i="2"/>
  <c r="P143" i="2"/>
  <c r="O143" i="2"/>
  <c r="N143" i="2"/>
  <c r="M143" i="2"/>
  <c r="L143" i="2"/>
  <c r="K143" i="2"/>
  <c r="P142" i="2"/>
  <c r="O142" i="2"/>
  <c r="N142" i="2"/>
  <c r="M142" i="2"/>
  <c r="L142" i="2"/>
  <c r="K142" i="2"/>
  <c r="P141" i="2"/>
  <c r="O141" i="2"/>
  <c r="N141" i="2"/>
  <c r="M141" i="2"/>
  <c r="L141" i="2"/>
  <c r="K141" i="2"/>
  <c r="P140" i="2"/>
  <c r="O140" i="2"/>
  <c r="N140" i="2"/>
  <c r="M140" i="2"/>
  <c r="L140" i="2"/>
  <c r="K140" i="2"/>
  <c r="P139" i="2"/>
  <c r="O139" i="2"/>
  <c r="N139" i="2"/>
  <c r="M139" i="2"/>
  <c r="L139" i="2"/>
  <c r="K139" i="2"/>
  <c r="P138" i="2"/>
  <c r="O138" i="2"/>
  <c r="N138" i="2"/>
  <c r="M138" i="2"/>
  <c r="L138" i="2"/>
  <c r="K138" i="2"/>
  <c r="P137" i="2"/>
  <c r="O137" i="2"/>
  <c r="N137" i="2"/>
  <c r="M137" i="2"/>
  <c r="L137" i="2"/>
  <c r="K137" i="2"/>
  <c r="P136" i="2"/>
  <c r="O136" i="2"/>
  <c r="N136" i="2"/>
  <c r="M136" i="2"/>
  <c r="L136" i="2"/>
  <c r="K136" i="2"/>
  <c r="P135" i="2"/>
  <c r="O135" i="2"/>
  <c r="N135" i="2"/>
  <c r="M135" i="2"/>
  <c r="L135" i="2"/>
  <c r="K135" i="2"/>
  <c r="P134" i="2"/>
  <c r="O134" i="2"/>
  <c r="N134" i="2"/>
  <c r="M134" i="2"/>
  <c r="L134" i="2"/>
  <c r="K134" i="2"/>
  <c r="P133" i="2"/>
  <c r="O133" i="2"/>
  <c r="N133" i="2"/>
  <c r="M133" i="2"/>
  <c r="L133" i="2"/>
  <c r="K133" i="2"/>
  <c r="P132" i="2"/>
  <c r="O132" i="2"/>
  <c r="N132" i="2"/>
  <c r="M132" i="2"/>
  <c r="L132" i="2"/>
  <c r="K132" i="2"/>
  <c r="P131" i="2"/>
  <c r="O131" i="2"/>
  <c r="N131" i="2"/>
  <c r="M131" i="2"/>
  <c r="L131" i="2"/>
  <c r="K131" i="2"/>
  <c r="P130" i="2"/>
  <c r="O130" i="2"/>
  <c r="N130" i="2"/>
  <c r="M130" i="2"/>
  <c r="L130" i="2"/>
  <c r="K130" i="2"/>
  <c r="P129" i="2"/>
  <c r="O129" i="2"/>
  <c r="N129" i="2"/>
  <c r="M129" i="2"/>
  <c r="L129" i="2"/>
  <c r="K129" i="2"/>
  <c r="P128" i="2"/>
  <c r="O128" i="2"/>
  <c r="N128" i="2"/>
  <c r="M128" i="2"/>
  <c r="L128" i="2"/>
  <c r="K128" i="2"/>
  <c r="P127" i="2"/>
  <c r="O127" i="2"/>
  <c r="N127" i="2"/>
  <c r="M127" i="2"/>
  <c r="L127" i="2"/>
  <c r="K127" i="2"/>
  <c r="P126" i="2"/>
  <c r="O126" i="2"/>
  <c r="N126" i="2"/>
  <c r="M126" i="2"/>
  <c r="L126" i="2"/>
  <c r="K126" i="2"/>
  <c r="P125" i="2"/>
  <c r="O125" i="2"/>
  <c r="N125" i="2"/>
  <c r="M125" i="2"/>
  <c r="L125" i="2"/>
  <c r="K125" i="2"/>
  <c r="P124" i="2"/>
  <c r="O124" i="2"/>
  <c r="N124" i="2"/>
  <c r="M124" i="2"/>
  <c r="L124" i="2"/>
  <c r="K124" i="2"/>
  <c r="P123" i="2"/>
  <c r="O123" i="2"/>
  <c r="N123" i="2"/>
  <c r="M123" i="2"/>
  <c r="L123" i="2"/>
  <c r="K123" i="2"/>
  <c r="P122" i="2"/>
  <c r="O122" i="2"/>
  <c r="N122" i="2"/>
  <c r="M122" i="2"/>
  <c r="L122" i="2"/>
  <c r="K122" i="2"/>
  <c r="P121" i="2"/>
  <c r="O121" i="2"/>
  <c r="N121" i="2"/>
  <c r="M121" i="2"/>
  <c r="L121" i="2"/>
  <c r="K121" i="2"/>
  <c r="P120" i="2"/>
  <c r="O120" i="2"/>
  <c r="N120" i="2"/>
  <c r="M120" i="2"/>
  <c r="L120" i="2"/>
  <c r="K120" i="2"/>
  <c r="P119" i="2"/>
  <c r="O119" i="2"/>
  <c r="N119" i="2"/>
  <c r="M119" i="2"/>
  <c r="L119" i="2"/>
  <c r="K119" i="2"/>
  <c r="P118" i="2"/>
  <c r="O118" i="2"/>
  <c r="N118" i="2"/>
  <c r="M118" i="2"/>
  <c r="L118" i="2"/>
  <c r="K118" i="2"/>
  <c r="P117" i="2"/>
  <c r="O117" i="2"/>
  <c r="N117" i="2"/>
  <c r="M117" i="2"/>
  <c r="L117" i="2"/>
  <c r="K117" i="2"/>
  <c r="P116" i="2"/>
  <c r="O116" i="2"/>
  <c r="N116" i="2"/>
  <c r="M116" i="2"/>
  <c r="L116" i="2"/>
  <c r="K116" i="2"/>
  <c r="P115" i="2"/>
  <c r="O115" i="2"/>
  <c r="N115" i="2"/>
  <c r="M115" i="2"/>
  <c r="L115" i="2"/>
  <c r="K115" i="2"/>
  <c r="P114" i="2"/>
  <c r="O114" i="2"/>
  <c r="N114" i="2"/>
  <c r="M114" i="2"/>
  <c r="L114" i="2"/>
  <c r="K114" i="2"/>
  <c r="P113" i="2"/>
  <c r="O113" i="2"/>
  <c r="N113" i="2"/>
  <c r="M113" i="2"/>
  <c r="L113" i="2"/>
  <c r="K113" i="2"/>
  <c r="P112" i="2"/>
  <c r="O112" i="2"/>
  <c r="N112" i="2"/>
  <c r="M112" i="2"/>
  <c r="L112" i="2"/>
  <c r="K112" i="2"/>
  <c r="P111" i="2"/>
  <c r="O111" i="2"/>
  <c r="N111" i="2"/>
  <c r="M111" i="2"/>
  <c r="L111" i="2"/>
  <c r="K111" i="2"/>
  <c r="P110" i="2"/>
  <c r="O110" i="2"/>
  <c r="N110" i="2"/>
  <c r="M110" i="2"/>
  <c r="L110" i="2"/>
  <c r="K110" i="2"/>
  <c r="P109" i="2"/>
  <c r="O109" i="2"/>
  <c r="N109" i="2"/>
  <c r="M109" i="2"/>
  <c r="L109" i="2"/>
  <c r="K109" i="2"/>
  <c r="P108" i="2"/>
  <c r="O108" i="2"/>
  <c r="N108" i="2"/>
  <c r="M108" i="2"/>
  <c r="L108" i="2"/>
  <c r="K108" i="2"/>
  <c r="P107" i="2"/>
  <c r="O107" i="2"/>
  <c r="N107" i="2"/>
  <c r="M107" i="2"/>
  <c r="L107" i="2"/>
  <c r="K107" i="2"/>
  <c r="P106" i="2"/>
  <c r="O106" i="2"/>
  <c r="N106" i="2"/>
  <c r="M106" i="2"/>
  <c r="L106" i="2"/>
  <c r="K106" i="2"/>
  <c r="P105" i="2"/>
  <c r="O105" i="2"/>
  <c r="N105" i="2"/>
  <c r="M105" i="2"/>
  <c r="L105" i="2"/>
  <c r="K105" i="2"/>
  <c r="P104" i="2"/>
  <c r="O104" i="2"/>
  <c r="N104" i="2"/>
  <c r="M104" i="2"/>
  <c r="L104" i="2"/>
  <c r="K104" i="2"/>
  <c r="P103" i="2"/>
  <c r="O103" i="2"/>
  <c r="N103" i="2"/>
  <c r="M103" i="2"/>
  <c r="L103" i="2"/>
  <c r="K103" i="2"/>
  <c r="P102" i="2"/>
  <c r="O102" i="2"/>
  <c r="N102" i="2"/>
  <c r="M102" i="2"/>
  <c r="L102" i="2"/>
  <c r="K102" i="2"/>
  <c r="P101" i="2"/>
  <c r="O101" i="2"/>
  <c r="N101" i="2"/>
  <c r="M101" i="2"/>
  <c r="L101" i="2"/>
  <c r="K101" i="2"/>
  <c r="P100" i="2"/>
  <c r="O100" i="2"/>
  <c r="N100" i="2"/>
  <c r="M100" i="2"/>
  <c r="L100" i="2"/>
  <c r="K100" i="2"/>
  <c r="P99" i="2"/>
  <c r="O99" i="2"/>
  <c r="N99" i="2"/>
  <c r="M99" i="2"/>
  <c r="L99" i="2"/>
  <c r="K99" i="2"/>
  <c r="P98" i="2"/>
  <c r="O98" i="2"/>
  <c r="N98" i="2"/>
  <c r="M98" i="2"/>
  <c r="L98" i="2"/>
  <c r="K98" i="2"/>
  <c r="P97" i="2"/>
  <c r="O97" i="2"/>
  <c r="N97" i="2"/>
  <c r="M97" i="2"/>
  <c r="L97" i="2"/>
  <c r="K97" i="2"/>
  <c r="P96" i="2"/>
  <c r="O96" i="2"/>
  <c r="N96" i="2"/>
  <c r="M96" i="2"/>
  <c r="L96" i="2"/>
  <c r="K96" i="2"/>
  <c r="P95" i="2"/>
  <c r="O95" i="2"/>
  <c r="N95" i="2"/>
  <c r="M95" i="2"/>
  <c r="L95" i="2"/>
  <c r="K95" i="2"/>
  <c r="P94" i="2"/>
  <c r="O94" i="2"/>
  <c r="N94" i="2"/>
  <c r="M94" i="2"/>
  <c r="L94" i="2"/>
  <c r="K94" i="2"/>
  <c r="P93" i="2"/>
  <c r="O93" i="2"/>
  <c r="N93" i="2"/>
  <c r="M93" i="2"/>
  <c r="L93" i="2"/>
  <c r="K93" i="2"/>
  <c r="P92" i="2"/>
  <c r="O92" i="2"/>
  <c r="N92" i="2"/>
  <c r="M92" i="2"/>
  <c r="L92" i="2"/>
  <c r="K92" i="2"/>
  <c r="P91" i="2"/>
  <c r="O91" i="2"/>
  <c r="N91" i="2"/>
  <c r="M91" i="2"/>
  <c r="L91" i="2"/>
  <c r="K91" i="2"/>
  <c r="P90" i="2"/>
  <c r="O90" i="2"/>
  <c r="N90" i="2"/>
  <c r="M90" i="2"/>
  <c r="L90" i="2"/>
  <c r="K90" i="2"/>
  <c r="P89" i="2"/>
  <c r="O89" i="2"/>
  <c r="N89" i="2"/>
  <c r="M89" i="2"/>
  <c r="L89" i="2"/>
  <c r="K89" i="2"/>
  <c r="P88" i="2"/>
  <c r="O88" i="2"/>
  <c r="N88" i="2"/>
  <c r="M88" i="2"/>
  <c r="L88" i="2"/>
  <c r="K88" i="2"/>
  <c r="P87" i="2"/>
  <c r="O87" i="2"/>
  <c r="N87" i="2"/>
  <c r="M87" i="2"/>
  <c r="L87" i="2"/>
  <c r="K87" i="2"/>
  <c r="P86" i="2"/>
  <c r="O86" i="2"/>
  <c r="N86" i="2"/>
  <c r="M86" i="2"/>
  <c r="L86" i="2"/>
  <c r="K86" i="2"/>
  <c r="P85" i="2"/>
  <c r="O85" i="2"/>
  <c r="N85" i="2"/>
  <c r="M85" i="2"/>
  <c r="L85" i="2"/>
  <c r="K85" i="2"/>
  <c r="P84" i="2"/>
  <c r="O84" i="2"/>
  <c r="N84" i="2"/>
  <c r="M84" i="2"/>
  <c r="L84" i="2"/>
  <c r="K84" i="2"/>
  <c r="P83" i="2"/>
  <c r="O83" i="2"/>
  <c r="N83" i="2"/>
  <c r="M83" i="2"/>
  <c r="L83" i="2"/>
  <c r="K83" i="2"/>
  <c r="P82" i="2"/>
  <c r="O82" i="2"/>
  <c r="N82" i="2"/>
  <c r="M82" i="2"/>
  <c r="L82" i="2"/>
  <c r="K82" i="2"/>
  <c r="P81" i="2"/>
  <c r="O81" i="2"/>
  <c r="N81" i="2"/>
  <c r="M81" i="2"/>
  <c r="L81" i="2"/>
  <c r="K81" i="2"/>
  <c r="P80" i="2"/>
  <c r="O80" i="2"/>
  <c r="N80" i="2"/>
  <c r="M80" i="2"/>
  <c r="L80" i="2"/>
  <c r="K80" i="2"/>
  <c r="P79" i="2"/>
  <c r="O79" i="2"/>
  <c r="N79" i="2"/>
  <c r="M79" i="2"/>
  <c r="L79" i="2"/>
  <c r="K79" i="2"/>
  <c r="P78" i="2"/>
  <c r="O78" i="2"/>
  <c r="N78" i="2"/>
  <c r="M78" i="2"/>
  <c r="L78" i="2"/>
  <c r="K78" i="2"/>
  <c r="P77" i="2"/>
  <c r="O77" i="2"/>
  <c r="N77" i="2"/>
  <c r="M77" i="2"/>
  <c r="L77" i="2"/>
  <c r="K77" i="2"/>
  <c r="P76" i="2"/>
  <c r="O76" i="2"/>
  <c r="N76" i="2"/>
  <c r="M76" i="2"/>
  <c r="L76" i="2"/>
  <c r="K76" i="2"/>
  <c r="P75" i="2"/>
  <c r="O75" i="2"/>
  <c r="N75" i="2"/>
  <c r="M75" i="2"/>
  <c r="L75" i="2"/>
  <c r="K75" i="2"/>
  <c r="P74" i="2"/>
  <c r="O74" i="2"/>
  <c r="N74" i="2"/>
  <c r="M74" i="2"/>
  <c r="L74" i="2"/>
  <c r="K74" i="2"/>
  <c r="P73" i="2"/>
  <c r="O73" i="2"/>
  <c r="N73" i="2"/>
  <c r="M73" i="2"/>
  <c r="L73" i="2"/>
  <c r="K73" i="2"/>
  <c r="P72" i="2"/>
  <c r="O72" i="2"/>
  <c r="N72" i="2"/>
  <c r="M72" i="2"/>
  <c r="L72" i="2"/>
  <c r="K72" i="2"/>
  <c r="P71" i="2"/>
  <c r="O71" i="2"/>
  <c r="N71" i="2"/>
  <c r="M71" i="2"/>
  <c r="L71" i="2"/>
  <c r="K71" i="2"/>
  <c r="P70" i="2"/>
  <c r="O70" i="2"/>
  <c r="N70" i="2"/>
  <c r="M70" i="2"/>
  <c r="L70" i="2"/>
  <c r="K70" i="2"/>
  <c r="P69" i="2"/>
  <c r="O69" i="2"/>
  <c r="N69" i="2"/>
  <c r="M69" i="2"/>
  <c r="L69" i="2"/>
  <c r="K69" i="2"/>
  <c r="P68" i="2"/>
  <c r="O68" i="2"/>
  <c r="N68" i="2"/>
  <c r="M68" i="2"/>
  <c r="L68" i="2"/>
  <c r="K68" i="2"/>
  <c r="P67" i="2"/>
  <c r="O67" i="2"/>
  <c r="N67" i="2"/>
  <c r="M67" i="2"/>
  <c r="L67" i="2"/>
  <c r="K67" i="2"/>
  <c r="P66" i="2"/>
  <c r="O66" i="2"/>
  <c r="N66" i="2"/>
  <c r="M66" i="2"/>
  <c r="L66" i="2"/>
  <c r="K66" i="2"/>
  <c r="P65" i="2"/>
  <c r="O65" i="2"/>
  <c r="N65" i="2"/>
  <c r="M65" i="2"/>
  <c r="L65" i="2"/>
  <c r="K65" i="2"/>
  <c r="P64" i="2"/>
  <c r="O64" i="2"/>
  <c r="N64" i="2"/>
  <c r="M64" i="2"/>
  <c r="L64" i="2"/>
  <c r="K64" i="2"/>
  <c r="P63" i="2"/>
  <c r="O63" i="2"/>
  <c r="N63" i="2"/>
  <c r="M63" i="2"/>
  <c r="L63" i="2"/>
  <c r="K63" i="2"/>
  <c r="P62" i="2"/>
  <c r="O62" i="2"/>
  <c r="N62" i="2"/>
  <c r="M62" i="2"/>
  <c r="L62" i="2"/>
  <c r="K62" i="2"/>
  <c r="P61" i="2"/>
  <c r="O61" i="2"/>
  <c r="N61" i="2"/>
  <c r="M61" i="2"/>
  <c r="L61" i="2"/>
  <c r="K61" i="2"/>
  <c r="P60" i="2"/>
  <c r="O60" i="2"/>
  <c r="N60" i="2"/>
  <c r="M60" i="2"/>
  <c r="L60" i="2"/>
  <c r="K60" i="2"/>
  <c r="P59" i="2"/>
  <c r="O59" i="2"/>
  <c r="N59" i="2"/>
  <c r="M59" i="2"/>
  <c r="L59" i="2"/>
  <c r="K59" i="2"/>
  <c r="P58" i="2"/>
  <c r="O58" i="2"/>
  <c r="N58" i="2"/>
  <c r="M58" i="2"/>
  <c r="L58" i="2"/>
  <c r="K58" i="2"/>
  <c r="P57" i="2"/>
  <c r="O57" i="2"/>
  <c r="N57" i="2"/>
  <c r="M57" i="2"/>
  <c r="L57" i="2"/>
  <c r="K57" i="2"/>
  <c r="P56" i="2"/>
  <c r="O56" i="2"/>
  <c r="N56" i="2"/>
  <c r="M56" i="2"/>
  <c r="L56" i="2"/>
  <c r="K56" i="2"/>
  <c r="P55" i="2"/>
  <c r="N55" i="2"/>
  <c r="O55" i="2" s="1"/>
  <c r="M55" i="2"/>
  <c r="L55" i="2"/>
  <c r="K55" i="2"/>
  <c r="P54" i="2"/>
  <c r="O54" i="2"/>
  <c r="N54" i="2"/>
  <c r="M54" i="2"/>
  <c r="L54" i="2"/>
  <c r="K54" i="2"/>
  <c r="P53" i="2"/>
  <c r="O53" i="2"/>
  <c r="N53" i="2"/>
  <c r="M53" i="2"/>
  <c r="L53" i="2"/>
  <c r="K53" i="2"/>
  <c r="P52" i="2"/>
  <c r="O52" i="2"/>
  <c r="N52" i="2"/>
  <c r="M52" i="2"/>
  <c r="L52" i="2"/>
  <c r="K52" i="2"/>
  <c r="P51" i="2"/>
  <c r="O51" i="2"/>
  <c r="N51" i="2"/>
  <c r="M51" i="2"/>
  <c r="I21" i="1" s="1"/>
  <c r="L51" i="2"/>
  <c r="K51" i="2"/>
  <c r="P50" i="2"/>
  <c r="O50" i="2"/>
  <c r="N50" i="2"/>
  <c r="M50" i="2"/>
  <c r="L50" i="2"/>
  <c r="K50" i="2"/>
  <c r="P49" i="2"/>
  <c r="O49" i="2"/>
  <c r="N49" i="2"/>
  <c r="M49" i="2"/>
  <c r="L49" i="2"/>
  <c r="K49" i="2"/>
  <c r="P48" i="2"/>
  <c r="N48" i="2"/>
  <c r="O48" i="2" s="1"/>
  <c r="M48" i="2"/>
  <c r="L48" i="2"/>
  <c r="K48" i="2"/>
  <c r="P47" i="2"/>
  <c r="O47" i="2"/>
  <c r="N47" i="2"/>
  <c r="M47" i="2"/>
  <c r="L47" i="2"/>
  <c r="K47" i="2"/>
  <c r="P46" i="2"/>
  <c r="N46" i="2"/>
  <c r="M46" i="2"/>
  <c r="L46" i="2"/>
  <c r="K46" i="2"/>
  <c r="P45" i="2"/>
  <c r="N45" i="2"/>
  <c r="O45" i="2" s="1"/>
  <c r="M45" i="2"/>
  <c r="L45" i="2"/>
  <c r="C10" i="3" s="1"/>
  <c r="K45" i="2"/>
  <c r="P44" i="2"/>
  <c r="N44" i="2"/>
  <c r="M44" i="2"/>
  <c r="L44" i="2"/>
  <c r="K44" i="2"/>
  <c r="P43" i="2"/>
  <c r="N43" i="2"/>
  <c r="M43" i="2"/>
  <c r="L43" i="2"/>
  <c r="K43" i="2"/>
  <c r="P42" i="2"/>
  <c r="N42" i="2"/>
  <c r="M42" i="2"/>
  <c r="L42" i="2"/>
  <c r="K42" i="2"/>
  <c r="P41" i="2"/>
  <c r="O41" i="2"/>
  <c r="N41" i="2"/>
  <c r="M41" i="2"/>
  <c r="L41" i="2"/>
  <c r="K41" i="2"/>
  <c r="P40" i="2"/>
  <c r="O40" i="2"/>
  <c r="N40" i="2"/>
  <c r="M40" i="2"/>
  <c r="L40" i="2"/>
  <c r="K40" i="2"/>
  <c r="P39" i="2"/>
  <c r="N39" i="2"/>
  <c r="M39" i="2"/>
  <c r="L39" i="2"/>
  <c r="K39" i="2"/>
  <c r="P38" i="2"/>
  <c r="N38" i="2"/>
  <c r="O38" i="2" s="1"/>
  <c r="M38" i="2"/>
  <c r="L38" i="2"/>
  <c r="K38" i="2"/>
  <c r="P37" i="2"/>
  <c r="O37" i="2"/>
  <c r="N37" i="2"/>
  <c r="M37" i="2"/>
  <c r="L37" i="2"/>
  <c r="K37" i="2"/>
  <c r="P36" i="2"/>
  <c r="N36" i="2"/>
  <c r="M36" i="2"/>
  <c r="L36" i="2"/>
  <c r="K36" i="2"/>
  <c r="P35" i="2"/>
  <c r="N35" i="2"/>
  <c r="O35" i="2" s="1"/>
  <c r="M35" i="2"/>
  <c r="L35" i="2"/>
  <c r="K35" i="2"/>
  <c r="P34" i="2"/>
  <c r="N34" i="2"/>
  <c r="M34" i="2"/>
  <c r="L34" i="2"/>
  <c r="K34" i="2"/>
  <c r="P33" i="2"/>
  <c r="N33" i="2"/>
  <c r="M33" i="2"/>
  <c r="L33" i="2"/>
  <c r="K33" i="2"/>
  <c r="P32" i="2"/>
  <c r="N32" i="2"/>
  <c r="M32" i="2"/>
  <c r="L32" i="2"/>
  <c r="K32" i="2"/>
  <c r="P31" i="2"/>
  <c r="O31" i="2"/>
  <c r="N31" i="2"/>
  <c r="M31" i="2"/>
  <c r="L31" i="2"/>
  <c r="K31" i="2"/>
  <c r="P30" i="2"/>
  <c r="N30" i="2"/>
  <c r="M30" i="2"/>
  <c r="L30" i="2"/>
  <c r="K30" i="2"/>
  <c r="P29" i="2"/>
  <c r="N29" i="2"/>
  <c r="M29" i="2"/>
  <c r="L29" i="2"/>
  <c r="K29" i="2"/>
  <c r="P28" i="2"/>
  <c r="N28" i="2"/>
  <c r="O28" i="2" s="1"/>
  <c r="M28" i="2"/>
  <c r="L28" i="2"/>
  <c r="K28" i="2"/>
  <c r="P27" i="2"/>
  <c r="N27" i="2"/>
  <c r="M27" i="2"/>
  <c r="L27" i="2"/>
  <c r="K27" i="2"/>
  <c r="P26" i="2"/>
  <c r="N26" i="2"/>
  <c r="M26" i="2"/>
  <c r="L26" i="2"/>
  <c r="K26" i="2"/>
  <c r="P25" i="2"/>
  <c r="N25" i="2"/>
  <c r="O25" i="2" s="1"/>
  <c r="M25" i="2"/>
  <c r="L25" i="2"/>
  <c r="B23" i="1" s="1"/>
  <c r="K25" i="2"/>
  <c r="I5" i="1" s="1"/>
  <c r="P24" i="2"/>
  <c r="N24" i="2"/>
  <c r="M24" i="2"/>
  <c r="L24" i="2"/>
  <c r="K24" i="2"/>
  <c r="P23" i="2"/>
  <c r="N23" i="2"/>
  <c r="M23" i="2"/>
  <c r="L23" i="2"/>
  <c r="I20" i="1" s="1"/>
  <c r="K23" i="2"/>
  <c r="P22" i="2"/>
  <c r="N22" i="2"/>
  <c r="O22" i="2" s="1"/>
  <c r="M22" i="2"/>
  <c r="L22" i="2"/>
  <c r="I16" i="1" s="1"/>
  <c r="K22" i="2"/>
  <c r="P21" i="2"/>
  <c r="O21" i="2"/>
  <c r="N21" i="2"/>
  <c r="M21" i="2"/>
  <c r="L21" i="2"/>
  <c r="K21" i="2"/>
  <c r="P20" i="2"/>
  <c r="N20" i="2"/>
  <c r="M20" i="2"/>
  <c r="L20" i="2"/>
  <c r="K20" i="2"/>
  <c r="P19" i="2"/>
  <c r="N19" i="2"/>
  <c r="M19" i="2"/>
  <c r="L19" i="2"/>
  <c r="I18" i="1" s="1"/>
  <c r="K19" i="2"/>
  <c r="P18" i="2"/>
  <c r="N18" i="2"/>
  <c r="O18" i="2" s="1"/>
  <c r="M18" i="2"/>
  <c r="L18" i="2"/>
  <c r="K18" i="2"/>
  <c r="P17" i="2"/>
  <c r="N17" i="2"/>
  <c r="M17" i="2"/>
  <c r="L17" i="2"/>
  <c r="K17" i="2"/>
  <c r="P16" i="2"/>
  <c r="N16" i="2"/>
  <c r="M16" i="2"/>
  <c r="L16" i="2"/>
  <c r="K16" i="2"/>
  <c r="P15" i="2"/>
  <c r="N15" i="2"/>
  <c r="O15" i="2" s="1"/>
  <c r="M15" i="2"/>
  <c r="L15" i="2"/>
  <c r="C23" i="1" s="1"/>
  <c r="K15" i="2"/>
  <c r="P14" i="2"/>
  <c r="N14" i="2"/>
  <c r="M14" i="2"/>
  <c r="L14" i="2"/>
  <c r="K14" i="2"/>
  <c r="P13" i="2"/>
  <c r="N13" i="2"/>
  <c r="M13" i="2"/>
  <c r="L13" i="2"/>
  <c r="K13" i="2"/>
  <c r="C7" i="4" s="1"/>
  <c r="P12" i="2"/>
  <c r="N12" i="2"/>
  <c r="O12" i="2" s="1"/>
  <c r="M12" i="2"/>
  <c r="L12" i="2"/>
  <c r="K12" i="2"/>
  <c r="P11" i="2"/>
  <c r="O11" i="2"/>
  <c r="N11" i="2"/>
  <c r="M11" i="2"/>
  <c r="L11" i="2"/>
  <c r="K11" i="2"/>
  <c r="P10" i="2"/>
  <c r="N10" i="2"/>
  <c r="M10" i="2"/>
  <c r="L10" i="2"/>
  <c r="K10" i="2"/>
  <c r="P9" i="2"/>
  <c r="N9" i="2"/>
  <c r="M9" i="2"/>
  <c r="L9" i="2"/>
  <c r="C27" i="1" s="1"/>
  <c r="K9" i="2"/>
  <c r="I8" i="1" s="1"/>
  <c r="P8" i="2"/>
  <c r="N8" i="2"/>
  <c r="O8" i="2" s="1"/>
  <c r="M8" i="2"/>
  <c r="C28" i="1" s="1"/>
  <c r="L8" i="2"/>
  <c r="C21" i="1" s="1"/>
  <c r="K8" i="2"/>
  <c r="P7" i="2"/>
  <c r="N7" i="2"/>
  <c r="M7" i="2"/>
  <c r="L7" i="2"/>
  <c r="C26" i="1" s="1"/>
  <c r="K7" i="2"/>
  <c r="O32" i="2" s="1"/>
  <c r="P6" i="2"/>
  <c r="N6" i="2"/>
  <c r="M6" i="2"/>
  <c r="L6" i="2"/>
  <c r="C26" i="3" s="1"/>
  <c r="K6" i="2"/>
  <c r="O42" i="2" s="1"/>
  <c r="B29" i="1"/>
  <c r="B28" i="1"/>
  <c r="I23" i="1"/>
  <c r="I22" i="1"/>
  <c r="C22" i="1"/>
  <c r="B22" i="1"/>
  <c r="D22" i="1" s="1"/>
  <c r="I17" i="1"/>
  <c r="I15" i="1"/>
  <c r="I14" i="1"/>
  <c r="I13" i="1"/>
  <c r="I7" i="1"/>
  <c r="I6" i="1"/>
  <c r="E26" i="3" l="1"/>
  <c r="D26" i="3"/>
  <c r="E10" i="3"/>
  <c r="D10" i="3"/>
  <c r="D18" i="3"/>
  <c r="E18" i="3"/>
  <c r="C18" i="4"/>
  <c r="C20" i="4" s="1"/>
  <c r="D13" i="1" s="1"/>
  <c r="E27" i="3"/>
  <c r="D27" i="3"/>
  <c r="D28" i="1"/>
  <c r="D23" i="1"/>
  <c r="D29" i="1"/>
  <c r="C12" i="3"/>
  <c r="C28" i="3"/>
  <c r="C29" i="1"/>
  <c r="C18" i="1"/>
  <c r="B19" i="1"/>
  <c r="D19" i="1" s="1"/>
  <c r="B24" i="1"/>
  <c r="O9" i="2"/>
  <c r="O19" i="2"/>
  <c r="O29" i="2"/>
  <c r="O39" i="2"/>
  <c r="C19" i="1"/>
  <c r="C24" i="1"/>
  <c r="C19" i="3"/>
  <c r="I19" i="1"/>
  <c r="B25" i="1"/>
  <c r="D25" i="1" s="1"/>
  <c r="C13" i="3"/>
  <c r="C29" i="3"/>
  <c r="C20" i="3"/>
  <c r="C20" i="1"/>
  <c r="C14" i="3"/>
  <c r="C30" i="3"/>
  <c r="C21" i="3"/>
  <c r="I12" i="1"/>
  <c r="B27" i="1"/>
  <c r="D27" i="1" s="1"/>
  <c r="C15" i="3"/>
  <c r="G4" i="3"/>
  <c r="O6" i="2"/>
  <c r="O16" i="2"/>
  <c r="O26" i="2"/>
  <c r="O36" i="2"/>
  <c r="O46" i="2"/>
  <c r="B20" i="1"/>
  <c r="C25" i="1"/>
  <c r="O13" i="2"/>
  <c r="O23" i="2"/>
  <c r="O33" i="2"/>
  <c r="O43" i="2"/>
  <c r="B26" i="1"/>
  <c r="D26" i="1" s="1"/>
  <c r="O10" i="2"/>
  <c r="O20" i="2"/>
  <c r="O30" i="2"/>
  <c r="B21" i="1"/>
  <c r="D21" i="1" s="1"/>
  <c r="O7" i="2"/>
  <c r="O17" i="2"/>
  <c r="O27" i="2"/>
  <c r="O14" i="2"/>
  <c r="O24" i="2"/>
  <c r="O34" i="2"/>
  <c r="O44" i="2"/>
  <c r="G5" i="3"/>
  <c r="D7" i="1" s="1"/>
  <c r="C16" i="3"/>
  <c r="B18" i="1"/>
  <c r="C11" i="3"/>
  <c r="C17" i="3"/>
  <c r="E30" i="3" l="1"/>
  <c r="D30" i="3"/>
  <c r="E13" i="3"/>
  <c r="D13" i="3"/>
  <c r="E15" i="3"/>
  <c r="D15" i="3"/>
  <c r="E12" i="3"/>
  <c r="D12" i="3"/>
  <c r="D17" i="3"/>
  <c r="E17" i="3"/>
  <c r="E11" i="3"/>
  <c r="D11" i="3"/>
  <c r="E19" i="3"/>
  <c r="D19" i="3"/>
  <c r="E20" i="3"/>
  <c r="D20" i="3"/>
  <c r="E16" i="3"/>
  <c r="D16" i="3"/>
  <c r="E14" i="3"/>
  <c r="D14" i="3"/>
  <c r="C22" i="3"/>
  <c r="D20" i="1"/>
  <c r="E28" i="3"/>
  <c r="D28" i="3"/>
  <c r="E21" i="3"/>
  <c r="D21" i="3"/>
  <c r="E29" i="3"/>
  <c r="D29" i="3"/>
  <c r="D18" i="1"/>
  <c r="G6" i="3"/>
  <c r="D5" i="1"/>
  <c r="D24" i="1"/>
  <c r="C31" i="3"/>
  <c r="E31" i="3" l="1"/>
  <c r="D31" i="3"/>
  <c r="G7" i="3"/>
  <c r="D11" i="1" s="1"/>
  <c r="D9" i="1"/>
  <c r="E22" i="3"/>
  <c r="D22" i="3"/>
</calcChain>
</file>

<file path=xl/sharedStrings.xml><?xml version="1.0" encoding="utf-8"?>
<sst xmlns="http://schemas.openxmlformats.org/spreadsheetml/2006/main" count="617" uniqueCount="150">
  <si>
    <t>Finanzas personales — Panel</t>
  </si>
  <si>
    <t>Rellena Movimientos y ajusta Presupuesto. El panel se actualiza automáticamente.</t>
  </si>
  <si>
    <t>Mes</t>
  </si>
  <si>
    <t>Año</t>
  </si>
  <si>
    <t>Saldos por cuenta (actual)</t>
  </si>
  <si>
    <t>Cuenta</t>
  </si>
  <si>
    <t>Saldo</t>
  </si>
  <si>
    <t>Tipo</t>
  </si>
  <si>
    <t>Ingresos del mes</t>
  </si>
  <si>
    <t>Cuenta Principal</t>
  </si>
  <si>
    <t>Activo</t>
  </si>
  <si>
    <t>Cuenta Ahorro</t>
  </si>
  <si>
    <t>Gastos del mes</t>
  </si>
  <si>
    <t>Tarjeta Crédito</t>
  </si>
  <si>
    <t>Pasivo</t>
  </si>
  <si>
    <t>Efectivo</t>
  </si>
  <si>
    <t>Ahorro del mes</t>
  </si>
  <si>
    <t>Gasto por categoría (mes elegido)</t>
  </si>
  <si>
    <t>Tasa de ahorro</t>
  </si>
  <si>
    <t>Categoría</t>
  </si>
  <si>
    <t>Gasto</t>
  </si>
  <si>
    <t>Vivienda</t>
  </si>
  <si>
    <t>Patrimonio neto</t>
  </si>
  <si>
    <t>Alimentación</t>
  </si>
  <si>
    <t>Transporte</t>
  </si>
  <si>
    <t>Salud</t>
  </si>
  <si>
    <t>Tendencia mensual (año elegido)</t>
  </si>
  <si>
    <t>Ocio</t>
  </si>
  <si>
    <t>Ingresos</t>
  </si>
  <si>
    <t>Gastos</t>
  </si>
  <si>
    <t>Ahorro</t>
  </si>
  <si>
    <t>Formación</t>
  </si>
  <si>
    <t>Ene</t>
  </si>
  <si>
    <t>Mascota</t>
  </si>
  <si>
    <t>Feb</t>
  </si>
  <si>
    <t>Suscripciones</t>
  </si>
  <si>
    <t>Mar</t>
  </si>
  <si>
    <t>Regalos</t>
  </si>
  <si>
    <t>Abr</t>
  </si>
  <si>
    <t>Impuestos</t>
  </si>
  <si>
    <t>May</t>
  </si>
  <si>
    <t>Hogar</t>
  </si>
  <si>
    <t>Jun</t>
  </si>
  <si>
    <t>Otros</t>
  </si>
  <si>
    <t>Jul</t>
  </si>
  <si>
    <t>Ago</t>
  </si>
  <si>
    <t>Sep</t>
  </si>
  <si>
    <t>Oct</t>
  </si>
  <si>
    <t>Nov</t>
  </si>
  <si>
    <t>Dic</t>
  </si>
  <si>
    <t>Movimientos</t>
  </si>
  <si>
    <t>Registra ingresos, gastos y transferencias. Edita solo A–J (K–P están ocultas).</t>
  </si>
  <si>
    <t>Transferencias: crea 2 filas (Salida y Entrada). Si dejas Categoría vacía, no afecta al presupuesto.</t>
  </si>
  <si>
    <t>Fecha</t>
  </si>
  <si>
    <t>Dirección</t>
  </si>
  <si>
    <t>Subcategoría</t>
  </si>
  <si>
    <t>Descripción</t>
  </si>
  <si>
    <t>Método</t>
  </si>
  <si>
    <t>Etiquetas</t>
  </si>
  <si>
    <t>Importe</t>
  </si>
  <si>
    <t>Importe firmado</t>
  </si>
  <si>
    <t>ID</t>
  </si>
  <si>
    <t>Saldo cuenta</t>
  </si>
  <si>
    <t>Mes-Año</t>
  </si>
  <si>
    <t>Ingreso</t>
  </si>
  <si>
    <t/>
  </si>
  <si>
    <t>Servicios</t>
  </si>
  <si>
    <t>Proyecto web: anticipo</t>
  </si>
  <si>
    <t>Transferencia</t>
  </si>
  <si>
    <t>cliente</t>
  </si>
  <si>
    <t>Supermercado</t>
  </si>
  <si>
    <t>Compra semanal</t>
  </si>
  <si>
    <t>Tarjeta crédito</t>
  </si>
  <si>
    <t>Internet fibra</t>
  </si>
  <si>
    <t>Domiciliación</t>
  </si>
  <si>
    <t>suscripción</t>
  </si>
  <si>
    <t>Metro y bus</t>
  </si>
  <si>
    <t>Curso de análisis de datos</t>
  </si>
  <si>
    <t>Tarjeta débito</t>
  </si>
  <si>
    <t>aprendizaje</t>
  </si>
  <si>
    <t>Cine</t>
  </si>
  <si>
    <t>Salida</t>
  </si>
  <si>
    <t>Aportación a ahorro</t>
  </si>
  <si>
    <t>Entrada</t>
  </si>
  <si>
    <t>Aportación desde principal</t>
  </si>
  <si>
    <t>Ferretería</t>
  </si>
  <si>
    <t>Música en streaming</t>
  </si>
  <si>
    <t>Productos digitales</t>
  </si>
  <si>
    <t>Venta de plantilla (mercado)</t>
  </si>
  <si>
    <t>Farmacia</t>
  </si>
  <si>
    <t>Autónomos (cuota)</t>
  </si>
  <si>
    <t>Comida mascota</t>
  </si>
  <si>
    <t>Pago tarjeta crédito</t>
  </si>
  <si>
    <t>Pago desde principal</t>
  </si>
  <si>
    <t>Café con amigos</t>
  </si>
  <si>
    <t>Regalo cumpleaños</t>
  </si>
  <si>
    <t>Bizum</t>
  </si>
  <si>
    <t>Intereses</t>
  </si>
  <si>
    <t>Intereses mensuales</t>
  </si>
  <si>
    <t>Factura cliente: cierre proyecto</t>
  </si>
  <si>
    <t>Electricidad</t>
  </si>
  <si>
    <t>Gasolina</t>
  </si>
  <si>
    <t>Almacenamiento en la nube</t>
  </si>
  <si>
    <t>Cena</t>
  </si>
  <si>
    <t>Libro técnico</t>
  </si>
  <si>
    <t>Reembolso</t>
  </si>
  <si>
    <t>Devolución compra</t>
  </si>
  <si>
    <t>Pequeños utensilios</t>
  </si>
  <si>
    <t>Mercado</t>
  </si>
  <si>
    <t>Regalos fin de año</t>
  </si>
  <si>
    <t>Consultoría (enero)</t>
  </si>
  <si>
    <t>Venta ocasional</t>
  </si>
  <si>
    <t>Venta segunda mano</t>
  </si>
  <si>
    <t>Agua</t>
  </si>
  <si>
    <t>Revisión bicicleta</t>
  </si>
  <si>
    <t>Aplicación productividad</t>
  </si>
  <si>
    <t>Consulta</t>
  </si>
  <si>
    <t>Entrada exposición</t>
  </si>
  <si>
    <t>Veterinario (vacuna)</t>
  </si>
  <si>
    <t>Presupuesto (mensual)</t>
  </si>
  <si>
    <t>Define presupuesto por categoría y compara con lo real del mes elegido.</t>
  </si>
  <si>
    <t>Resumen del mes</t>
  </si>
  <si>
    <t>Presupuesto</t>
  </si>
  <si>
    <t>Real</t>
  </si>
  <si>
    <t>Diferencia</t>
  </si>
  <si>
    <t>% usado</t>
  </si>
  <si>
    <t>TOTAL</t>
  </si>
  <si>
    <t>Patrimonio</t>
  </si>
  <si>
    <t>Activos y pasivos. Las cuentas se calculan automáticamente; añade otros activos/deudas si quieres.</t>
  </si>
  <si>
    <t>Cuentas (automático)</t>
  </si>
  <si>
    <t>Saldo actual</t>
  </si>
  <si>
    <t>Otros (manual)</t>
  </si>
  <si>
    <t>Elemento</t>
  </si>
  <si>
    <t>Valor</t>
  </si>
  <si>
    <t>Equipo informático</t>
  </si>
  <si>
    <t>Fondo indexado</t>
  </si>
  <si>
    <t>Préstamo estudio</t>
  </si>
  <si>
    <t>TOTAL ACTIVOS</t>
  </si>
  <si>
    <t>TOTAL PASIVOS</t>
  </si>
  <si>
    <t>PATRIMONIO NETO</t>
  </si>
  <si>
    <t>Listas (para desplegables)</t>
  </si>
  <si>
    <t>Edita aquí cuentas, categorías y listas. Las hojas principales usan estas listas para validación.</t>
  </si>
  <si>
    <t>Cuentas</t>
  </si>
  <si>
    <t>Tipos de movimiento</t>
  </si>
  <si>
    <t>Métodos de pago</t>
  </si>
  <si>
    <t>Categorías</t>
  </si>
  <si>
    <t>Nombre</t>
  </si>
  <si>
    <t>Saldo inicial</t>
  </si>
  <si>
    <t>Dirección (Transferencia)</t>
  </si>
  <si>
    <t>Todas (desplegable)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</si>
</sst>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€&quot;;[Red]\(#,##0.00&quot; €&quot;\);&quot;-&quot;"/>
    <numFmt numFmtId="165" formatCode="0.0%"/>
  </numFmts>
  <fonts count="8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sz val="11"/>
      <color rgb="FF333333"/>
      <name val="Calibri"/>
    </font>
    <font>
      <b/>
      <sz val="11"/>
      <color rgb="FFFFFFFF"/>
      <name val="Calibri"/>
    </font>
    <font>
      <b/>
      <sz val="11"/>
      <color rgb="FF333333"/>
      <name val="Calibri"/>
    </font>
    <font>
      <sz val="10"/>
      <color rgb="FF333333"/>
      <name val="Calibri"/>
    </font>
    <font>
      <b/>
      <sz val="11"/>
      <name val="Calibri"/>
    </font>
    <font>
      <b/>
      <sz val="13"/>
      <color rgb="FF33333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5F5F5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0" xfId="0" applyFont="1"/>
    <xf numFmtId="0" fontId="4" fillId="3" borderId="1" xfId="0" applyFont="1" applyFill="1" applyBorder="1" applyAlignment="1">
      <alignment horizontal="center"/>
    </xf>
    <xf numFmtId="0" fontId="3" fillId="2" borderId="0" xfId="0" applyFont="1" applyFill="1"/>
    <xf numFmtId="0" fontId="4" fillId="3" borderId="1" xfId="0" applyFont="1" applyFill="1" applyBorder="1"/>
    <xf numFmtId="0" fontId="0" fillId="0" borderId="1" xfId="0" applyBorder="1"/>
    <xf numFmtId="164" fontId="0" fillId="0" borderId="1" xfId="0" applyNumberFormat="1" applyBorder="1"/>
    <xf numFmtId="0" fontId="3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0" fillId="3" borderId="1" xfId="0" applyNumberFormat="1" applyFill="1" applyBorder="1"/>
    <xf numFmtId="165" fontId="0" fillId="0" borderId="1" xfId="0" applyNumberFormat="1" applyBorder="1"/>
    <xf numFmtId="0" fontId="4" fillId="4" borderId="1" xfId="0" applyFont="1" applyFill="1" applyBorder="1"/>
    <xf numFmtId="164" fontId="4" fillId="4" borderId="1" xfId="0" applyNumberFormat="1" applyFont="1" applyFill="1" applyBorder="1"/>
    <xf numFmtId="165" fontId="4" fillId="4" borderId="1" xfId="0" applyNumberFormat="1" applyFont="1" applyFill="1" applyBorder="1"/>
    <xf numFmtId="164" fontId="3" fillId="2" borderId="1" xfId="0" applyNumberFormat="1" applyFont="1" applyFill="1" applyBorder="1"/>
    <xf numFmtId="0" fontId="3" fillId="2" borderId="0" xfId="0" applyFont="1" applyFill="1"/>
    <xf numFmtId="0" fontId="0" fillId="0" borderId="0" xfId="0"/>
    <xf numFmtId="165" fontId="7" fillId="3" borderId="1" xfId="0" applyNumberFormat="1" applyFont="1" applyFill="1" applyBorder="1" applyAlignment="1">
      <alignment horizontal="right"/>
    </xf>
    <xf numFmtId="0" fontId="3" fillId="2" borderId="1" xfId="0" applyFont="1" applyFill="1" applyBorder="1"/>
    <xf numFmtId="164" fontId="7" fillId="3" borderId="1" xfId="0" applyNumberFormat="1" applyFont="1" applyFill="1" applyBorder="1" applyAlignment="1">
      <alignment horizontal="right"/>
    </xf>
    <xf numFmtId="0" fontId="2" fillId="3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5" fillId="3" borderId="0" xfId="0" applyFont="1" applyFill="1" applyAlignment="1">
      <alignment vertical="center" wrapText="1"/>
    </xf>
    <xf numFmtId="164" fontId="0" fillId="0" borderId="1" xfId="0" applyNumberFormat="1" applyBorder="1" applyAlignment="1">
      <alignment horizontal="right"/>
    </xf>
    <xf numFmtId="165" fontId="0" fillId="0" borderId="1" xfId="0" applyNumberFormat="1" applyBorder="1" applyAlignment="1">
      <alignment horizontal="right"/>
    </xf>
    <xf numFmtId="0" fontId="0" fillId="0" borderId="1" xfId="0" applyBorder="1"/>
    <xf numFmtId="0" fontId="6" fillId="0" borderId="1" xfId="0" applyFont="1" applyBorder="1"/>
    <xf numFmtId="0" fontId="1" fillId="2" borderId="0" xfId="0" applyFont="1" applyFill="1" applyAlignment="1">
      <alignment horizontal="center" vertical="top"/>
    </xf>
  </cellXfs>
  <cellStyles count="1">
    <cellStyle name="Normal" xfId="0" builtinId="0"/>
  </cellStyles>
  <dxfs count="1">
    <dxf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Gastos por categoría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Inicio!$I$11</c:f>
              <c:strCache>
                <c:ptCount val="1"/>
                <c:pt idx="0">
                  <c:v>Gasto</c:v>
                </c:pt>
              </c:strCache>
            </c:strRef>
          </c:tx>
          <c:spPr>
            <a:ln/>
          </c:spPr>
          <c:invertIfNegative val="1"/>
          <c:cat>
            <c:strRef>
              <c:f>Inicio!$H$12:$H$23</c:f>
              <c:strCache>
                <c:ptCount val="12"/>
                <c:pt idx="0">
                  <c:v>Vivienda</c:v>
                </c:pt>
                <c:pt idx="1">
                  <c:v>Alimentación</c:v>
                </c:pt>
                <c:pt idx="2">
                  <c:v>Transporte</c:v>
                </c:pt>
                <c:pt idx="3">
                  <c:v>Salud</c:v>
                </c:pt>
                <c:pt idx="4">
                  <c:v>Ocio</c:v>
                </c:pt>
                <c:pt idx="5">
                  <c:v>Formación</c:v>
                </c:pt>
                <c:pt idx="6">
                  <c:v>Mascota</c:v>
                </c:pt>
                <c:pt idx="7">
                  <c:v>Suscripciones</c:v>
                </c:pt>
                <c:pt idx="8">
                  <c:v>Regalos</c:v>
                </c:pt>
                <c:pt idx="9">
                  <c:v>Impuestos</c:v>
                </c:pt>
                <c:pt idx="10">
                  <c:v>Hogar</c:v>
                </c:pt>
                <c:pt idx="11">
                  <c:v>Otros</c:v>
                </c:pt>
              </c:strCache>
            </c:strRef>
          </c:cat>
          <c:val>
            <c:numRef>
              <c:f>Inicio!$I$12:$I$23</c:f>
              <c:numCache>
                <c:formatCode>#,##0.00" €";[Red]\(#,##0.00" €"\);"-"</c:formatCode>
                <c:ptCount val="12"/>
                <c:pt idx="0">
                  <c:v>18.899999999999999</c:v>
                </c:pt>
                <c:pt idx="1">
                  <c:v>59.1</c:v>
                </c:pt>
                <c:pt idx="2">
                  <c:v>28</c:v>
                </c:pt>
                <c:pt idx="3">
                  <c:v>25</c:v>
                </c:pt>
                <c:pt idx="4">
                  <c:v>9</c:v>
                </c:pt>
                <c:pt idx="5">
                  <c:v>0</c:v>
                </c:pt>
                <c:pt idx="6">
                  <c:v>31.5</c:v>
                </c:pt>
                <c:pt idx="7">
                  <c:v>4.99</c:v>
                </c:pt>
                <c:pt idx="8">
                  <c:v>0</c:v>
                </c:pt>
                <c:pt idx="9">
                  <c:v>80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9-4772-A102-F410CEF6DD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#,##0.00&quot; €&quot;;[Red]\(#,##0.00&quot; €&quot;\);&quot;-&quot;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</c:spPr>
    </c:plotArea>
    <c:legend>
      <c:legendPos val="r"/>
      <c:layout>
        <c:manualLayout>
          <c:xMode val="edge"/>
          <c:yMode val="edge"/>
          <c:x val="0.83390613239283451"/>
          <c:y val="2.8225721784776902E-2"/>
          <c:w val="0.16483354529137467"/>
          <c:h val="0.66591725376433208"/>
        </c:manualLayout>
      </c:layout>
      <c:overlay val="1"/>
    </c:legend>
    <c:plotVisOnly val="1"/>
    <c:dispBlanksAs val="zero"/>
    <c:showDLblsOverMax val="1"/>
  </c:chart>
  <c:spPr>
    <a:solidFill>
      <a:schemeClr val="accent3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Ahorro mensual (año elegido)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Inicio!$D$17</c:f>
              <c:strCache>
                <c:ptCount val="1"/>
                <c:pt idx="0">
                  <c:v>Ahorro</c:v>
                </c:pt>
              </c:strCache>
            </c:strRef>
          </c:tx>
          <c:spPr>
            <a:ln/>
          </c:spPr>
          <c:marker>
            <c:symbol val="none"/>
          </c:marker>
          <c:cat>
            <c:strRef>
              <c:f>Inicio!$A$18:$A$29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Inicio!$D$18:$D$29</c:f>
              <c:numCache>
                <c:formatCode>#,##0.00" €";[Red]\(#,##0.00" €"\);"-"</c:formatCode>
                <c:ptCount val="12"/>
                <c:pt idx="0">
                  <c:v>804.91000000000008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DDD-43B2-9DD4-DFD324F6D6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#,##0.00&quot; €&quot;;[Red]\(#,##0.00&quot; €&quot;\);&quot;-&quot;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legend>
      <c:legendPos val="r"/>
      <c:overlay val="1"/>
    </c:legend>
    <c:plotVisOnly val="1"/>
    <c:dispBlanksAs val="zero"/>
    <c:showDLblsOverMax val="1"/>
  </c:chart>
  <c:spPr>
    <a:solidFill>
      <a:schemeClr val="accent1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422276</xdr:colOff>
      <xdr:row>23</xdr:row>
      <xdr:rowOff>188384</xdr:rowOff>
    </xdr:from>
    <xdr:to>
      <xdr:col>15</xdr:col>
      <xdr:colOff>336551</xdr:colOff>
      <xdr:row>35</xdr:row>
      <xdr:rowOff>188384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171451</xdr:colOff>
      <xdr:row>10</xdr:row>
      <xdr:rowOff>28575</xdr:rowOff>
    </xdr:from>
    <xdr:to>
      <xdr:col>15</xdr:col>
      <xdr:colOff>304801</xdr:colOff>
      <xdr:row>20</xdr:row>
      <xdr:rowOff>161925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Movimientos" displayName="tblMovimientos" ref="A5:J200">
  <autoFilter ref="A5:J200" xr:uid="{00000000-0009-0000-0100-000001000000}"/>
  <tableColumns count="10">
    <tableColumn id="1" xr3:uid="{00000000-0010-0000-0000-000001000000}" name="Fecha"/>
    <tableColumn id="2" xr3:uid="{00000000-0010-0000-0000-000002000000}" name="Cuenta"/>
    <tableColumn id="3" xr3:uid="{00000000-0010-0000-0000-000003000000}" name="Tipo"/>
    <tableColumn id="4" xr3:uid="{00000000-0010-0000-0000-000004000000}" name="Dirección"/>
    <tableColumn id="5" xr3:uid="{00000000-0010-0000-0000-000005000000}" name="Categoría"/>
    <tableColumn id="6" xr3:uid="{00000000-0010-0000-0000-000006000000}" name="Subcategoría"/>
    <tableColumn id="7" xr3:uid="{00000000-0010-0000-0000-000007000000}" name="Descripción"/>
    <tableColumn id="8" xr3:uid="{00000000-0010-0000-0000-000008000000}" name="Método"/>
    <tableColumn id="9" xr3:uid="{00000000-0010-0000-0000-000009000000}" name="Etiquetas"/>
    <tableColumn id="10" xr3:uid="{00000000-0010-0000-0000-00000A000000}" name="Import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"/>
  <sheetViews>
    <sheetView showGridLines="0" tabSelected="1" zoomScale="90" zoomScaleNormal="90" workbookViewId="0">
      <selection activeCell="AA34" sqref="AA34"/>
    </sheetView>
  </sheetViews>
  <sheetFormatPr baseColWidth="10" defaultColWidth="9.140625" defaultRowHeight="15" x14ac:dyDescent="0.25"/>
  <cols>
    <col min="1" max="1" width="22" customWidth="1"/>
    <col min="2" max="3" width="12" customWidth="1"/>
    <col min="4" max="4" width="14" customWidth="1"/>
    <col min="5" max="6" width="10" customWidth="1"/>
    <col min="8" max="8" width="22" customWidth="1"/>
    <col min="9" max="9" width="14" customWidth="1"/>
    <col min="10" max="10" width="12" customWidth="1"/>
  </cols>
  <sheetData>
    <row r="1" spans="1:15" ht="32.1" customHeight="1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21.95" customHeight="1" x14ac:dyDescent="0.2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x14ac:dyDescent="0.25">
      <c r="A3" s="1" t="s">
        <v>2</v>
      </c>
      <c r="B3" s="2">
        <v>1</v>
      </c>
      <c r="C3" s="1" t="s">
        <v>3</v>
      </c>
      <c r="D3" s="2">
        <v>2026</v>
      </c>
      <c r="H3" s="17" t="s">
        <v>4</v>
      </c>
      <c r="I3" s="18"/>
      <c r="J3" s="18"/>
      <c r="K3" s="18"/>
    </row>
    <row r="4" spans="1:15" x14ac:dyDescent="0.25">
      <c r="H4" s="4" t="s">
        <v>5</v>
      </c>
      <c r="I4" s="4" t="s">
        <v>6</v>
      </c>
      <c r="J4" s="4" t="s">
        <v>7</v>
      </c>
    </row>
    <row r="5" spans="1:15" ht="24" customHeight="1" x14ac:dyDescent="0.3">
      <c r="A5" s="20" t="s">
        <v>8</v>
      </c>
      <c r="B5" s="18"/>
      <c r="C5" s="18"/>
      <c r="D5" s="21">
        <f>Presupuesto!G4</f>
        <v>1061.4000000000001</v>
      </c>
      <c r="E5" s="18"/>
      <c r="F5" s="18"/>
      <c r="H5" s="5" t="s">
        <v>9</v>
      </c>
      <c r="I5" s="6">
        <f>VLOOKUP(H5,Listas!$A$6:$C$200,3,FALSE)+SUMIFS(Movimientos!$K$6:$K$200,Movimientos!$B$6:$B$200,H5)</f>
        <v>3810.52</v>
      </c>
      <c r="J5" s="5" t="s">
        <v>10</v>
      </c>
    </row>
    <row r="6" spans="1:15" x14ac:dyDescent="0.25">
      <c r="H6" s="5" t="s">
        <v>11</v>
      </c>
      <c r="I6" s="6">
        <f>VLOOKUP(H6,Listas!$A$6:$C$200,3,FALSE)+SUMIFS(Movimientos!$K$6:$K$200,Movimientos!$B$6:$B$200,H6)</f>
        <v>6968.85</v>
      </c>
      <c r="J6" s="5" t="s">
        <v>10</v>
      </c>
    </row>
    <row r="7" spans="1:15" ht="24" customHeight="1" x14ac:dyDescent="0.3">
      <c r="A7" s="20" t="s">
        <v>12</v>
      </c>
      <c r="B7" s="18"/>
      <c r="C7" s="18"/>
      <c r="D7" s="21">
        <f>Presupuesto!G5</f>
        <v>256.49</v>
      </c>
      <c r="E7" s="18"/>
      <c r="F7" s="18"/>
      <c r="H7" s="5" t="s">
        <v>13</v>
      </c>
      <c r="I7" s="6">
        <f>VLOOKUP(H7,Listas!$A$6:$C$200,3,FALSE)+SUMIFS(Movimientos!$K$6:$K$200,Movimientos!$B$6:$B$200,H7)</f>
        <v>-47.329999999999984</v>
      </c>
      <c r="J7" s="5" t="s">
        <v>14</v>
      </c>
    </row>
    <row r="8" spans="1:15" x14ac:dyDescent="0.25">
      <c r="H8" s="5" t="s">
        <v>15</v>
      </c>
      <c r="I8" s="6">
        <f>VLOOKUP(H8,Listas!$A$6:$C$200,3,FALSE)+SUMIFS(Movimientos!$K$6:$K$200,Movimientos!$B$6:$B$200,H8)</f>
        <v>70.2</v>
      </c>
      <c r="J8" s="5" t="s">
        <v>10</v>
      </c>
    </row>
    <row r="9" spans="1:15" ht="24" customHeight="1" x14ac:dyDescent="0.3">
      <c r="A9" s="20" t="s">
        <v>16</v>
      </c>
      <c r="B9" s="18"/>
      <c r="C9" s="18"/>
      <c r="D9" s="21">
        <f>Presupuesto!G6</f>
        <v>804.91000000000008</v>
      </c>
      <c r="E9" s="18"/>
      <c r="F9" s="18"/>
    </row>
    <row r="10" spans="1:15" x14ac:dyDescent="0.25">
      <c r="H10" s="17" t="s">
        <v>17</v>
      </c>
      <c r="I10" s="18"/>
      <c r="J10" s="18"/>
      <c r="K10" s="18"/>
    </row>
    <row r="11" spans="1:15" ht="24" customHeight="1" x14ac:dyDescent="0.3">
      <c r="A11" s="20" t="s">
        <v>18</v>
      </c>
      <c r="B11" s="18"/>
      <c r="C11" s="18"/>
      <c r="D11" s="19">
        <f>Presupuesto!G7</f>
        <v>0.75834746561145661</v>
      </c>
      <c r="E11" s="18"/>
      <c r="F11" s="18"/>
      <c r="H11" s="4" t="s">
        <v>19</v>
      </c>
      <c r="I11" s="4" t="s">
        <v>20</v>
      </c>
    </row>
    <row r="12" spans="1:15" x14ac:dyDescent="0.25">
      <c r="H12" s="5" t="s">
        <v>21</v>
      </c>
      <c r="I12" s="6">
        <f>-SUMIFS(Movimientos!$K$6:$K$200,Movimientos!$C$6:$C$200,"Gasto",Movimientos!$E$6:$E$200,H12,Movimientos!$L$6:$L$200,$B$3,Movimientos!$M$6:$M$200,$D$3)</f>
        <v>18.899999999999999</v>
      </c>
    </row>
    <row r="13" spans="1:15" ht="24" customHeight="1" x14ac:dyDescent="0.3">
      <c r="A13" s="20" t="s">
        <v>22</v>
      </c>
      <c r="B13" s="18"/>
      <c r="C13" s="18"/>
      <c r="D13" s="21">
        <f>Patrimonio!C20</f>
        <v>12502.240000000002</v>
      </c>
      <c r="E13" s="18"/>
      <c r="F13" s="18"/>
      <c r="H13" s="5" t="s">
        <v>23</v>
      </c>
      <c r="I13" s="6">
        <f>-SUMIFS(Movimientos!$K$6:$K$200,Movimientos!$C$6:$C$200,"Gasto",Movimientos!$E$6:$E$200,H13,Movimientos!$L$6:$L$200,$B$3,Movimientos!$M$6:$M$200,$D$3)</f>
        <v>59.1</v>
      </c>
    </row>
    <row r="14" spans="1:15" x14ac:dyDescent="0.25">
      <c r="H14" s="5" t="s">
        <v>24</v>
      </c>
      <c r="I14" s="6">
        <f>-SUMIFS(Movimientos!$K$6:$K$200,Movimientos!$C$6:$C$200,"Gasto",Movimientos!$E$6:$E$200,H14,Movimientos!$L$6:$L$200,$B$3,Movimientos!$M$6:$M$200,$D$3)</f>
        <v>28</v>
      </c>
    </row>
    <row r="15" spans="1:15" x14ac:dyDescent="0.25">
      <c r="H15" s="5" t="s">
        <v>25</v>
      </c>
      <c r="I15" s="6">
        <f>-SUMIFS(Movimientos!$K$6:$K$200,Movimientos!$C$6:$C$200,"Gasto",Movimientos!$E$6:$E$200,H15,Movimientos!$L$6:$L$200,$B$3,Movimientos!$M$6:$M$200,$D$3)</f>
        <v>25</v>
      </c>
    </row>
    <row r="16" spans="1:15" x14ac:dyDescent="0.25">
      <c r="A16" s="17" t="s">
        <v>26</v>
      </c>
      <c r="B16" s="18"/>
      <c r="C16" s="18"/>
      <c r="D16" s="18"/>
      <c r="E16" s="18"/>
      <c r="F16" s="18"/>
      <c r="H16" s="5" t="s">
        <v>27</v>
      </c>
      <c r="I16" s="6">
        <f>-SUMIFS(Movimientos!$K$6:$K$200,Movimientos!$C$6:$C$200,"Gasto",Movimientos!$E$6:$E$200,H16,Movimientos!$L$6:$L$200,$B$3,Movimientos!$M$6:$M$200,$D$3)</f>
        <v>9</v>
      </c>
    </row>
    <row r="17" spans="1:9" x14ac:dyDescent="0.25">
      <c r="A17" s="4" t="s">
        <v>2</v>
      </c>
      <c r="B17" s="4" t="s">
        <v>28</v>
      </c>
      <c r="C17" s="4" t="s">
        <v>29</v>
      </c>
      <c r="D17" s="4" t="s">
        <v>30</v>
      </c>
      <c r="H17" s="5" t="s">
        <v>31</v>
      </c>
      <c r="I17" s="6">
        <f>-SUMIFS(Movimientos!$K$6:$K$200,Movimientos!$C$6:$C$200,"Gasto",Movimientos!$E$6:$E$200,H17,Movimientos!$L$6:$L$200,$B$3,Movimientos!$M$6:$M$200,$D$3)</f>
        <v>0</v>
      </c>
    </row>
    <row r="18" spans="1:9" x14ac:dyDescent="0.25">
      <c r="A18" s="5" t="s">
        <v>32</v>
      </c>
      <c r="B18" s="6">
        <f>SUMIFS(Movimientos!$K$6:$K$200,Movimientos!$C$6:$C$200,"Ingreso",Movimientos!$L$6:$L$200,1,Movimientos!$M$6:$M$200,$D$3)</f>
        <v>1061.4000000000001</v>
      </c>
      <c r="C18" s="6">
        <f>-SUMIFS(Movimientos!$K$6:$K$200,Movimientos!$C$6:$C$200,"Gasto",Movimientos!$L$6:$L$200,1,Movimientos!$M$6:$M$200,$D$3)</f>
        <v>256.49</v>
      </c>
      <c r="D18" s="6">
        <f t="shared" ref="D18:D29" si="0">B18-C18</f>
        <v>804.91000000000008</v>
      </c>
      <c r="H18" s="5" t="s">
        <v>33</v>
      </c>
      <c r="I18" s="6">
        <f>-SUMIFS(Movimientos!$K$6:$K$200,Movimientos!$C$6:$C$200,"Gasto",Movimientos!$E$6:$E$200,H18,Movimientos!$L$6:$L$200,$B$3,Movimientos!$M$6:$M$200,$D$3)</f>
        <v>31.5</v>
      </c>
    </row>
    <row r="19" spans="1:9" x14ac:dyDescent="0.25">
      <c r="A19" s="5" t="s">
        <v>34</v>
      </c>
      <c r="B19" s="6">
        <f>SUMIFS(Movimientos!$K$6:$K$200,Movimientos!$C$6:$C$200,"Ingreso",Movimientos!$L$6:$L$200,2,Movimientos!$M$6:$M$200,$D$3)</f>
        <v>0</v>
      </c>
      <c r="C19" s="6">
        <f>-SUMIFS(Movimientos!$K$6:$K$200,Movimientos!$C$6:$C$200,"Gasto",Movimientos!$L$6:$L$200,2,Movimientos!$M$6:$M$200,$D$3)</f>
        <v>0</v>
      </c>
      <c r="D19" s="6">
        <f t="shared" si="0"/>
        <v>0</v>
      </c>
      <c r="H19" s="5" t="s">
        <v>35</v>
      </c>
      <c r="I19" s="6">
        <f>-SUMIFS(Movimientos!$K$6:$K$200,Movimientos!$C$6:$C$200,"Gasto",Movimientos!$E$6:$E$200,H19,Movimientos!$L$6:$L$200,$B$3,Movimientos!$M$6:$M$200,$D$3)</f>
        <v>4.99</v>
      </c>
    </row>
    <row r="20" spans="1:9" x14ac:dyDescent="0.25">
      <c r="A20" s="5" t="s">
        <v>36</v>
      </c>
      <c r="B20" s="6">
        <f>SUMIFS(Movimientos!$K$6:$K$200,Movimientos!$C$6:$C$200,"Ingreso",Movimientos!$L$6:$L$200,3,Movimientos!$M$6:$M$200,$D$3)</f>
        <v>0</v>
      </c>
      <c r="C20" s="6">
        <f>-SUMIFS(Movimientos!$K$6:$K$200,Movimientos!$C$6:$C$200,"Gasto",Movimientos!$L$6:$L$200,3,Movimientos!$M$6:$M$200,$D$3)</f>
        <v>0</v>
      </c>
      <c r="D20" s="6">
        <f t="shared" si="0"/>
        <v>0</v>
      </c>
      <c r="H20" s="5" t="s">
        <v>37</v>
      </c>
      <c r="I20" s="6">
        <f>-SUMIFS(Movimientos!$K$6:$K$200,Movimientos!$C$6:$C$200,"Gasto",Movimientos!$E$6:$E$200,H20,Movimientos!$L$6:$L$200,$B$3,Movimientos!$M$6:$M$200,$D$3)</f>
        <v>0</v>
      </c>
    </row>
    <row r="21" spans="1:9" x14ac:dyDescent="0.25">
      <c r="A21" s="5" t="s">
        <v>38</v>
      </c>
      <c r="B21" s="6">
        <f>SUMIFS(Movimientos!$K$6:$K$200,Movimientos!$C$6:$C$200,"Ingreso",Movimientos!$L$6:$L$200,4,Movimientos!$M$6:$M$200,$D$3)</f>
        <v>0</v>
      </c>
      <c r="C21" s="6">
        <f>-SUMIFS(Movimientos!$K$6:$K$200,Movimientos!$C$6:$C$200,"Gasto",Movimientos!$L$6:$L$200,4,Movimientos!$M$6:$M$200,$D$3)</f>
        <v>0</v>
      </c>
      <c r="D21" s="6">
        <f t="shared" si="0"/>
        <v>0</v>
      </c>
      <c r="H21" s="5" t="s">
        <v>39</v>
      </c>
      <c r="I21" s="6">
        <f>-SUMIFS(Movimientos!$K$6:$K$200,Movimientos!$C$6:$C$200,"Gasto",Movimientos!$E$6:$E$200,H21,Movimientos!$L$6:$L$200,$B$3,Movimientos!$M$6:$M$200,$D$3)</f>
        <v>80</v>
      </c>
    </row>
    <row r="22" spans="1:9" x14ac:dyDescent="0.25">
      <c r="A22" s="5" t="s">
        <v>40</v>
      </c>
      <c r="B22" s="6">
        <f>SUMIFS(Movimientos!$K$6:$K$200,Movimientos!$C$6:$C$200,"Ingreso",Movimientos!$L$6:$L$200,5,Movimientos!$M$6:$M$200,$D$3)</f>
        <v>0</v>
      </c>
      <c r="C22" s="6">
        <f>-SUMIFS(Movimientos!$K$6:$K$200,Movimientos!$C$6:$C$200,"Gasto",Movimientos!$L$6:$L$200,5,Movimientos!$M$6:$M$200,$D$3)</f>
        <v>0</v>
      </c>
      <c r="D22" s="6">
        <f t="shared" si="0"/>
        <v>0</v>
      </c>
      <c r="H22" s="5" t="s">
        <v>41</v>
      </c>
      <c r="I22" s="6">
        <f>-SUMIFS(Movimientos!$K$6:$K$200,Movimientos!$C$6:$C$200,"Gasto",Movimientos!$E$6:$E$200,H22,Movimientos!$L$6:$L$200,$B$3,Movimientos!$M$6:$M$200,$D$3)</f>
        <v>0</v>
      </c>
    </row>
    <row r="23" spans="1:9" x14ac:dyDescent="0.25">
      <c r="A23" s="5" t="s">
        <v>42</v>
      </c>
      <c r="B23" s="6">
        <f>SUMIFS(Movimientos!$K$6:$K$200,Movimientos!$C$6:$C$200,"Ingreso",Movimientos!$L$6:$L$200,6,Movimientos!$M$6:$M$200,$D$3)</f>
        <v>0</v>
      </c>
      <c r="C23" s="6">
        <f>-SUMIFS(Movimientos!$K$6:$K$200,Movimientos!$C$6:$C$200,"Gasto",Movimientos!$L$6:$L$200,6,Movimientos!$M$6:$M$200,$D$3)</f>
        <v>0</v>
      </c>
      <c r="D23" s="6">
        <f t="shared" si="0"/>
        <v>0</v>
      </c>
      <c r="H23" s="5" t="s">
        <v>43</v>
      </c>
      <c r="I23" s="6">
        <f>-SUMIFS(Movimientos!$K$6:$K$200,Movimientos!$C$6:$C$200,"Gasto",Movimientos!$E$6:$E$200,H23,Movimientos!$L$6:$L$200,$B$3,Movimientos!$M$6:$M$200,$D$3)</f>
        <v>0</v>
      </c>
    </row>
    <row r="24" spans="1:9" x14ac:dyDescent="0.25">
      <c r="A24" s="5" t="s">
        <v>44</v>
      </c>
      <c r="B24" s="6">
        <f>SUMIFS(Movimientos!$K$6:$K$200,Movimientos!$C$6:$C$200,"Ingreso",Movimientos!$L$6:$L$200,7,Movimientos!$M$6:$M$200,$D$3)</f>
        <v>0</v>
      </c>
      <c r="C24" s="6">
        <f>-SUMIFS(Movimientos!$K$6:$K$200,Movimientos!$C$6:$C$200,"Gasto",Movimientos!$L$6:$L$200,7,Movimientos!$M$6:$M$200,$D$3)</f>
        <v>0</v>
      </c>
      <c r="D24" s="6">
        <f t="shared" si="0"/>
        <v>0</v>
      </c>
    </row>
    <row r="25" spans="1:9" x14ac:dyDescent="0.25">
      <c r="A25" s="5" t="s">
        <v>45</v>
      </c>
      <c r="B25" s="6">
        <f>SUMIFS(Movimientos!$K$6:$K$200,Movimientos!$C$6:$C$200,"Ingreso",Movimientos!$L$6:$L$200,8,Movimientos!$M$6:$M$200,$D$3)</f>
        <v>0</v>
      </c>
      <c r="C25" s="6">
        <f>-SUMIFS(Movimientos!$K$6:$K$200,Movimientos!$C$6:$C$200,"Gasto",Movimientos!$L$6:$L$200,8,Movimientos!$M$6:$M$200,$D$3)</f>
        <v>0</v>
      </c>
      <c r="D25" s="6">
        <f t="shared" si="0"/>
        <v>0</v>
      </c>
    </row>
    <row r="26" spans="1:9" x14ac:dyDescent="0.25">
      <c r="A26" s="5" t="s">
        <v>46</v>
      </c>
      <c r="B26" s="6">
        <f>SUMIFS(Movimientos!$K$6:$K$200,Movimientos!$C$6:$C$200,"Ingreso",Movimientos!$L$6:$L$200,9,Movimientos!$M$6:$M$200,$D$3)</f>
        <v>0</v>
      </c>
      <c r="C26" s="6">
        <f>-SUMIFS(Movimientos!$K$6:$K$200,Movimientos!$C$6:$C$200,"Gasto",Movimientos!$L$6:$L$200,9,Movimientos!$M$6:$M$200,$D$3)</f>
        <v>0</v>
      </c>
      <c r="D26" s="6">
        <f t="shared" si="0"/>
        <v>0</v>
      </c>
    </row>
    <row r="27" spans="1:9" x14ac:dyDescent="0.25">
      <c r="A27" s="5" t="s">
        <v>47</v>
      </c>
      <c r="B27" s="6">
        <f>SUMIFS(Movimientos!$K$6:$K$200,Movimientos!$C$6:$C$200,"Ingreso",Movimientos!$L$6:$L$200,10,Movimientos!$M$6:$M$200,$D$3)</f>
        <v>0</v>
      </c>
      <c r="C27" s="6">
        <f>-SUMIFS(Movimientos!$K$6:$K$200,Movimientos!$C$6:$C$200,"Gasto",Movimientos!$L$6:$L$200,10,Movimientos!$M$6:$M$200,$D$3)</f>
        <v>0</v>
      </c>
      <c r="D27" s="6">
        <f t="shared" si="0"/>
        <v>0</v>
      </c>
    </row>
    <row r="28" spans="1:9" x14ac:dyDescent="0.25">
      <c r="A28" s="5" t="s">
        <v>48</v>
      </c>
      <c r="B28" s="6">
        <f>SUMIFS(Movimientos!$K$6:$K$200,Movimientos!$C$6:$C$200,"Ingreso",Movimientos!$L$6:$L$200,11,Movimientos!$M$6:$M$200,$D$3)</f>
        <v>0</v>
      </c>
      <c r="C28" s="6">
        <f>-SUMIFS(Movimientos!$K$6:$K$200,Movimientos!$C$6:$C$200,"Gasto",Movimientos!$L$6:$L$200,11,Movimientos!$M$6:$M$200,$D$3)</f>
        <v>0</v>
      </c>
      <c r="D28" s="6">
        <f t="shared" si="0"/>
        <v>0</v>
      </c>
    </row>
    <row r="29" spans="1:9" x14ac:dyDescent="0.25">
      <c r="A29" s="5" t="s">
        <v>49</v>
      </c>
      <c r="B29" s="6">
        <f>SUMIFS(Movimientos!$K$6:$K$200,Movimientos!$C$6:$C$200,"Ingreso",Movimientos!$L$6:$L$200,12,Movimientos!$M$6:$M$200,$D$3)</f>
        <v>0</v>
      </c>
      <c r="C29" s="6">
        <f>-SUMIFS(Movimientos!$K$6:$K$200,Movimientos!$C$6:$C$200,"Gasto",Movimientos!$L$6:$L$200,12,Movimientos!$M$6:$M$200,$D$3)</f>
        <v>0</v>
      </c>
      <c r="D29" s="6">
        <f t="shared" si="0"/>
        <v>0</v>
      </c>
    </row>
  </sheetData>
  <mergeCells count="15">
    <mergeCell ref="H10:K10"/>
    <mergeCell ref="A1:O1"/>
    <mergeCell ref="A2:O2"/>
    <mergeCell ref="H3:K3"/>
    <mergeCell ref="A9:C9"/>
    <mergeCell ref="D9:F9"/>
    <mergeCell ref="D7:F7"/>
    <mergeCell ref="A7:C7"/>
    <mergeCell ref="A16:F16"/>
    <mergeCell ref="D11:F11"/>
    <mergeCell ref="A11:C11"/>
    <mergeCell ref="A13:C13"/>
    <mergeCell ref="D5:F5"/>
    <mergeCell ref="A5:C5"/>
    <mergeCell ref="D13:F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00"/>
  <sheetViews>
    <sheetView showGridLines="0" workbookViewId="0">
      <selection sqref="A1:P1"/>
    </sheetView>
  </sheetViews>
  <sheetFormatPr baseColWidth="10" defaultColWidth="9.140625" defaultRowHeight="15" x14ac:dyDescent="0.25"/>
  <cols>
    <col min="1" max="1" width="12" customWidth="1"/>
    <col min="2" max="2" width="18" customWidth="1"/>
    <col min="3" max="3" width="14" customWidth="1"/>
    <col min="4" max="4" width="12" customWidth="1"/>
    <col min="5" max="5" width="18" customWidth="1"/>
    <col min="6" max="6" width="16" customWidth="1"/>
    <col min="7" max="7" width="30" customWidth="1"/>
    <col min="8" max="8" width="16" customWidth="1"/>
    <col min="9" max="9" width="14" customWidth="1"/>
    <col min="10" max="10" width="12" customWidth="1"/>
    <col min="11" max="11" width="14" customWidth="1"/>
    <col min="12" max="14" width="6" customWidth="1"/>
    <col min="15" max="15" width="14" customWidth="1"/>
    <col min="16" max="16" width="10" customWidth="1"/>
  </cols>
  <sheetData>
    <row r="1" spans="1:16" ht="32.1" customHeight="1" x14ac:dyDescent="0.25">
      <c r="A1" s="23" t="s">
        <v>50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21.95" customHeight="1" x14ac:dyDescent="0.25">
      <c r="A2" s="22" t="s">
        <v>51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ht="26.1" customHeight="1" x14ac:dyDescent="0.25">
      <c r="A3" s="24" t="s">
        <v>52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</row>
    <row r="5" spans="1:16" ht="27.95" customHeight="1" x14ac:dyDescent="0.25">
      <c r="A5" s="7" t="s">
        <v>53</v>
      </c>
      <c r="B5" s="7" t="s">
        <v>5</v>
      </c>
      <c r="C5" s="7" t="s">
        <v>7</v>
      </c>
      <c r="D5" s="7" t="s">
        <v>54</v>
      </c>
      <c r="E5" s="7" t="s">
        <v>19</v>
      </c>
      <c r="F5" s="7" t="s">
        <v>55</v>
      </c>
      <c r="G5" s="7" t="s">
        <v>56</v>
      </c>
      <c r="H5" s="7" t="s">
        <v>57</v>
      </c>
      <c r="I5" s="7" t="s">
        <v>58</v>
      </c>
      <c r="J5" s="7" t="s">
        <v>59</v>
      </c>
      <c r="K5" s="7" t="s">
        <v>60</v>
      </c>
      <c r="L5" s="7" t="s">
        <v>2</v>
      </c>
      <c r="M5" s="7" t="s">
        <v>3</v>
      </c>
      <c r="N5" s="7" t="s">
        <v>61</v>
      </c>
      <c r="O5" s="7" t="s">
        <v>62</v>
      </c>
      <c r="P5" s="7" t="s">
        <v>63</v>
      </c>
    </row>
    <row r="6" spans="1:16" x14ac:dyDescent="0.25">
      <c r="A6" s="8">
        <v>45962</v>
      </c>
      <c r="B6" s="9" t="s">
        <v>9</v>
      </c>
      <c r="C6" s="9" t="s">
        <v>64</v>
      </c>
      <c r="D6" s="9" t="s">
        <v>65</v>
      </c>
      <c r="E6" s="9" t="s">
        <v>66</v>
      </c>
      <c r="F6" s="9" t="s">
        <v>65</v>
      </c>
      <c r="G6" s="9" t="s">
        <v>67</v>
      </c>
      <c r="H6" s="9" t="s">
        <v>68</v>
      </c>
      <c r="I6" s="9" t="s">
        <v>69</v>
      </c>
      <c r="J6" s="10">
        <v>1200</v>
      </c>
      <c r="K6" s="10">
        <f t="shared" ref="K6:K37" si="0">IF($C6="Ingreso",$J6,IF($C6="Gasto",- $J6,IF($C6="Transferencia",IF($D6="Entrada",$J6,IF($D6="Salida",- $J6,0)),0)))</f>
        <v>1200</v>
      </c>
      <c r="L6" s="9">
        <f t="shared" ref="L6:L37" si="1">IFERROR(MONTH($A6),"")</f>
        <v>11</v>
      </c>
      <c r="M6" s="9">
        <f t="shared" ref="M6:M37" si="2">IFERROR(YEAR($A6),"")</f>
        <v>2025</v>
      </c>
      <c r="N6" s="9">
        <f t="shared" ref="N6:N37" si="3">ROW()-5</f>
        <v>1</v>
      </c>
      <c r="O6" s="10">
        <f>IF($B6="","",VLOOKUP($B6,Listas!$A$6:$C$200,3,FALSE)+SUMIFS($K$6:$K$200,$B$6:$B$200,$B6,$N$6:$N$200,"&lt;="&amp;$N6))</f>
        <v>3050</v>
      </c>
      <c r="P6" s="9" t="str">
        <f t="shared" ref="P6:P37" si="4">IF($A6="","",TEXT($A6,"yyyy-mm"))</f>
        <v>yyyy-11</v>
      </c>
    </row>
    <row r="7" spans="1:16" x14ac:dyDescent="0.25">
      <c r="A7" s="8">
        <v>45963</v>
      </c>
      <c r="B7" s="9" t="s">
        <v>13</v>
      </c>
      <c r="C7" s="9" t="s">
        <v>20</v>
      </c>
      <c r="D7" s="9" t="s">
        <v>65</v>
      </c>
      <c r="E7" s="9" t="s">
        <v>23</v>
      </c>
      <c r="F7" s="9" t="s">
        <v>70</v>
      </c>
      <c r="G7" s="9" t="s">
        <v>71</v>
      </c>
      <c r="H7" s="9" t="s">
        <v>72</v>
      </c>
      <c r="I7" s="9" t="s">
        <v>65</v>
      </c>
      <c r="J7" s="10">
        <v>58.4</v>
      </c>
      <c r="K7" s="10">
        <f t="shared" si="0"/>
        <v>-58.4</v>
      </c>
      <c r="L7" s="9">
        <f t="shared" si="1"/>
        <v>11</v>
      </c>
      <c r="M7" s="9">
        <f t="shared" si="2"/>
        <v>2025</v>
      </c>
      <c r="N7" s="9">
        <f t="shared" si="3"/>
        <v>2</v>
      </c>
      <c r="O7" s="10">
        <f>IF($B7="","",VLOOKUP($B7,Listas!$A$6:$C$200,3,FALSE)+SUMIFS($K$6:$K$200,$B$6:$B$200,$B7,$N$6:$N$200,"&lt;="&amp;$N7))</f>
        <v>-378.4</v>
      </c>
      <c r="P7" s="9" t="str">
        <f t="shared" si="4"/>
        <v>yyyy-11</v>
      </c>
    </row>
    <row r="8" spans="1:16" x14ac:dyDescent="0.25">
      <c r="A8" s="8">
        <v>45964</v>
      </c>
      <c r="B8" s="9" t="s">
        <v>9</v>
      </c>
      <c r="C8" s="9" t="s">
        <v>20</v>
      </c>
      <c r="D8" s="9" t="s">
        <v>65</v>
      </c>
      <c r="E8" s="9" t="s">
        <v>21</v>
      </c>
      <c r="F8" s="9" t="s">
        <v>66</v>
      </c>
      <c r="G8" s="9" t="s">
        <v>73</v>
      </c>
      <c r="H8" s="9" t="s">
        <v>74</v>
      </c>
      <c r="I8" s="9" t="s">
        <v>75</v>
      </c>
      <c r="J8" s="10">
        <v>39.99</v>
      </c>
      <c r="K8" s="10">
        <f t="shared" si="0"/>
        <v>-39.99</v>
      </c>
      <c r="L8" s="9">
        <f t="shared" si="1"/>
        <v>11</v>
      </c>
      <c r="M8" s="9">
        <f t="shared" si="2"/>
        <v>2025</v>
      </c>
      <c r="N8" s="9">
        <f t="shared" si="3"/>
        <v>3</v>
      </c>
      <c r="O8" s="10">
        <f>IF($B8="","",VLOOKUP($B8,Listas!$A$6:$C$200,3,FALSE)+SUMIFS($K$6:$K$200,$B$6:$B$200,$B8,$N$6:$N$200,"&lt;="&amp;$N8))</f>
        <v>3010.01</v>
      </c>
      <c r="P8" s="9" t="str">
        <f t="shared" si="4"/>
        <v>yyyy-11</v>
      </c>
    </row>
    <row r="9" spans="1:16" x14ac:dyDescent="0.25">
      <c r="A9" s="8">
        <v>45965</v>
      </c>
      <c r="B9" s="9" t="s">
        <v>15</v>
      </c>
      <c r="C9" s="9" t="s">
        <v>20</v>
      </c>
      <c r="D9" s="9" t="s">
        <v>65</v>
      </c>
      <c r="E9" s="9" t="s">
        <v>24</v>
      </c>
      <c r="F9" s="9" t="s">
        <v>65</v>
      </c>
      <c r="G9" s="9" t="s">
        <v>76</v>
      </c>
      <c r="H9" s="9" t="s">
        <v>15</v>
      </c>
      <c r="I9" s="9" t="s">
        <v>65</v>
      </c>
      <c r="J9" s="10">
        <v>18</v>
      </c>
      <c r="K9" s="10">
        <f t="shared" si="0"/>
        <v>-18</v>
      </c>
      <c r="L9" s="9">
        <f t="shared" si="1"/>
        <v>11</v>
      </c>
      <c r="M9" s="9">
        <f t="shared" si="2"/>
        <v>2025</v>
      </c>
      <c r="N9" s="9">
        <f t="shared" si="3"/>
        <v>4</v>
      </c>
      <c r="O9" s="10">
        <f>IF($B9="","",VLOOKUP($B9,Listas!$A$6:$C$200,3,FALSE)+SUMIFS($K$6:$K$200,$B$6:$B$200,$B9,$N$6:$N$200,"&lt;="&amp;$N9))</f>
        <v>102</v>
      </c>
      <c r="P9" s="9" t="str">
        <f t="shared" si="4"/>
        <v>yyyy-11</v>
      </c>
    </row>
    <row r="10" spans="1:16" x14ac:dyDescent="0.25">
      <c r="A10" s="8">
        <v>45966</v>
      </c>
      <c r="B10" s="9" t="s">
        <v>9</v>
      </c>
      <c r="C10" s="9" t="s">
        <v>20</v>
      </c>
      <c r="D10" s="9" t="s">
        <v>65</v>
      </c>
      <c r="E10" s="9" t="s">
        <v>31</v>
      </c>
      <c r="F10" s="9" t="s">
        <v>65</v>
      </c>
      <c r="G10" s="9" t="s">
        <v>77</v>
      </c>
      <c r="H10" s="9" t="s">
        <v>78</v>
      </c>
      <c r="I10" s="9" t="s">
        <v>79</v>
      </c>
      <c r="J10" s="10">
        <v>79</v>
      </c>
      <c r="K10" s="10">
        <f t="shared" si="0"/>
        <v>-79</v>
      </c>
      <c r="L10" s="9">
        <f t="shared" si="1"/>
        <v>11</v>
      </c>
      <c r="M10" s="9">
        <f t="shared" si="2"/>
        <v>2025</v>
      </c>
      <c r="N10" s="9">
        <f t="shared" si="3"/>
        <v>5</v>
      </c>
      <c r="O10" s="10">
        <f>IF($B10="","",VLOOKUP($B10,Listas!$A$6:$C$200,3,FALSE)+SUMIFS($K$6:$K$200,$B$6:$B$200,$B10,$N$6:$N$200,"&lt;="&amp;$N10))</f>
        <v>2931.01</v>
      </c>
      <c r="P10" s="9" t="str">
        <f t="shared" si="4"/>
        <v>yyyy-11</v>
      </c>
    </row>
    <row r="11" spans="1:16" x14ac:dyDescent="0.25">
      <c r="A11" s="8">
        <v>45967</v>
      </c>
      <c r="B11" s="9" t="s">
        <v>13</v>
      </c>
      <c r="C11" s="9" t="s">
        <v>20</v>
      </c>
      <c r="D11" s="9" t="s">
        <v>65</v>
      </c>
      <c r="E11" s="9" t="s">
        <v>27</v>
      </c>
      <c r="F11" s="9" t="s">
        <v>65</v>
      </c>
      <c r="G11" s="9" t="s">
        <v>80</v>
      </c>
      <c r="H11" s="9" t="s">
        <v>72</v>
      </c>
      <c r="I11" s="9" t="s">
        <v>65</v>
      </c>
      <c r="J11" s="10">
        <v>11.5</v>
      </c>
      <c r="K11" s="10">
        <f t="shared" si="0"/>
        <v>-11.5</v>
      </c>
      <c r="L11" s="9">
        <f t="shared" si="1"/>
        <v>11</v>
      </c>
      <c r="M11" s="9">
        <f t="shared" si="2"/>
        <v>2025</v>
      </c>
      <c r="N11" s="9">
        <f t="shared" si="3"/>
        <v>6</v>
      </c>
      <c r="O11" s="10">
        <f>IF($B11="","",VLOOKUP($B11,Listas!$A$6:$C$200,3,FALSE)+SUMIFS($K$6:$K$200,$B$6:$B$200,$B11,$N$6:$N$200,"&lt;="&amp;$N11))</f>
        <v>-389.9</v>
      </c>
      <c r="P11" s="9" t="str">
        <f t="shared" si="4"/>
        <v>yyyy-11</v>
      </c>
    </row>
    <row r="12" spans="1:16" x14ac:dyDescent="0.25">
      <c r="A12" s="8">
        <v>45969</v>
      </c>
      <c r="B12" s="9" t="s">
        <v>9</v>
      </c>
      <c r="C12" s="9" t="s">
        <v>68</v>
      </c>
      <c r="D12" s="9" t="s">
        <v>81</v>
      </c>
      <c r="E12" s="9" t="s">
        <v>65</v>
      </c>
      <c r="F12" s="9" t="s">
        <v>65</v>
      </c>
      <c r="G12" s="9" t="s">
        <v>82</v>
      </c>
      <c r="H12" s="9" t="s">
        <v>68</v>
      </c>
      <c r="I12" s="9" t="s">
        <v>65</v>
      </c>
      <c r="J12" s="10">
        <v>250</v>
      </c>
      <c r="K12" s="10">
        <f t="shared" si="0"/>
        <v>-250</v>
      </c>
      <c r="L12" s="9">
        <f t="shared" si="1"/>
        <v>11</v>
      </c>
      <c r="M12" s="9">
        <f t="shared" si="2"/>
        <v>2025</v>
      </c>
      <c r="N12" s="9">
        <f t="shared" si="3"/>
        <v>7</v>
      </c>
      <c r="O12" s="10">
        <f>IF($B12="","",VLOOKUP($B12,Listas!$A$6:$C$200,3,FALSE)+SUMIFS($K$6:$K$200,$B$6:$B$200,$B12,$N$6:$N$200,"&lt;="&amp;$N12))</f>
        <v>2681.01</v>
      </c>
      <c r="P12" s="9" t="str">
        <f t="shared" si="4"/>
        <v>yyyy-11</v>
      </c>
    </row>
    <row r="13" spans="1:16" x14ac:dyDescent="0.25">
      <c r="A13" s="8">
        <v>45969</v>
      </c>
      <c r="B13" s="9" t="s">
        <v>11</v>
      </c>
      <c r="C13" s="9" t="s">
        <v>68</v>
      </c>
      <c r="D13" s="9" t="s">
        <v>83</v>
      </c>
      <c r="E13" s="9" t="s">
        <v>65</v>
      </c>
      <c r="F13" s="9" t="s">
        <v>65</v>
      </c>
      <c r="G13" s="9" t="s">
        <v>84</v>
      </c>
      <c r="H13" s="9" t="s">
        <v>68</v>
      </c>
      <c r="I13" s="9" t="s">
        <v>65</v>
      </c>
      <c r="J13" s="10">
        <v>250</v>
      </c>
      <c r="K13" s="10">
        <f t="shared" si="0"/>
        <v>250</v>
      </c>
      <c r="L13" s="9">
        <f t="shared" si="1"/>
        <v>11</v>
      </c>
      <c r="M13" s="9">
        <f t="shared" si="2"/>
        <v>2025</v>
      </c>
      <c r="N13" s="9">
        <f t="shared" si="3"/>
        <v>8</v>
      </c>
      <c r="O13" s="10">
        <f>IF($B13="","",VLOOKUP($B13,Listas!$A$6:$C$200,3,FALSE)+SUMIFS($K$6:$K$200,$B$6:$B$200,$B13,$N$6:$N$200,"&lt;="&amp;$N13))</f>
        <v>6450</v>
      </c>
      <c r="P13" s="9" t="str">
        <f t="shared" si="4"/>
        <v>yyyy-11</v>
      </c>
    </row>
    <row r="14" spans="1:16" x14ac:dyDescent="0.25">
      <c r="A14" s="8">
        <v>45970</v>
      </c>
      <c r="B14" s="9" t="s">
        <v>9</v>
      </c>
      <c r="C14" s="9" t="s">
        <v>20</v>
      </c>
      <c r="D14" s="9" t="s">
        <v>65</v>
      </c>
      <c r="E14" s="9" t="s">
        <v>41</v>
      </c>
      <c r="F14" s="9" t="s">
        <v>65</v>
      </c>
      <c r="G14" s="9" t="s">
        <v>85</v>
      </c>
      <c r="H14" s="9" t="s">
        <v>78</v>
      </c>
      <c r="I14" s="9" t="s">
        <v>65</v>
      </c>
      <c r="J14" s="10">
        <v>23.7</v>
      </c>
      <c r="K14" s="10">
        <f t="shared" si="0"/>
        <v>-23.7</v>
      </c>
      <c r="L14" s="9">
        <f t="shared" si="1"/>
        <v>11</v>
      </c>
      <c r="M14" s="9">
        <f t="shared" si="2"/>
        <v>2025</v>
      </c>
      <c r="N14" s="9">
        <f t="shared" si="3"/>
        <v>9</v>
      </c>
      <c r="O14" s="10">
        <f>IF($B14="","",VLOOKUP($B14,Listas!$A$6:$C$200,3,FALSE)+SUMIFS($K$6:$K$200,$B$6:$B$200,$B14,$N$6:$N$200,"&lt;="&amp;$N14))</f>
        <v>2657.31</v>
      </c>
      <c r="P14" s="9" t="str">
        <f t="shared" si="4"/>
        <v>yyyy-11</v>
      </c>
    </row>
    <row r="15" spans="1:16" x14ac:dyDescent="0.25">
      <c r="A15" s="8">
        <v>45971</v>
      </c>
      <c r="B15" s="9" t="s">
        <v>13</v>
      </c>
      <c r="C15" s="9" t="s">
        <v>20</v>
      </c>
      <c r="D15" s="9" t="s">
        <v>65</v>
      </c>
      <c r="E15" s="9" t="s">
        <v>35</v>
      </c>
      <c r="F15" s="9" t="s">
        <v>65</v>
      </c>
      <c r="G15" s="9" t="s">
        <v>86</v>
      </c>
      <c r="H15" s="9" t="s">
        <v>72</v>
      </c>
      <c r="I15" s="9" t="s">
        <v>65</v>
      </c>
      <c r="J15" s="10">
        <v>9.99</v>
      </c>
      <c r="K15" s="10">
        <f t="shared" si="0"/>
        <v>-9.99</v>
      </c>
      <c r="L15" s="9">
        <f t="shared" si="1"/>
        <v>11</v>
      </c>
      <c r="M15" s="9">
        <f t="shared" si="2"/>
        <v>2025</v>
      </c>
      <c r="N15" s="9">
        <f t="shared" si="3"/>
        <v>10</v>
      </c>
      <c r="O15" s="10">
        <f>IF($B15="","",VLOOKUP($B15,Listas!$A$6:$C$200,3,FALSE)+SUMIFS($K$6:$K$200,$B$6:$B$200,$B15,$N$6:$N$200,"&lt;="&amp;$N15))</f>
        <v>-399.89</v>
      </c>
      <c r="P15" s="9" t="str">
        <f t="shared" si="4"/>
        <v>yyyy-11</v>
      </c>
    </row>
    <row r="16" spans="1:16" x14ac:dyDescent="0.25">
      <c r="A16" s="8">
        <v>45973</v>
      </c>
      <c r="B16" s="9" t="s">
        <v>9</v>
      </c>
      <c r="C16" s="9" t="s">
        <v>64</v>
      </c>
      <c r="D16" s="9" t="s">
        <v>65</v>
      </c>
      <c r="E16" s="9" t="s">
        <v>87</v>
      </c>
      <c r="F16" s="9" t="s">
        <v>65</v>
      </c>
      <c r="G16" s="9" t="s">
        <v>88</v>
      </c>
      <c r="H16" s="9" t="s">
        <v>68</v>
      </c>
      <c r="I16" s="9" t="s">
        <v>65</v>
      </c>
      <c r="J16" s="10">
        <v>34</v>
      </c>
      <c r="K16" s="10">
        <f t="shared" si="0"/>
        <v>34</v>
      </c>
      <c r="L16" s="9">
        <f t="shared" si="1"/>
        <v>11</v>
      </c>
      <c r="M16" s="9">
        <f t="shared" si="2"/>
        <v>2025</v>
      </c>
      <c r="N16" s="9">
        <f t="shared" si="3"/>
        <v>11</v>
      </c>
      <c r="O16" s="10">
        <f>IF($B16="","",VLOOKUP($B16,Listas!$A$6:$C$200,3,FALSE)+SUMIFS($K$6:$K$200,$B$6:$B$200,$B16,$N$6:$N$200,"&lt;="&amp;$N16))</f>
        <v>2691.31</v>
      </c>
      <c r="P16" s="9" t="str">
        <f t="shared" si="4"/>
        <v>yyyy-11</v>
      </c>
    </row>
    <row r="17" spans="1:16" x14ac:dyDescent="0.25">
      <c r="A17" s="8">
        <v>45975</v>
      </c>
      <c r="B17" s="9" t="s">
        <v>9</v>
      </c>
      <c r="C17" s="9" t="s">
        <v>20</v>
      </c>
      <c r="D17" s="9" t="s">
        <v>65</v>
      </c>
      <c r="E17" s="9" t="s">
        <v>25</v>
      </c>
      <c r="F17" s="9" t="s">
        <v>65</v>
      </c>
      <c r="G17" s="9" t="s">
        <v>89</v>
      </c>
      <c r="H17" s="9" t="s">
        <v>78</v>
      </c>
      <c r="I17" s="9" t="s">
        <v>65</v>
      </c>
      <c r="J17" s="10">
        <v>12.85</v>
      </c>
      <c r="K17" s="10">
        <f t="shared" si="0"/>
        <v>-12.85</v>
      </c>
      <c r="L17" s="9">
        <f t="shared" si="1"/>
        <v>11</v>
      </c>
      <c r="M17" s="9">
        <f t="shared" si="2"/>
        <v>2025</v>
      </c>
      <c r="N17" s="9">
        <f t="shared" si="3"/>
        <v>12</v>
      </c>
      <c r="O17" s="10">
        <f>IF($B17="","",VLOOKUP($B17,Listas!$A$6:$C$200,3,FALSE)+SUMIFS($K$6:$K$200,$B$6:$B$200,$B17,$N$6:$N$200,"&lt;="&amp;$N17))</f>
        <v>2678.46</v>
      </c>
      <c r="P17" s="9" t="str">
        <f t="shared" si="4"/>
        <v>yyyy-11</v>
      </c>
    </row>
    <row r="18" spans="1:16" x14ac:dyDescent="0.25">
      <c r="A18" s="8">
        <v>45976</v>
      </c>
      <c r="B18" s="9" t="s">
        <v>9</v>
      </c>
      <c r="C18" s="9" t="s">
        <v>20</v>
      </c>
      <c r="D18" s="9" t="s">
        <v>65</v>
      </c>
      <c r="E18" s="9" t="s">
        <v>39</v>
      </c>
      <c r="F18" s="9" t="s">
        <v>65</v>
      </c>
      <c r="G18" s="9" t="s">
        <v>90</v>
      </c>
      <c r="H18" s="9" t="s">
        <v>74</v>
      </c>
      <c r="I18" s="9" t="s">
        <v>65</v>
      </c>
      <c r="J18" s="10">
        <v>80</v>
      </c>
      <c r="K18" s="10">
        <f t="shared" si="0"/>
        <v>-80</v>
      </c>
      <c r="L18" s="9">
        <f t="shared" si="1"/>
        <v>11</v>
      </c>
      <c r="M18" s="9">
        <f t="shared" si="2"/>
        <v>2025</v>
      </c>
      <c r="N18" s="9">
        <f t="shared" si="3"/>
        <v>13</v>
      </c>
      <c r="O18" s="10">
        <f>IF($B18="","",VLOOKUP($B18,Listas!$A$6:$C$200,3,FALSE)+SUMIFS($K$6:$K$200,$B$6:$B$200,$B18,$N$6:$N$200,"&lt;="&amp;$N18))</f>
        <v>2598.46</v>
      </c>
      <c r="P18" s="9" t="str">
        <f t="shared" si="4"/>
        <v>yyyy-11</v>
      </c>
    </row>
    <row r="19" spans="1:16" x14ac:dyDescent="0.25">
      <c r="A19" s="8">
        <v>45979</v>
      </c>
      <c r="B19" s="9" t="s">
        <v>13</v>
      </c>
      <c r="C19" s="9" t="s">
        <v>20</v>
      </c>
      <c r="D19" s="9" t="s">
        <v>65</v>
      </c>
      <c r="E19" s="9" t="s">
        <v>33</v>
      </c>
      <c r="F19" s="9" t="s">
        <v>65</v>
      </c>
      <c r="G19" s="9" t="s">
        <v>91</v>
      </c>
      <c r="H19" s="9" t="s">
        <v>72</v>
      </c>
      <c r="I19" s="9" t="s">
        <v>65</v>
      </c>
      <c r="J19" s="10">
        <v>22.3</v>
      </c>
      <c r="K19" s="10">
        <f t="shared" si="0"/>
        <v>-22.3</v>
      </c>
      <c r="L19" s="9">
        <f t="shared" si="1"/>
        <v>11</v>
      </c>
      <c r="M19" s="9">
        <f t="shared" si="2"/>
        <v>2025</v>
      </c>
      <c r="N19" s="9">
        <f t="shared" si="3"/>
        <v>14</v>
      </c>
      <c r="O19" s="10">
        <f>IF($B19="","",VLOOKUP($B19,Listas!$A$6:$C$200,3,FALSE)+SUMIFS($K$6:$K$200,$B$6:$B$200,$B19,$N$6:$N$200,"&lt;="&amp;$N19))</f>
        <v>-422.19</v>
      </c>
      <c r="P19" s="9" t="str">
        <f t="shared" si="4"/>
        <v>yyyy-11</v>
      </c>
    </row>
    <row r="20" spans="1:16" x14ac:dyDescent="0.25">
      <c r="A20" s="8">
        <v>45981</v>
      </c>
      <c r="B20" s="9" t="s">
        <v>9</v>
      </c>
      <c r="C20" s="9" t="s">
        <v>68</v>
      </c>
      <c r="D20" s="9" t="s">
        <v>81</v>
      </c>
      <c r="E20" s="9" t="s">
        <v>65</v>
      </c>
      <c r="F20" s="9" t="s">
        <v>65</v>
      </c>
      <c r="G20" s="9" t="s">
        <v>92</v>
      </c>
      <c r="H20" s="9" t="s">
        <v>68</v>
      </c>
      <c r="I20" s="9" t="s">
        <v>65</v>
      </c>
      <c r="J20" s="10">
        <v>180</v>
      </c>
      <c r="K20" s="10">
        <f t="shared" si="0"/>
        <v>-180</v>
      </c>
      <c r="L20" s="9">
        <f t="shared" si="1"/>
        <v>11</v>
      </c>
      <c r="M20" s="9">
        <f t="shared" si="2"/>
        <v>2025</v>
      </c>
      <c r="N20" s="9">
        <f t="shared" si="3"/>
        <v>15</v>
      </c>
      <c r="O20" s="10">
        <f>IF($B20="","",VLOOKUP($B20,Listas!$A$6:$C$200,3,FALSE)+SUMIFS($K$6:$K$200,$B$6:$B$200,$B20,$N$6:$N$200,"&lt;="&amp;$N20))</f>
        <v>2418.46</v>
      </c>
      <c r="P20" s="9" t="str">
        <f t="shared" si="4"/>
        <v>yyyy-11</v>
      </c>
    </row>
    <row r="21" spans="1:16" x14ac:dyDescent="0.25">
      <c r="A21" s="8">
        <v>45981</v>
      </c>
      <c r="B21" s="9" t="s">
        <v>13</v>
      </c>
      <c r="C21" s="9" t="s">
        <v>68</v>
      </c>
      <c r="D21" s="9" t="s">
        <v>83</v>
      </c>
      <c r="E21" s="9" t="s">
        <v>65</v>
      </c>
      <c r="F21" s="9" t="s">
        <v>65</v>
      </c>
      <c r="G21" s="9" t="s">
        <v>93</v>
      </c>
      <c r="H21" s="9" t="s">
        <v>68</v>
      </c>
      <c r="I21" s="9" t="s">
        <v>65</v>
      </c>
      <c r="J21" s="10">
        <v>180</v>
      </c>
      <c r="K21" s="10">
        <f t="shared" si="0"/>
        <v>180</v>
      </c>
      <c r="L21" s="9">
        <f t="shared" si="1"/>
        <v>11</v>
      </c>
      <c r="M21" s="9">
        <f t="shared" si="2"/>
        <v>2025</v>
      </c>
      <c r="N21" s="9">
        <f t="shared" si="3"/>
        <v>16</v>
      </c>
      <c r="O21" s="10">
        <f>IF($B21="","",VLOOKUP($B21,Listas!$A$6:$C$200,3,FALSE)+SUMIFS($K$6:$K$200,$B$6:$B$200,$B21,$N$6:$N$200,"&lt;="&amp;$N21))</f>
        <v>-242.19</v>
      </c>
      <c r="P21" s="9" t="str">
        <f t="shared" si="4"/>
        <v>yyyy-11</v>
      </c>
    </row>
    <row r="22" spans="1:16" x14ac:dyDescent="0.25">
      <c r="A22" s="8">
        <v>45984</v>
      </c>
      <c r="B22" s="9" t="s">
        <v>15</v>
      </c>
      <c r="C22" s="9" t="s">
        <v>20</v>
      </c>
      <c r="D22" s="9" t="s">
        <v>65</v>
      </c>
      <c r="E22" s="9" t="s">
        <v>27</v>
      </c>
      <c r="F22" s="9" t="s">
        <v>65</v>
      </c>
      <c r="G22" s="9" t="s">
        <v>94</v>
      </c>
      <c r="H22" s="9" t="s">
        <v>15</v>
      </c>
      <c r="I22" s="9" t="s">
        <v>65</v>
      </c>
      <c r="J22" s="10">
        <v>6.5</v>
      </c>
      <c r="K22" s="10">
        <f t="shared" si="0"/>
        <v>-6.5</v>
      </c>
      <c r="L22" s="9">
        <f t="shared" si="1"/>
        <v>11</v>
      </c>
      <c r="M22" s="9">
        <f t="shared" si="2"/>
        <v>2025</v>
      </c>
      <c r="N22" s="9">
        <f t="shared" si="3"/>
        <v>17</v>
      </c>
      <c r="O22" s="10">
        <f>IF($B22="","",VLOOKUP($B22,Listas!$A$6:$C$200,3,FALSE)+SUMIFS($K$6:$K$200,$B$6:$B$200,$B22,$N$6:$N$200,"&lt;="&amp;$N22))</f>
        <v>95.5</v>
      </c>
      <c r="P22" s="9" t="str">
        <f t="shared" si="4"/>
        <v>yyyy-11</v>
      </c>
    </row>
    <row r="23" spans="1:16" x14ac:dyDescent="0.25">
      <c r="A23" s="8">
        <v>45988</v>
      </c>
      <c r="B23" s="9" t="s">
        <v>9</v>
      </c>
      <c r="C23" s="9" t="s">
        <v>20</v>
      </c>
      <c r="D23" s="9" t="s">
        <v>65</v>
      </c>
      <c r="E23" s="9" t="s">
        <v>37</v>
      </c>
      <c r="F23" s="9" t="s">
        <v>65</v>
      </c>
      <c r="G23" s="9" t="s">
        <v>95</v>
      </c>
      <c r="H23" s="9" t="s">
        <v>96</v>
      </c>
      <c r="I23" s="9" t="s">
        <v>65</v>
      </c>
      <c r="J23" s="10">
        <v>25</v>
      </c>
      <c r="K23" s="10">
        <f t="shared" si="0"/>
        <v>-25</v>
      </c>
      <c r="L23" s="9">
        <f t="shared" si="1"/>
        <v>11</v>
      </c>
      <c r="M23" s="9">
        <f t="shared" si="2"/>
        <v>2025</v>
      </c>
      <c r="N23" s="9">
        <f t="shared" si="3"/>
        <v>18</v>
      </c>
      <c r="O23" s="10">
        <f>IF($B23="","",VLOOKUP($B23,Listas!$A$6:$C$200,3,FALSE)+SUMIFS($K$6:$K$200,$B$6:$B$200,$B23,$N$6:$N$200,"&lt;="&amp;$N23))</f>
        <v>2393.46</v>
      </c>
      <c r="P23" s="9" t="str">
        <f t="shared" si="4"/>
        <v>yyyy-11</v>
      </c>
    </row>
    <row r="24" spans="1:16" x14ac:dyDescent="0.25">
      <c r="A24" s="8">
        <v>45991</v>
      </c>
      <c r="B24" s="9" t="s">
        <v>11</v>
      </c>
      <c r="C24" s="9" t="s">
        <v>64</v>
      </c>
      <c r="D24" s="9" t="s">
        <v>65</v>
      </c>
      <c r="E24" s="9" t="s">
        <v>97</v>
      </c>
      <c r="F24" s="9" t="s">
        <v>65</v>
      </c>
      <c r="G24" s="9" t="s">
        <v>98</v>
      </c>
      <c r="H24" s="9" t="s">
        <v>68</v>
      </c>
      <c r="I24" s="9" t="s">
        <v>65</v>
      </c>
      <c r="J24" s="10">
        <v>6.1</v>
      </c>
      <c r="K24" s="10">
        <f t="shared" si="0"/>
        <v>6.1</v>
      </c>
      <c r="L24" s="9">
        <f t="shared" si="1"/>
        <v>11</v>
      </c>
      <c r="M24" s="9">
        <f t="shared" si="2"/>
        <v>2025</v>
      </c>
      <c r="N24" s="9">
        <f t="shared" si="3"/>
        <v>19</v>
      </c>
      <c r="O24" s="10">
        <f>IF($B24="","",VLOOKUP($B24,Listas!$A$6:$C$200,3,FALSE)+SUMIFS($K$6:$K$200,$B$6:$B$200,$B24,$N$6:$N$200,"&lt;="&amp;$N24))</f>
        <v>6456.1</v>
      </c>
      <c r="P24" s="9" t="str">
        <f t="shared" si="4"/>
        <v>yyyy-11</v>
      </c>
    </row>
    <row r="25" spans="1:16" x14ac:dyDescent="0.25">
      <c r="A25" s="8">
        <v>45992</v>
      </c>
      <c r="B25" s="9" t="s">
        <v>9</v>
      </c>
      <c r="C25" s="9" t="s">
        <v>64</v>
      </c>
      <c r="D25" s="9" t="s">
        <v>65</v>
      </c>
      <c r="E25" s="9" t="s">
        <v>66</v>
      </c>
      <c r="F25" s="9" t="s">
        <v>65</v>
      </c>
      <c r="G25" s="9" t="s">
        <v>99</v>
      </c>
      <c r="H25" s="9" t="s">
        <v>68</v>
      </c>
      <c r="I25" s="9" t="s">
        <v>69</v>
      </c>
      <c r="J25" s="10">
        <v>1650</v>
      </c>
      <c r="K25" s="10">
        <f t="shared" si="0"/>
        <v>1650</v>
      </c>
      <c r="L25" s="9">
        <f t="shared" si="1"/>
        <v>12</v>
      </c>
      <c r="M25" s="9">
        <f t="shared" si="2"/>
        <v>2025</v>
      </c>
      <c r="N25" s="9">
        <f t="shared" si="3"/>
        <v>20</v>
      </c>
      <c r="O25" s="10">
        <f>IF($B25="","",VLOOKUP($B25,Listas!$A$6:$C$200,3,FALSE)+SUMIFS($K$6:$K$200,$B$6:$B$200,$B25,$N$6:$N$200,"&lt;="&amp;$N25))</f>
        <v>4043.46</v>
      </c>
      <c r="P25" s="9" t="str">
        <f t="shared" si="4"/>
        <v>yyyy-12</v>
      </c>
    </row>
    <row r="26" spans="1:16" x14ac:dyDescent="0.25">
      <c r="A26" s="8">
        <v>45993</v>
      </c>
      <c r="B26" s="9" t="s">
        <v>13</v>
      </c>
      <c r="C26" s="9" t="s">
        <v>20</v>
      </c>
      <c r="D26" s="9" t="s">
        <v>65</v>
      </c>
      <c r="E26" s="9" t="s">
        <v>23</v>
      </c>
      <c r="F26" s="9" t="s">
        <v>70</v>
      </c>
      <c r="G26" s="9" t="s">
        <v>71</v>
      </c>
      <c r="H26" s="9" t="s">
        <v>72</v>
      </c>
      <c r="I26" s="9" t="s">
        <v>65</v>
      </c>
      <c r="J26" s="10">
        <v>63.2</v>
      </c>
      <c r="K26" s="10">
        <f t="shared" si="0"/>
        <v>-63.2</v>
      </c>
      <c r="L26" s="9">
        <f t="shared" si="1"/>
        <v>12</v>
      </c>
      <c r="M26" s="9">
        <f t="shared" si="2"/>
        <v>2025</v>
      </c>
      <c r="N26" s="9">
        <f t="shared" si="3"/>
        <v>21</v>
      </c>
      <c r="O26" s="10">
        <f>IF($B26="","",VLOOKUP($B26,Listas!$A$6:$C$200,3,FALSE)+SUMIFS($K$6:$K$200,$B$6:$B$200,$B26,$N$6:$N$200,"&lt;="&amp;$N26))</f>
        <v>-305.39</v>
      </c>
      <c r="P26" s="9" t="str">
        <f t="shared" si="4"/>
        <v>yyyy-12</v>
      </c>
    </row>
    <row r="27" spans="1:16" x14ac:dyDescent="0.25">
      <c r="A27" s="8">
        <v>45994</v>
      </c>
      <c r="B27" s="9" t="s">
        <v>9</v>
      </c>
      <c r="C27" s="9" t="s">
        <v>20</v>
      </c>
      <c r="D27" s="9" t="s">
        <v>65</v>
      </c>
      <c r="E27" s="9" t="s">
        <v>21</v>
      </c>
      <c r="F27" s="9" t="s">
        <v>66</v>
      </c>
      <c r="G27" s="9" t="s">
        <v>100</v>
      </c>
      <c r="H27" s="9" t="s">
        <v>74</v>
      </c>
      <c r="I27" s="9" t="s">
        <v>65</v>
      </c>
      <c r="J27" s="10">
        <v>52.4</v>
      </c>
      <c r="K27" s="10">
        <f t="shared" si="0"/>
        <v>-52.4</v>
      </c>
      <c r="L27" s="9">
        <f t="shared" si="1"/>
        <v>12</v>
      </c>
      <c r="M27" s="9">
        <f t="shared" si="2"/>
        <v>2025</v>
      </c>
      <c r="N27" s="9">
        <f t="shared" si="3"/>
        <v>22</v>
      </c>
      <c r="O27" s="10">
        <f>IF($B27="","",VLOOKUP($B27,Listas!$A$6:$C$200,3,FALSE)+SUMIFS($K$6:$K$200,$B$6:$B$200,$B27,$N$6:$N$200,"&lt;="&amp;$N27))</f>
        <v>3991.06</v>
      </c>
      <c r="P27" s="9" t="str">
        <f t="shared" si="4"/>
        <v>yyyy-12</v>
      </c>
    </row>
    <row r="28" spans="1:16" x14ac:dyDescent="0.25">
      <c r="A28" s="8">
        <v>45996</v>
      </c>
      <c r="B28" s="9" t="s">
        <v>9</v>
      </c>
      <c r="C28" s="9" t="s">
        <v>20</v>
      </c>
      <c r="D28" s="9" t="s">
        <v>65</v>
      </c>
      <c r="E28" s="9" t="s">
        <v>24</v>
      </c>
      <c r="F28" s="9" t="s">
        <v>65</v>
      </c>
      <c r="G28" s="9" t="s">
        <v>101</v>
      </c>
      <c r="H28" s="9" t="s">
        <v>78</v>
      </c>
      <c r="I28" s="9" t="s">
        <v>65</v>
      </c>
      <c r="J28" s="10">
        <v>35</v>
      </c>
      <c r="K28" s="10">
        <f t="shared" si="0"/>
        <v>-35</v>
      </c>
      <c r="L28" s="9">
        <f t="shared" si="1"/>
        <v>12</v>
      </c>
      <c r="M28" s="9">
        <f t="shared" si="2"/>
        <v>2025</v>
      </c>
      <c r="N28" s="9">
        <f t="shared" si="3"/>
        <v>23</v>
      </c>
      <c r="O28" s="10">
        <f>IF($B28="","",VLOOKUP($B28,Listas!$A$6:$C$200,3,FALSE)+SUMIFS($K$6:$K$200,$B$6:$B$200,$B28,$N$6:$N$200,"&lt;="&amp;$N28))</f>
        <v>3956.06</v>
      </c>
      <c r="P28" s="9" t="str">
        <f t="shared" si="4"/>
        <v>yyyy-12</v>
      </c>
    </row>
    <row r="29" spans="1:16" x14ac:dyDescent="0.25">
      <c r="A29" s="8">
        <v>45997</v>
      </c>
      <c r="B29" s="9" t="s">
        <v>9</v>
      </c>
      <c r="C29" s="9" t="s">
        <v>20</v>
      </c>
      <c r="D29" s="9" t="s">
        <v>65</v>
      </c>
      <c r="E29" s="9" t="s">
        <v>35</v>
      </c>
      <c r="F29" s="9" t="s">
        <v>65</v>
      </c>
      <c r="G29" s="9" t="s">
        <v>102</v>
      </c>
      <c r="H29" s="9" t="s">
        <v>78</v>
      </c>
      <c r="I29" s="9" t="s">
        <v>65</v>
      </c>
      <c r="J29" s="10">
        <v>2.99</v>
      </c>
      <c r="K29" s="10">
        <f t="shared" si="0"/>
        <v>-2.99</v>
      </c>
      <c r="L29" s="9">
        <f t="shared" si="1"/>
        <v>12</v>
      </c>
      <c r="M29" s="9">
        <f t="shared" si="2"/>
        <v>2025</v>
      </c>
      <c r="N29" s="9">
        <f t="shared" si="3"/>
        <v>24</v>
      </c>
      <c r="O29" s="10">
        <f>IF($B29="","",VLOOKUP($B29,Listas!$A$6:$C$200,3,FALSE)+SUMIFS($K$6:$K$200,$B$6:$B$200,$B29,$N$6:$N$200,"&lt;="&amp;$N29))</f>
        <v>3953.07</v>
      </c>
      <c r="P29" s="9" t="str">
        <f t="shared" si="4"/>
        <v>yyyy-12</v>
      </c>
    </row>
    <row r="30" spans="1:16" x14ac:dyDescent="0.25">
      <c r="A30" s="8">
        <v>45999</v>
      </c>
      <c r="B30" s="9" t="s">
        <v>9</v>
      </c>
      <c r="C30" s="9" t="s">
        <v>68</v>
      </c>
      <c r="D30" s="9" t="s">
        <v>81</v>
      </c>
      <c r="E30" s="9" t="s">
        <v>65</v>
      </c>
      <c r="F30" s="9" t="s">
        <v>65</v>
      </c>
      <c r="G30" s="9" t="s">
        <v>82</v>
      </c>
      <c r="H30" s="9" t="s">
        <v>68</v>
      </c>
      <c r="I30" s="9" t="s">
        <v>65</v>
      </c>
      <c r="J30" s="10">
        <v>300</v>
      </c>
      <c r="K30" s="10">
        <f t="shared" si="0"/>
        <v>-300</v>
      </c>
      <c r="L30" s="9">
        <f t="shared" si="1"/>
        <v>12</v>
      </c>
      <c r="M30" s="9">
        <f t="shared" si="2"/>
        <v>2025</v>
      </c>
      <c r="N30" s="9">
        <f t="shared" si="3"/>
        <v>25</v>
      </c>
      <c r="O30" s="10">
        <f>IF($B30="","",VLOOKUP($B30,Listas!$A$6:$C$200,3,FALSE)+SUMIFS($K$6:$K$200,$B$6:$B$200,$B30,$N$6:$N$200,"&lt;="&amp;$N30))</f>
        <v>3653.07</v>
      </c>
      <c r="P30" s="9" t="str">
        <f t="shared" si="4"/>
        <v>yyyy-12</v>
      </c>
    </row>
    <row r="31" spans="1:16" x14ac:dyDescent="0.25">
      <c r="A31" s="8">
        <v>45999</v>
      </c>
      <c r="B31" s="9" t="s">
        <v>11</v>
      </c>
      <c r="C31" s="9" t="s">
        <v>68</v>
      </c>
      <c r="D31" s="9" t="s">
        <v>83</v>
      </c>
      <c r="E31" s="9" t="s">
        <v>65</v>
      </c>
      <c r="F31" s="9" t="s">
        <v>65</v>
      </c>
      <c r="G31" s="9" t="s">
        <v>84</v>
      </c>
      <c r="H31" s="9" t="s">
        <v>68</v>
      </c>
      <c r="I31" s="9" t="s">
        <v>65</v>
      </c>
      <c r="J31" s="10">
        <v>300</v>
      </c>
      <c r="K31" s="10">
        <f t="shared" si="0"/>
        <v>300</v>
      </c>
      <c r="L31" s="9">
        <f t="shared" si="1"/>
        <v>12</v>
      </c>
      <c r="M31" s="9">
        <f t="shared" si="2"/>
        <v>2025</v>
      </c>
      <c r="N31" s="9">
        <f t="shared" si="3"/>
        <v>26</v>
      </c>
      <c r="O31" s="10">
        <f>IF($B31="","",VLOOKUP($B31,Listas!$A$6:$C$200,3,FALSE)+SUMIFS($K$6:$K$200,$B$6:$B$200,$B31,$N$6:$N$200,"&lt;="&amp;$N31))</f>
        <v>6756.1</v>
      </c>
      <c r="P31" s="9" t="str">
        <f t="shared" si="4"/>
        <v>yyyy-12</v>
      </c>
    </row>
    <row r="32" spans="1:16" x14ac:dyDescent="0.25">
      <c r="A32" s="8">
        <v>46001</v>
      </c>
      <c r="B32" s="9" t="s">
        <v>13</v>
      </c>
      <c r="C32" s="9" t="s">
        <v>20</v>
      </c>
      <c r="D32" s="9" t="s">
        <v>65</v>
      </c>
      <c r="E32" s="9" t="s">
        <v>27</v>
      </c>
      <c r="F32" s="9" t="s">
        <v>65</v>
      </c>
      <c r="G32" s="9" t="s">
        <v>103</v>
      </c>
      <c r="H32" s="9" t="s">
        <v>72</v>
      </c>
      <c r="I32" s="9" t="s">
        <v>65</v>
      </c>
      <c r="J32" s="10">
        <v>28.75</v>
      </c>
      <c r="K32" s="10">
        <f t="shared" si="0"/>
        <v>-28.75</v>
      </c>
      <c r="L32" s="9">
        <f t="shared" si="1"/>
        <v>12</v>
      </c>
      <c r="M32" s="9">
        <f t="shared" si="2"/>
        <v>2025</v>
      </c>
      <c r="N32" s="9">
        <f t="shared" si="3"/>
        <v>27</v>
      </c>
      <c r="O32" s="10">
        <f>IF($B32="","",VLOOKUP($B32,Listas!$A$6:$C$200,3,FALSE)+SUMIFS($K$6:$K$200,$B$6:$B$200,$B32,$N$6:$N$200,"&lt;="&amp;$N32))</f>
        <v>-334.14</v>
      </c>
      <c r="P32" s="9" t="str">
        <f t="shared" si="4"/>
        <v>yyyy-12</v>
      </c>
    </row>
    <row r="33" spans="1:16" x14ac:dyDescent="0.25">
      <c r="A33" s="8">
        <v>46003</v>
      </c>
      <c r="B33" s="9" t="s">
        <v>9</v>
      </c>
      <c r="C33" s="9" t="s">
        <v>20</v>
      </c>
      <c r="D33" s="9" t="s">
        <v>65</v>
      </c>
      <c r="E33" s="9" t="s">
        <v>31</v>
      </c>
      <c r="F33" s="9" t="s">
        <v>65</v>
      </c>
      <c r="G33" s="9" t="s">
        <v>104</v>
      </c>
      <c r="H33" s="9" t="s">
        <v>78</v>
      </c>
      <c r="I33" s="9" t="s">
        <v>65</v>
      </c>
      <c r="J33" s="10">
        <v>19.899999999999999</v>
      </c>
      <c r="K33" s="10">
        <f t="shared" si="0"/>
        <v>-19.899999999999999</v>
      </c>
      <c r="L33" s="9">
        <f t="shared" si="1"/>
        <v>12</v>
      </c>
      <c r="M33" s="9">
        <f t="shared" si="2"/>
        <v>2025</v>
      </c>
      <c r="N33" s="9">
        <f t="shared" si="3"/>
        <v>28</v>
      </c>
      <c r="O33" s="10">
        <f>IF($B33="","",VLOOKUP($B33,Listas!$A$6:$C$200,3,FALSE)+SUMIFS($K$6:$K$200,$B$6:$B$200,$B33,$N$6:$N$200,"&lt;="&amp;$N33))</f>
        <v>3633.17</v>
      </c>
      <c r="P33" s="9" t="str">
        <f t="shared" si="4"/>
        <v>yyyy-12</v>
      </c>
    </row>
    <row r="34" spans="1:16" x14ac:dyDescent="0.25">
      <c r="A34" s="8">
        <v>46006</v>
      </c>
      <c r="B34" s="9" t="s">
        <v>9</v>
      </c>
      <c r="C34" s="9" t="s">
        <v>20</v>
      </c>
      <c r="D34" s="9" t="s">
        <v>65</v>
      </c>
      <c r="E34" s="9" t="s">
        <v>39</v>
      </c>
      <c r="F34" s="9" t="s">
        <v>65</v>
      </c>
      <c r="G34" s="9" t="s">
        <v>90</v>
      </c>
      <c r="H34" s="9" t="s">
        <v>74</v>
      </c>
      <c r="I34" s="9" t="s">
        <v>65</v>
      </c>
      <c r="J34" s="10">
        <v>80</v>
      </c>
      <c r="K34" s="10">
        <f t="shared" si="0"/>
        <v>-80</v>
      </c>
      <c r="L34" s="9">
        <f t="shared" si="1"/>
        <v>12</v>
      </c>
      <c r="M34" s="9">
        <f t="shared" si="2"/>
        <v>2025</v>
      </c>
      <c r="N34" s="9">
        <f t="shared" si="3"/>
        <v>29</v>
      </c>
      <c r="O34" s="10">
        <f>IF($B34="","",VLOOKUP($B34,Listas!$A$6:$C$200,3,FALSE)+SUMIFS($K$6:$K$200,$B$6:$B$200,$B34,$N$6:$N$200,"&lt;="&amp;$N34))</f>
        <v>3553.17</v>
      </c>
      <c r="P34" s="9" t="str">
        <f t="shared" si="4"/>
        <v>yyyy-12</v>
      </c>
    </row>
    <row r="35" spans="1:16" x14ac:dyDescent="0.25">
      <c r="A35" s="8">
        <v>46007</v>
      </c>
      <c r="B35" s="9" t="s">
        <v>9</v>
      </c>
      <c r="C35" s="9" t="s">
        <v>64</v>
      </c>
      <c r="D35" s="9" t="s">
        <v>65</v>
      </c>
      <c r="E35" s="9" t="s">
        <v>105</v>
      </c>
      <c r="F35" s="9" t="s">
        <v>65</v>
      </c>
      <c r="G35" s="9" t="s">
        <v>106</v>
      </c>
      <c r="H35" s="9" t="s">
        <v>68</v>
      </c>
      <c r="I35" s="9" t="s">
        <v>65</v>
      </c>
      <c r="J35" s="10">
        <v>14.25</v>
      </c>
      <c r="K35" s="10">
        <f t="shared" si="0"/>
        <v>14.25</v>
      </c>
      <c r="L35" s="9">
        <f t="shared" si="1"/>
        <v>12</v>
      </c>
      <c r="M35" s="9">
        <f t="shared" si="2"/>
        <v>2025</v>
      </c>
      <c r="N35" s="9">
        <f t="shared" si="3"/>
        <v>30</v>
      </c>
      <c r="O35" s="10">
        <f>IF($B35="","",VLOOKUP($B35,Listas!$A$6:$C$200,3,FALSE)+SUMIFS($K$6:$K$200,$B$6:$B$200,$B35,$N$6:$N$200,"&lt;="&amp;$N35))</f>
        <v>3567.42</v>
      </c>
      <c r="P35" s="9" t="str">
        <f t="shared" si="4"/>
        <v>yyyy-12</v>
      </c>
    </row>
    <row r="36" spans="1:16" x14ac:dyDescent="0.25">
      <c r="A36" s="8">
        <v>46009</v>
      </c>
      <c r="B36" s="9" t="s">
        <v>13</v>
      </c>
      <c r="C36" s="9" t="s">
        <v>20</v>
      </c>
      <c r="D36" s="9" t="s">
        <v>65</v>
      </c>
      <c r="E36" s="9" t="s">
        <v>41</v>
      </c>
      <c r="F36" s="9" t="s">
        <v>65</v>
      </c>
      <c r="G36" s="9" t="s">
        <v>107</v>
      </c>
      <c r="H36" s="9" t="s">
        <v>72</v>
      </c>
      <c r="I36" s="9" t="s">
        <v>65</v>
      </c>
      <c r="J36" s="10">
        <v>17.600000000000001</v>
      </c>
      <c r="K36" s="10">
        <f t="shared" si="0"/>
        <v>-17.600000000000001</v>
      </c>
      <c r="L36" s="9">
        <f t="shared" si="1"/>
        <v>12</v>
      </c>
      <c r="M36" s="9">
        <f t="shared" si="2"/>
        <v>2025</v>
      </c>
      <c r="N36" s="9">
        <f t="shared" si="3"/>
        <v>31</v>
      </c>
      <c r="O36" s="10">
        <f>IF($B36="","",VLOOKUP($B36,Listas!$A$6:$C$200,3,FALSE)+SUMIFS($K$6:$K$200,$B$6:$B$200,$B36,$N$6:$N$200,"&lt;="&amp;$N36))</f>
        <v>-351.74</v>
      </c>
      <c r="P36" s="9" t="str">
        <f t="shared" si="4"/>
        <v>yyyy-12</v>
      </c>
    </row>
    <row r="37" spans="1:16" x14ac:dyDescent="0.25">
      <c r="A37" s="8">
        <v>46011</v>
      </c>
      <c r="B37" s="9" t="s">
        <v>9</v>
      </c>
      <c r="C37" s="9" t="s">
        <v>68</v>
      </c>
      <c r="D37" s="9" t="s">
        <v>81</v>
      </c>
      <c r="E37" s="9" t="s">
        <v>65</v>
      </c>
      <c r="F37" s="9" t="s">
        <v>65</v>
      </c>
      <c r="G37" s="9" t="s">
        <v>92</v>
      </c>
      <c r="H37" s="9" t="s">
        <v>68</v>
      </c>
      <c r="I37" s="9" t="s">
        <v>65</v>
      </c>
      <c r="J37" s="10">
        <v>210</v>
      </c>
      <c r="K37" s="10">
        <f t="shared" si="0"/>
        <v>-210</v>
      </c>
      <c r="L37" s="9">
        <f t="shared" si="1"/>
        <v>12</v>
      </c>
      <c r="M37" s="9">
        <f t="shared" si="2"/>
        <v>2025</v>
      </c>
      <c r="N37" s="9">
        <f t="shared" si="3"/>
        <v>32</v>
      </c>
      <c r="O37" s="10">
        <f>IF($B37="","",VLOOKUP($B37,Listas!$A$6:$C$200,3,FALSE)+SUMIFS($K$6:$K$200,$B$6:$B$200,$B37,$N$6:$N$200,"&lt;="&amp;$N37))</f>
        <v>3357.42</v>
      </c>
      <c r="P37" s="9" t="str">
        <f t="shared" si="4"/>
        <v>yyyy-12</v>
      </c>
    </row>
    <row r="38" spans="1:16" x14ac:dyDescent="0.25">
      <c r="A38" s="8">
        <v>46011</v>
      </c>
      <c r="B38" s="9" t="s">
        <v>13</v>
      </c>
      <c r="C38" s="9" t="s">
        <v>68</v>
      </c>
      <c r="D38" s="9" t="s">
        <v>83</v>
      </c>
      <c r="E38" s="9" t="s">
        <v>65</v>
      </c>
      <c r="F38" s="9" t="s">
        <v>65</v>
      </c>
      <c r="G38" s="9" t="s">
        <v>93</v>
      </c>
      <c r="H38" s="9" t="s">
        <v>68</v>
      </c>
      <c r="I38" s="9" t="s">
        <v>65</v>
      </c>
      <c r="J38" s="10">
        <v>210</v>
      </c>
      <c r="K38" s="10">
        <f t="shared" ref="K38:K69" si="5">IF($C38="Ingreso",$J38,IF($C38="Gasto",- $J38,IF($C38="Transferencia",IF($D38="Entrada",$J38,IF($D38="Salida",- $J38,0)),0)))</f>
        <v>210</v>
      </c>
      <c r="L38" s="9">
        <f t="shared" ref="L38:L69" si="6">IFERROR(MONTH($A38),"")</f>
        <v>12</v>
      </c>
      <c r="M38" s="9">
        <f t="shared" ref="M38:M69" si="7">IFERROR(YEAR($A38),"")</f>
        <v>2025</v>
      </c>
      <c r="N38" s="9">
        <f t="shared" ref="N38:N69" si="8">ROW()-5</f>
        <v>33</v>
      </c>
      <c r="O38" s="10">
        <f>IF($B38="","",VLOOKUP($B38,Listas!$A$6:$C$200,3,FALSE)+SUMIFS($K$6:$K$200,$B$6:$B$200,$B38,$N$6:$N$200,"&lt;="&amp;$N38))</f>
        <v>-141.74</v>
      </c>
      <c r="P38" s="9" t="str">
        <f t="shared" ref="P38:P69" si="9">IF($A38="","",TEXT($A38,"yyyy-mm"))</f>
        <v>yyyy-12</v>
      </c>
    </row>
    <row r="39" spans="1:16" x14ac:dyDescent="0.25">
      <c r="A39" s="8">
        <v>46013</v>
      </c>
      <c r="B39" s="9" t="s">
        <v>15</v>
      </c>
      <c r="C39" s="9" t="s">
        <v>20</v>
      </c>
      <c r="D39" s="9" t="s">
        <v>65</v>
      </c>
      <c r="E39" s="9" t="s">
        <v>23</v>
      </c>
      <c r="F39" s="9" t="s">
        <v>65</v>
      </c>
      <c r="G39" s="9" t="s">
        <v>108</v>
      </c>
      <c r="H39" s="9" t="s">
        <v>15</v>
      </c>
      <c r="I39" s="9" t="s">
        <v>65</v>
      </c>
      <c r="J39" s="10">
        <v>16.3</v>
      </c>
      <c r="K39" s="10">
        <f t="shared" si="5"/>
        <v>-16.3</v>
      </c>
      <c r="L39" s="9">
        <f t="shared" si="6"/>
        <v>12</v>
      </c>
      <c r="M39" s="9">
        <f t="shared" si="7"/>
        <v>2025</v>
      </c>
      <c r="N39" s="9">
        <f t="shared" si="8"/>
        <v>34</v>
      </c>
      <c r="O39" s="10">
        <f>IF($B39="","",VLOOKUP($B39,Listas!$A$6:$C$200,3,FALSE)+SUMIFS($K$6:$K$200,$B$6:$B$200,$B39,$N$6:$N$200,"&lt;="&amp;$N39))</f>
        <v>79.2</v>
      </c>
      <c r="P39" s="9" t="str">
        <f t="shared" si="9"/>
        <v>yyyy-12</v>
      </c>
    </row>
    <row r="40" spans="1:16" x14ac:dyDescent="0.25">
      <c r="A40" s="8">
        <v>46015</v>
      </c>
      <c r="B40" s="9" t="s">
        <v>9</v>
      </c>
      <c r="C40" s="9" t="s">
        <v>20</v>
      </c>
      <c r="D40" s="9" t="s">
        <v>65</v>
      </c>
      <c r="E40" s="9" t="s">
        <v>37</v>
      </c>
      <c r="F40" s="9" t="s">
        <v>65</v>
      </c>
      <c r="G40" s="9" t="s">
        <v>109</v>
      </c>
      <c r="H40" s="9" t="s">
        <v>78</v>
      </c>
      <c r="I40" s="9" t="s">
        <v>65</v>
      </c>
      <c r="J40" s="10">
        <v>60</v>
      </c>
      <c r="K40" s="10">
        <f t="shared" si="5"/>
        <v>-60</v>
      </c>
      <c r="L40" s="9">
        <f t="shared" si="6"/>
        <v>12</v>
      </c>
      <c r="M40" s="9">
        <f t="shared" si="7"/>
        <v>2025</v>
      </c>
      <c r="N40" s="9">
        <f t="shared" si="8"/>
        <v>35</v>
      </c>
      <c r="O40" s="10">
        <f>IF($B40="","",VLOOKUP($B40,Listas!$A$6:$C$200,3,FALSE)+SUMIFS($K$6:$K$200,$B$6:$B$200,$B40,$N$6:$N$200,"&lt;="&amp;$N40))</f>
        <v>3297.42</v>
      </c>
      <c r="P40" s="9" t="str">
        <f t="shared" si="9"/>
        <v>yyyy-12</v>
      </c>
    </row>
    <row r="41" spans="1:16" x14ac:dyDescent="0.25">
      <c r="A41" s="8">
        <v>46019</v>
      </c>
      <c r="B41" s="9" t="s">
        <v>11</v>
      </c>
      <c r="C41" s="9" t="s">
        <v>64</v>
      </c>
      <c r="D41" s="9" t="s">
        <v>65</v>
      </c>
      <c r="E41" s="9" t="s">
        <v>97</v>
      </c>
      <c r="F41" s="9" t="s">
        <v>65</v>
      </c>
      <c r="G41" s="9" t="s">
        <v>98</v>
      </c>
      <c r="H41" s="9" t="s">
        <v>68</v>
      </c>
      <c r="I41" s="9" t="s">
        <v>65</v>
      </c>
      <c r="J41" s="10">
        <v>6.35</v>
      </c>
      <c r="K41" s="10">
        <f t="shared" si="5"/>
        <v>6.35</v>
      </c>
      <c r="L41" s="9">
        <f t="shared" si="6"/>
        <v>12</v>
      </c>
      <c r="M41" s="9">
        <f t="shared" si="7"/>
        <v>2025</v>
      </c>
      <c r="N41" s="9">
        <f t="shared" si="8"/>
        <v>36</v>
      </c>
      <c r="O41" s="10">
        <f>IF($B41="","",VLOOKUP($B41,Listas!$A$6:$C$200,3,FALSE)+SUMIFS($K$6:$K$200,$B$6:$B$200,$B41,$N$6:$N$200,"&lt;="&amp;$N41))</f>
        <v>6762.45</v>
      </c>
      <c r="P41" s="9" t="str">
        <f t="shared" si="9"/>
        <v>yyyy-12</v>
      </c>
    </row>
    <row r="42" spans="1:16" x14ac:dyDescent="0.25">
      <c r="A42" s="8">
        <v>46024</v>
      </c>
      <c r="B42" s="9" t="s">
        <v>9</v>
      </c>
      <c r="C42" s="9" t="s">
        <v>64</v>
      </c>
      <c r="D42" s="9" t="s">
        <v>65</v>
      </c>
      <c r="E42" s="9" t="s">
        <v>66</v>
      </c>
      <c r="F42" s="9" t="s">
        <v>65</v>
      </c>
      <c r="G42" s="9" t="s">
        <v>110</v>
      </c>
      <c r="H42" s="9" t="s">
        <v>68</v>
      </c>
      <c r="I42" s="9" t="s">
        <v>69</v>
      </c>
      <c r="J42" s="10">
        <v>980</v>
      </c>
      <c r="K42" s="10">
        <f t="shared" si="5"/>
        <v>980</v>
      </c>
      <c r="L42" s="9">
        <f t="shared" si="6"/>
        <v>1</v>
      </c>
      <c r="M42" s="9">
        <f t="shared" si="7"/>
        <v>2026</v>
      </c>
      <c r="N42" s="9">
        <f t="shared" si="8"/>
        <v>37</v>
      </c>
      <c r="O42" s="10">
        <f>IF($B42="","",VLOOKUP($B42,Listas!$A$6:$C$200,3,FALSE)+SUMIFS($K$6:$K$200,$B$6:$B$200,$B42,$N$6:$N$200,"&lt;="&amp;$N42))</f>
        <v>4277.42</v>
      </c>
      <c r="P42" s="9" t="str">
        <f t="shared" si="9"/>
        <v>yyyy-01</v>
      </c>
    </row>
    <row r="43" spans="1:16" x14ac:dyDescent="0.25">
      <c r="A43" s="8">
        <v>46025</v>
      </c>
      <c r="B43" s="9" t="s">
        <v>9</v>
      </c>
      <c r="C43" s="9" t="s">
        <v>64</v>
      </c>
      <c r="D43" s="9" t="s">
        <v>65</v>
      </c>
      <c r="E43" s="9" t="s">
        <v>111</v>
      </c>
      <c r="F43" s="9" t="s">
        <v>65</v>
      </c>
      <c r="G43" s="9" t="s">
        <v>112</v>
      </c>
      <c r="H43" s="9" t="s">
        <v>96</v>
      </c>
      <c r="I43" s="9" t="s">
        <v>65</v>
      </c>
      <c r="J43" s="10">
        <v>75</v>
      </c>
      <c r="K43" s="10">
        <f t="shared" si="5"/>
        <v>75</v>
      </c>
      <c r="L43" s="9">
        <f t="shared" si="6"/>
        <v>1</v>
      </c>
      <c r="M43" s="9">
        <f t="shared" si="7"/>
        <v>2026</v>
      </c>
      <c r="N43" s="9">
        <f t="shared" si="8"/>
        <v>38</v>
      </c>
      <c r="O43" s="10">
        <f>IF($B43="","",VLOOKUP($B43,Listas!$A$6:$C$200,3,FALSE)+SUMIFS($K$6:$K$200,$B$6:$B$200,$B43,$N$6:$N$200,"&lt;="&amp;$N43))</f>
        <v>4352.42</v>
      </c>
      <c r="P43" s="9" t="str">
        <f t="shared" si="9"/>
        <v>yyyy-01</v>
      </c>
    </row>
    <row r="44" spans="1:16" x14ac:dyDescent="0.25">
      <c r="A44" s="8">
        <v>46026</v>
      </c>
      <c r="B44" s="9" t="s">
        <v>13</v>
      </c>
      <c r="C44" s="9" t="s">
        <v>20</v>
      </c>
      <c r="D44" s="9" t="s">
        <v>65</v>
      </c>
      <c r="E44" s="9" t="s">
        <v>23</v>
      </c>
      <c r="F44" s="9" t="s">
        <v>70</v>
      </c>
      <c r="G44" s="9" t="s">
        <v>71</v>
      </c>
      <c r="H44" s="9" t="s">
        <v>72</v>
      </c>
      <c r="I44" s="9" t="s">
        <v>65</v>
      </c>
      <c r="J44" s="10">
        <v>59.1</v>
      </c>
      <c r="K44" s="10">
        <f t="shared" si="5"/>
        <v>-59.1</v>
      </c>
      <c r="L44" s="9">
        <f t="shared" si="6"/>
        <v>1</v>
      </c>
      <c r="M44" s="9">
        <f t="shared" si="7"/>
        <v>2026</v>
      </c>
      <c r="N44" s="9">
        <f t="shared" si="8"/>
        <v>39</v>
      </c>
      <c r="O44" s="10">
        <f>IF($B44="","",VLOOKUP($B44,Listas!$A$6:$C$200,3,FALSE)+SUMIFS($K$6:$K$200,$B$6:$B$200,$B44,$N$6:$N$200,"&lt;="&amp;$N44))</f>
        <v>-200.84</v>
      </c>
      <c r="P44" s="9" t="str">
        <f t="shared" si="9"/>
        <v>yyyy-01</v>
      </c>
    </row>
    <row r="45" spans="1:16" x14ac:dyDescent="0.25">
      <c r="A45" s="8">
        <v>46027</v>
      </c>
      <c r="B45" s="9" t="s">
        <v>9</v>
      </c>
      <c r="C45" s="9" t="s">
        <v>20</v>
      </c>
      <c r="D45" s="9" t="s">
        <v>65</v>
      </c>
      <c r="E45" s="9" t="s">
        <v>21</v>
      </c>
      <c r="F45" s="9" t="s">
        <v>66</v>
      </c>
      <c r="G45" s="9" t="s">
        <v>113</v>
      </c>
      <c r="H45" s="9" t="s">
        <v>74</v>
      </c>
      <c r="I45" s="9" t="s">
        <v>65</v>
      </c>
      <c r="J45" s="10">
        <v>18.899999999999999</v>
      </c>
      <c r="K45" s="10">
        <f t="shared" si="5"/>
        <v>-18.899999999999999</v>
      </c>
      <c r="L45" s="9">
        <f t="shared" si="6"/>
        <v>1</v>
      </c>
      <c r="M45" s="9">
        <f t="shared" si="7"/>
        <v>2026</v>
      </c>
      <c r="N45" s="9">
        <f t="shared" si="8"/>
        <v>40</v>
      </c>
      <c r="O45" s="10">
        <f>IF($B45="","",VLOOKUP($B45,Listas!$A$6:$C$200,3,FALSE)+SUMIFS($K$6:$K$200,$B$6:$B$200,$B45,$N$6:$N$200,"&lt;="&amp;$N45))</f>
        <v>4333.5200000000004</v>
      </c>
      <c r="P45" s="9" t="str">
        <f t="shared" si="9"/>
        <v>yyyy-01</v>
      </c>
    </row>
    <row r="46" spans="1:16" x14ac:dyDescent="0.25">
      <c r="A46" s="8">
        <v>46029</v>
      </c>
      <c r="B46" s="9" t="s">
        <v>9</v>
      </c>
      <c r="C46" s="9" t="s">
        <v>20</v>
      </c>
      <c r="D46" s="9" t="s">
        <v>65</v>
      </c>
      <c r="E46" s="9" t="s">
        <v>24</v>
      </c>
      <c r="F46" s="9" t="s">
        <v>65</v>
      </c>
      <c r="G46" s="9" t="s">
        <v>114</v>
      </c>
      <c r="H46" s="9" t="s">
        <v>78</v>
      </c>
      <c r="I46" s="9" t="s">
        <v>65</v>
      </c>
      <c r="J46" s="10">
        <v>28</v>
      </c>
      <c r="K46" s="10">
        <f t="shared" si="5"/>
        <v>-28</v>
      </c>
      <c r="L46" s="9">
        <f t="shared" si="6"/>
        <v>1</v>
      </c>
      <c r="M46" s="9">
        <f t="shared" si="7"/>
        <v>2026</v>
      </c>
      <c r="N46" s="9">
        <f t="shared" si="8"/>
        <v>41</v>
      </c>
      <c r="O46" s="10">
        <f>IF($B46="","",VLOOKUP($B46,Listas!$A$6:$C$200,3,FALSE)+SUMIFS($K$6:$K$200,$B$6:$B$200,$B46,$N$6:$N$200,"&lt;="&amp;$N46))</f>
        <v>4305.5200000000004</v>
      </c>
      <c r="P46" s="9" t="str">
        <f t="shared" si="9"/>
        <v>yyyy-01</v>
      </c>
    </row>
    <row r="47" spans="1:16" x14ac:dyDescent="0.25">
      <c r="A47" s="8">
        <v>46030</v>
      </c>
      <c r="B47" s="9" t="s">
        <v>9</v>
      </c>
      <c r="C47" s="9" t="s">
        <v>68</v>
      </c>
      <c r="D47" s="9" t="s">
        <v>81</v>
      </c>
      <c r="E47" s="9" t="s">
        <v>65</v>
      </c>
      <c r="F47" s="9" t="s">
        <v>65</v>
      </c>
      <c r="G47" s="9" t="s">
        <v>82</v>
      </c>
      <c r="H47" s="9" t="s">
        <v>68</v>
      </c>
      <c r="I47" s="9" t="s">
        <v>65</v>
      </c>
      <c r="J47" s="10">
        <v>200</v>
      </c>
      <c r="K47" s="10">
        <f t="shared" si="5"/>
        <v>-200</v>
      </c>
      <c r="L47" s="9">
        <f t="shared" si="6"/>
        <v>1</v>
      </c>
      <c r="M47" s="9">
        <f t="shared" si="7"/>
        <v>2026</v>
      </c>
      <c r="N47" s="9">
        <f t="shared" si="8"/>
        <v>42</v>
      </c>
      <c r="O47" s="10">
        <f>IF($B47="","",VLOOKUP($B47,Listas!$A$6:$C$200,3,FALSE)+SUMIFS($K$6:$K$200,$B$6:$B$200,$B47,$N$6:$N$200,"&lt;="&amp;$N47))</f>
        <v>4105.5200000000004</v>
      </c>
      <c r="P47" s="9" t="str">
        <f t="shared" si="9"/>
        <v>yyyy-01</v>
      </c>
    </row>
    <row r="48" spans="1:16" x14ac:dyDescent="0.25">
      <c r="A48" s="8">
        <v>46030</v>
      </c>
      <c r="B48" s="9" t="s">
        <v>11</v>
      </c>
      <c r="C48" s="9" t="s">
        <v>68</v>
      </c>
      <c r="D48" s="9" t="s">
        <v>83</v>
      </c>
      <c r="E48" s="9" t="s">
        <v>65</v>
      </c>
      <c r="F48" s="9" t="s">
        <v>65</v>
      </c>
      <c r="G48" s="9" t="s">
        <v>84</v>
      </c>
      <c r="H48" s="9" t="s">
        <v>68</v>
      </c>
      <c r="I48" s="9" t="s">
        <v>65</v>
      </c>
      <c r="J48" s="10">
        <v>200</v>
      </c>
      <c r="K48" s="10">
        <f t="shared" si="5"/>
        <v>200</v>
      </c>
      <c r="L48" s="9">
        <f t="shared" si="6"/>
        <v>1</v>
      </c>
      <c r="M48" s="9">
        <f t="shared" si="7"/>
        <v>2026</v>
      </c>
      <c r="N48" s="9">
        <f t="shared" si="8"/>
        <v>43</v>
      </c>
      <c r="O48" s="10">
        <f>IF($B48="","",VLOOKUP($B48,Listas!$A$6:$C$200,3,FALSE)+SUMIFS($K$6:$K$200,$B$6:$B$200,$B48,$N$6:$N$200,"&lt;="&amp;$N48))</f>
        <v>6962.45</v>
      </c>
      <c r="P48" s="9" t="str">
        <f t="shared" si="9"/>
        <v>yyyy-01</v>
      </c>
    </row>
    <row r="49" spans="1:16" x14ac:dyDescent="0.25">
      <c r="A49" s="8">
        <v>46032</v>
      </c>
      <c r="B49" s="9" t="s">
        <v>13</v>
      </c>
      <c r="C49" s="9" t="s">
        <v>20</v>
      </c>
      <c r="D49" s="9" t="s">
        <v>65</v>
      </c>
      <c r="E49" s="9" t="s">
        <v>35</v>
      </c>
      <c r="F49" s="9" t="s">
        <v>65</v>
      </c>
      <c r="G49" s="9" t="s">
        <v>115</v>
      </c>
      <c r="H49" s="9" t="s">
        <v>72</v>
      </c>
      <c r="I49" s="9" t="s">
        <v>65</v>
      </c>
      <c r="J49" s="10">
        <v>4.99</v>
      </c>
      <c r="K49" s="10">
        <f t="shared" si="5"/>
        <v>-4.99</v>
      </c>
      <c r="L49" s="9">
        <f t="shared" si="6"/>
        <v>1</v>
      </c>
      <c r="M49" s="9">
        <f t="shared" si="7"/>
        <v>2026</v>
      </c>
      <c r="N49" s="9">
        <f t="shared" si="8"/>
        <v>44</v>
      </c>
      <c r="O49" s="10">
        <f>IF($B49="","",VLOOKUP($B49,Listas!$A$6:$C$200,3,FALSE)+SUMIFS($K$6:$K$200,$B$6:$B$200,$B49,$N$6:$N$200,"&lt;="&amp;$N49))</f>
        <v>-205.82999999999998</v>
      </c>
      <c r="P49" s="9" t="str">
        <f t="shared" si="9"/>
        <v>yyyy-01</v>
      </c>
    </row>
    <row r="50" spans="1:16" x14ac:dyDescent="0.25">
      <c r="A50" s="8">
        <v>46034</v>
      </c>
      <c r="B50" s="9" t="s">
        <v>9</v>
      </c>
      <c r="C50" s="9" t="s">
        <v>20</v>
      </c>
      <c r="D50" s="9" t="s">
        <v>65</v>
      </c>
      <c r="E50" s="9" t="s">
        <v>25</v>
      </c>
      <c r="F50" s="9" t="s">
        <v>65</v>
      </c>
      <c r="G50" s="9" t="s">
        <v>116</v>
      </c>
      <c r="H50" s="9" t="s">
        <v>78</v>
      </c>
      <c r="I50" s="9" t="s">
        <v>65</v>
      </c>
      <c r="J50" s="10">
        <v>25</v>
      </c>
      <c r="K50" s="10">
        <f t="shared" si="5"/>
        <v>-25</v>
      </c>
      <c r="L50" s="9">
        <f t="shared" si="6"/>
        <v>1</v>
      </c>
      <c r="M50" s="9">
        <f t="shared" si="7"/>
        <v>2026</v>
      </c>
      <c r="N50" s="9">
        <f t="shared" si="8"/>
        <v>45</v>
      </c>
      <c r="O50" s="10">
        <f>IF($B50="","",VLOOKUP($B50,Listas!$A$6:$C$200,3,FALSE)+SUMIFS($K$6:$K$200,$B$6:$B$200,$B50,$N$6:$N$200,"&lt;="&amp;$N50))</f>
        <v>4080.52</v>
      </c>
      <c r="P50" s="9" t="str">
        <f t="shared" si="9"/>
        <v>yyyy-01</v>
      </c>
    </row>
    <row r="51" spans="1:16" x14ac:dyDescent="0.25">
      <c r="A51" s="8">
        <v>46037</v>
      </c>
      <c r="B51" s="9" t="s">
        <v>9</v>
      </c>
      <c r="C51" s="9" t="s">
        <v>20</v>
      </c>
      <c r="D51" s="9" t="s">
        <v>65</v>
      </c>
      <c r="E51" s="9" t="s">
        <v>39</v>
      </c>
      <c r="F51" s="9" t="s">
        <v>65</v>
      </c>
      <c r="G51" s="9" t="s">
        <v>90</v>
      </c>
      <c r="H51" s="9" t="s">
        <v>74</v>
      </c>
      <c r="I51" s="9" t="s">
        <v>65</v>
      </c>
      <c r="J51" s="10">
        <v>80</v>
      </c>
      <c r="K51" s="10">
        <f t="shared" si="5"/>
        <v>-80</v>
      </c>
      <c r="L51" s="9">
        <f t="shared" si="6"/>
        <v>1</v>
      </c>
      <c r="M51" s="9">
        <f t="shared" si="7"/>
        <v>2026</v>
      </c>
      <c r="N51" s="9">
        <f t="shared" si="8"/>
        <v>46</v>
      </c>
      <c r="O51" s="10">
        <f>IF($B51="","",VLOOKUP($B51,Listas!$A$6:$C$200,3,FALSE)+SUMIFS($K$6:$K$200,$B$6:$B$200,$B51,$N$6:$N$200,"&lt;="&amp;$N51))</f>
        <v>4000.52</v>
      </c>
      <c r="P51" s="9" t="str">
        <f t="shared" si="9"/>
        <v>yyyy-01</v>
      </c>
    </row>
    <row r="52" spans="1:16" x14ac:dyDescent="0.25">
      <c r="A52" s="8">
        <v>46040</v>
      </c>
      <c r="B52" s="9" t="s">
        <v>15</v>
      </c>
      <c r="C52" s="9" t="s">
        <v>20</v>
      </c>
      <c r="D52" s="9" t="s">
        <v>65</v>
      </c>
      <c r="E52" s="9" t="s">
        <v>27</v>
      </c>
      <c r="F52" s="9" t="s">
        <v>65</v>
      </c>
      <c r="G52" s="9" t="s">
        <v>117</v>
      </c>
      <c r="H52" s="9" t="s">
        <v>15</v>
      </c>
      <c r="I52" s="9" t="s">
        <v>65</v>
      </c>
      <c r="J52" s="10">
        <v>9</v>
      </c>
      <c r="K52" s="10">
        <f t="shared" si="5"/>
        <v>-9</v>
      </c>
      <c r="L52" s="9">
        <f t="shared" si="6"/>
        <v>1</v>
      </c>
      <c r="M52" s="9">
        <f t="shared" si="7"/>
        <v>2026</v>
      </c>
      <c r="N52" s="9">
        <f t="shared" si="8"/>
        <v>47</v>
      </c>
      <c r="O52" s="10">
        <f>IF($B52="","",VLOOKUP($B52,Listas!$A$6:$C$200,3,FALSE)+SUMIFS($K$6:$K$200,$B$6:$B$200,$B52,$N$6:$N$200,"&lt;="&amp;$N52))</f>
        <v>70.2</v>
      </c>
      <c r="P52" s="9" t="str">
        <f t="shared" si="9"/>
        <v>yyyy-01</v>
      </c>
    </row>
    <row r="53" spans="1:16" x14ac:dyDescent="0.25">
      <c r="A53" s="8">
        <v>46042</v>
      </c>
      <c r="B53" s="9" t="s">
        <v>9</v>
      </c>
      <c r="C53" s="9" t="s">
        <v>68</v>
      </c>
      <c r="D53" s="9" t="s">
        <v>81</v>
      </c>
      <c r="E53" s="9" t="s">
        <v>65</v>
      </c>
      <c r="F53" s="9" t="s">
        <v>65</v>
      </c>
      <c r="G53" s="9" t="s">
        <v>92</v>
      </c>
      <c r="H53" s="9" t="s">
        <v>68</v>
      </c>
      <c r="I53" s="9" t="s">
        <v>65</v>
      </c>
      <c r="J53" s="10">
        <v>190</v>
      </c>
      <c r="K53" s="10">
        <f t="shared" si="5"/>
        <v>-190</v>
      </c>
      <c r="L53" s="9">
        <f t="shared" si="6"/>
        <v>1</v>
      </c>
      <c r="M53" s="9">
        <f t="shared" si="7"/>
        <v>2026</v>
      </c>
      <c r="N53" s="9">
        <f t="shared" si="8"/>
        <v>48</v>
      </c>
      <c r="O53" s="10">
        <f>IF($B53="","",VLOOKUP($B53,Listas!$A$6:$C$200,3,FALSE)+SUMIFS($K$6:$K$200,$B$6:$B$200,$B53,$N$6:$N$200,"&lt;="&amp;$N53))</f>
        <v>3810.52</v>
      </c>
      <c r="P53" s="9" t="str">
        <f t="shared" si="9"/>
        <v>yyyy-01</v>
      </c>
    </row>
    <row r="54" spans="1:16" x14ac:dyDescent="0.25">
      <c r="A54" s="8">
        <v>46042</v>
      </c>
      <c r="B54" s="9" t="s">
        <v>13</v>
      </c>
      <c r="C54" s="9" t="s">
        <v>68</v>
      </c>
      <c r="D54" s="9" t="s">
        <v>83</v>
      </c>
      <c r="E54" s="9" t="s">
        <v>65</v>
      </c>
      <c r="F54" s="9" t="s">
        <v>65</v>
      </c>
      <c r="G54" s="9" t="s">
        <v>93</v>
      </c>
      <c r="H54" s="9" t="s">
        <v>68</v>
      </c>
      <c r="I54" s="9" t="s">
        <v>65</v>
      </c>
      <c r="J54" s="10">
        <v>190</v>
      </c>
      <c r="K54" s="10">
        <f t="shared" si="5"/>
        <v>190</v>
      </c>
      <c r="L54" s="9">
        <f t="shared" si="6"/>
        <v>1</v>
      </c>
      <c r="M54" s="9">
        <f t="shared" si="7"/>
        <v>2026</v>
      </c>
      <c r="N54" s="9">
        <f t="shared" si="8"/>
        <v>49</v>
      </c>
      <c r="O54" s="10">
        <f>IF($B54="","",VLOOKUP($B54,Listas!$A$6:$C$200,3,FALSE)+SUMIFS($K$6:$K$200,$B$6:$B$200,$B54,$N$6:$N$200,"&lt;="&amp;$N54))</f>
        <v>-15.829999999999984</v>
      </c>
      <c r="P54" s="9" t="str">
        <f t="shared" si="9"/>
        <v>yyyy-01</v>
      </c>
    </row>
    <row r="55" spans="1:16" x14ac:dyDescent="0.25">
      <c r="A55" s="8">
        <v>46045</v>
      </c>
      <c r="B55" s="9" t="s">
        <v>13</v>
      </c>
      <c r="C55" s="9" t="s">
        <v>20</v>
      </c>
      <c r="D55" s="9" t="s">
        <v>65</v>
      </c>
      <c r="E55" s="9" t="s">
        <v>33</v>
      </c>
      <c r="F55" s="9" t="s">
        <v>65</v>
      </c>
      <c r="G55" s="9" t="s">
        <v>118</v>
      </c>
      <c r="H55" s="9" t="s">
        <v>72</v>
      </c>
      <c r="I55" s="9" t="s">
        <v>65</v>
      </c>
      <c r="J55" s="10">
        <v>31.5</v>
      </c>
      <c r="K55" s="10">
        <f t="shared" si="5"/>
        <v>-31.5</v>
      </c>
      <c r="L55" s="9">
        <f t="shared" si="6"/>
        <v>1</v>
      </c>
      <c r="M55" s="9">
        <f t="shared" si="7"/>
        <v>2026</v>
      </c>
      <c r="N55" s="9">
        <f t="shared" si="8"/>
        <v>50</v>
      </c>
      <c r="O55" s="10">
        <f>IF($B55="","",VLOOKUP($B55,Listas!$A$6:$C$200,3,FALSE)+SUMIFS($K$6:$K$200,$B$6:$B$200,$B55,$N$6:$N$200,"&lt;="&amp;$N55))</f>
        <v>-47.329999999999984</v>
      </c>
      <c r="P55" s="9" t="str">
        <f t="shared" si="9"/>
        <v>yyyy-01</v>
      </c>
    </row>
    <row r="56" spans="1:16" x14ac:dyDescent="0.25">
      <c r="A56" s="8">
        <v>46050</v>
      </c>
      <c r="B56" s="9" t="s">
        <v>11</v>
      </c>
      <c r="C56" s="9" t="s">
        <v>64</v>
      </c>
      <c r="D56" s="9" t="s">
        <v>65</v>
      </c>
      <c r="E56" s="9" t="s">
        <v>97</v>
      </c>
      <c r="F56" s="9" t="s">
        <v>65</v>
      </c>
      <c r="G56" s="9" t="s">
        <v>98</v>
      </c>
      <c r="H56" s="9" t="s">
        <v>68</v>
      </c>
      <c r="I56" s="9" t="s">
        <v>65</v>
      </c>
      <c r="J56" s="10">
        <v>6.4</v>
      </c>
      <c r="K56" s="10">
        <f t="shared" si="5"/>
        <v>6.4</v>
      </c>
      <c r="L56" s="9">
        <f t="shared" si="6"/>
        <v>1</v>
      </c>
      <c r="M56" s="9">
        <f t="shared" si="7"/>
        <v>2026</v>
      </c>
      <c r="N56" s="9">
        <f t="shared" si="8"/>
        <v>51</v>
      </c>
      <c r="O56" s="10">
        <f>IF($B56="","",VLOOKUP($B56,Listas!$A$6:$C$200,3,FALSE)+SUMIFS($K$6:$K$200,$B$6:$B$200,$B56,$N$6:$N$200,"&lt;="&amp;$N56))</f>
        <v>6968.85</v>
      </c>
      <c r="P56" s="9" t="str">
        <f t="shared" si="9"/>
        <v>yyyy-01</v>
      </c>
    </row>
    <row r="57" spans="1:16" x14ac:dyDescent="0.25">
      <c r="A57" s="8"/>
      <c r="B57" s="9"/>
      <c r="C57" s="9"/>
      <c r="D57" s="9"/>
      <c r="E57" s="9"/>
      <c r="F57" s="9"/>
      <c r="G57" s="9"/>
      <c r="H57" s="9"/>
      <c r="I57" s="9"/>
      <c r="J57" s="10"/>
      <c r="K57" s="10">
        <f t="shared" si="5"/>
        <v>0</v>
      </c>
      <c r="L57" s="9">
        <f t="shared" si="6"/>
        <v>1</v>
      </c>
      <c r="M57" s="9">
        <f t="shared" si="7"/>
        <v>1900</v>
      </c>
      <c r="N57" s="9">
        <f t="shared" si="8"/>
        <v>52</v>
      </c>
      <c r="O57" s="10" t="str">
        <f>IF($B57="","",VLOOKUP($B57,Listas!$A$6:$C$200,3,FALSE)+SUMIFS($K$6:$K$200,$B$6:$B$200,$B57,$N$6:$N$200,"&lt;="&amp;$N57))</f>
        <v/>
      </c>
      <c r="P57" s="9" t="str">
        <f t="shared" si="9"/>
        <v/>
      </c>
    </row>
    <row r="58" spans="1:16" x14ac:dyDescent="0.25">
      <c r="A58" s="8"/>
      <c r="B58" s="9"/>
      <c r="C58" s="9"/>
      <c r="D58" s="9"/>
      <c r="E58" s="9"/>
      <c r="F58" s="9"/>
      <c r="G58" s="9"/>
      <c r="H58" s="9"/>
      <c r="I58" s="9"/>
      <c r="J58" s="10"/>
      <c r="K58" s="10">
        <f t="shared" si="5"/>
        <v>0</v>
      </c>
      <c r="L58" s="9">
        <f t="shared" si="6"/>
        <v>1</v>
      </c>
      <c r="M58" s="9">
        <f t="shared" si="7"/>
        <v>1900</v>
      </c>
      <c r="N58" s="9">
        <f t="shared" si="8"/>
        <v>53</v>
      </c>
      <c r="O58" s="10" t="str">
        <f>IF($B58="","",VLOOKUP($B58,Listas!$A$6:$C$200,3,FALSE)+SUMIFS($K$6:$K$200,$B$6:$B$200,$B58,$N$6:$N$200,"&lt;="&amp;$N58))</f>
        <v/>
      </c>
      <c r="P58" s="9" t="str">
        <f t="shared" si="9"/>
        <v/>
      </c>
    </row>
    <row r="59" spans="1:16" x14ac:dyDescent="0.25">
      <c r="A59" s="8"/>
      <c r="B59" s="9"/>
      <c r="C59" s="9"/>
      <c r="D59" s="9"/>
      <c r="E59" s="9"/>
      <c r="F59" s="9"/>
      <c r="G59" s="9"/>
      <c r="H59" s="9"/>
      <c r="I59" s="9"/>
      <c r="J59" s="10"/>
      <c r="K59" s="10">
        <f t="shared" si="5"/>
        <v>0</v>
      </c>
      <c r="L59" s="9">
        <f t="shared" si="6"/>
        <v>1</v>
      </c>
      <c r="M59" s="9">
        <f t="shared" si="7"/>
        <v>1900</v>
      </c>
      <c r="N59" s="9">
        <f t="shared" si="8"/>
        <v>54</v>
      </c>
      <c r="O59" s="10" t="str">
        <f>IF($B59="","",VLOOKUP($B59,Listas!$A$6:$C$200,3,FALSE)+SUMIFS($K$6:$K$200,$B$6:$B$200,$B59,$N$6:$N$200,"&lt;="&amp;$N59))</f>
        <v/>
      </c>
      <c r="P59" s="9" t="str">
        <f t="shared" si="9"/>
        <v/>
      </c>
    </row>
    <row r="60" spans="1:16" x14ac:dyDescent="0.25">
      <c r="A60" s="8"/>
      <c r="B60" s="9"/>
      <c r="C60" s="9"/>
      <c r="D60" s="9"/>
      <c r="E60" s="9"/>
      <c r="F60" s="9"/>
      <c r="G60" s="9"/>
      <c r="H60" s="9"/>
      <c r="I60" s="9"/>
      <c r="J60" s="10"/>
      <c r="K60" s="10">
        <f t="shared" si="5"/>
        <v>0</v>
      </c>
      <c r="L60" s="9">
        <f t="shared" si="6"/>
        <v>1</v>
      </c>
      <c r="M60" s="9">
        <f t="shared" si="7"/>
        <v>1900</v>
      </c>
      <c r="N60" s="9">
        <f t="shared" si="8"/>
        <v>55</v>
      </c>
      <c r="O60" s="10" t="str">
        <f>IF($B60="","",VLOOKUP($B60,Listas!$A$6:$C$200,3,FALSE)+SUMIFS($K$6:$K$200,$B$6:$B$200,$B60,$N$6:$N$200,"&lt;="&amp;$N60))</f>
        <v/>
      </c>
      <c r="P60" s="9" t="str">
        <f t="shared" si="9"/>
        <v/>
      </c>
    </row>
    <row r="61" spans="1:16" x14ac:dyDescent="0.25">
      <c r="A61" s="8"/>
      <c r="B61" s="9"/>
      <c r="C61" s="9"/>
      <c r="D61" s="9"/>
      <c r="E61" s="9"/>
      <c r="F61" s="9"/>
      <c r="G61" s="9"/>
      <c r="H61" s="9"/>
      <c r="I61" s="9"/>
      <c r="J61" s="10"/>
      <c r="K61" s="10">
        <f t="shared" si="5"/>
        <v>0</v>
      </c>
      <c r="L61" s="9">
        <f t="shared" si="6"/>
        <v>1</v>
      </c>
      <c r="M61" s="9">
        <f t="shared" si="7"/>
        <v>1900</v>
      </c>
      <c r="N61" s="9">
        <f t="shared" si="8"/>
        <v>56</v>
      </c>
      <c r="O61" s="10" t="str">
        <f>IF($B61="","",VLOOKUP($B61,Listas!$A$6:$C$200,3,FALSE)+SUMIFS($K$6:$K$200,$B$6:$B$200,$B61,$N$6:$N$200,"&lt;="&amp;$N61))</f>
        <v/>
      </c>
      <c r="P61" s="9" t="str">
        <f t="shared" si="9"/>
        <v/>
      </c>
    </row>
    <row r="62" spans="1:16" x14ac:dyDescent="0.25">
      <c r="A62" s="8"/>
      <c r="B62" s="9"/>
      <c r="C62" s="9"/>
      <c r="D62" s="9"/>
      <c r="E62" s="9"/>
      <c r="F62" s="9"/>
      <c r="G62" s="9"/>
      <c r="H62" s="9"/>
      <c r="I62" s="9"/>
      <c r="J62" s="10"/>
      <c r="K62" s="10">
        <f t="shared" si="5"/>
        <v>0</v>
      </c>
      <c r="L62" s="9">
        <f t="shared" si="6"/>
        <v>1</v>
      </c>
      <c r="M62" s="9">
        <f t="shared" si="7"/>
        <v>1900</v>
      </c>
      <c r="N62" s="9">
        <f t="shared" si="8"/>
        <v>57</v>
      </c>
      <c r="O62" s="10" t="str">
        <f>IF($B62="","",VLOOKUP($B62,Listas!$A$6:$C$200,3,FALSE)+SUMIFS($K$6:$K$200,$B$6:$B$200,$B62,$N$6:$N$200,"&lt;="&amp;$N62))</f>
        <v/>
      </c>
      <c r="P62" s="9" t="str">
        <f t="shared" si="9"/>
        <v/>
      </c>
    </row>
    <row r="63" spans="1:16" x14ac:dyDescent="0.25">
      <c r="A63" s="8"/>
      <c r="B63" s="9"/>
      <c r="C63" s="9"/>
      <c r="D63" s="9"/>
      <c r="E63" s="9"/>
      <c r="F63" s="9"/>
      <c r="G63" s="9"/>
      <c r="H63" s="9"/>
      <c r="I63" s="9"/>
      <c r="J63" s="10"/>
      <c r="K63" s="10">
        <f t="shared" si="5"/>
        <v>0</v>
      </c>
      <c r="L63" s="9">
        <f t="shared" si="6"/>
        <v>1</v>
      </c>
      <c r="M63" s="9">
        <f t="shared" si="7"/>
        <v>1900</v>
      </c>
      <c r="N63" s="9">
        <f t="shared" si="8"/>
        <v>58</v>
      </c>
      <c r="O63" s="10" t="str">
        <f>IF($B63="","",VLOOKUP($B63,Listas!$A$6:$C$200,3,FALSE)+SUMIFS($K$6:$K$200,$B$6:$B$200,$B63,$N$6:$N$200,"&lt;="&amp;$N63))</f>
        <v/>
      </c>
      <c r="P63" s="9" t="str">
        <f t="shared" si="9"/>
        <v/>
      </c>
    </row>
    <row r="64" spans="1:16" x14ac:dyDescent="0.25">
      <c r="A64" s="8"/>
      <c r="B64" s="9"/>
      <c r="C64" s="9"/>
      <c r="D64" s="9"/>
      <c r="E64" s="9"/>
      <c r="F64" s="9"/>
      <c r="G64" s="9"/>
      <c r="H64" s="9"/>
      <c r="I64" s="9"/>
      <c r="J64" s="10"/>
      <c r="K64" s="10">
        <f t="shared" si="5"/>
        <v>0</v>
      </c>
      <c r="L64" s="9">
        <f t="shared" si="6"/>
        <v>1</v>
      </c>
      <c r="M64" s="9">
        <f t="shared" si="7"/>
        <v>1900</v>
      </c>
      <c r="N64" s="9">
        <f t="shared" si="8"/>
        <v>59</v>
      </c>
      <c r="O64" s="10" t="str">
        <f>IF($B64="","",VLOOKUP($B64,Listas!$A$6:$C$200,3,FALSE)+SUMIFS($K$6:$K$200,$B$6:$B$200,$B64,$N$6:$N$200,"&lt;="&amp;$N64))</f>
        <v/>
      </c>
      <c r="P64" s="9" t="str">
        <f t="shared" si="9"/>
        <v/>
      </c>
    </row>
    <row r="65" spans="1:16" x14ac:dyDescent="0.25">
      <c r="A65" s="8"/>
      <c r="B65" s="9"/>
      <c r="C65" s="9"/>
      <c r="D65" s="9"/>
      <c r="E65" s="9"/>
      <c r="F65" s="9"/>
      <c r="G65" s="9"/>
      <c r="H65" s="9"/>
      <c r="I65" s="9"/>
      <c r="J65" s="10"/>
      <c r="K65" s="10">
        <f t="shared" si="5"/>
        <v>0</v>
      </c>
      <c r="L65" s="9">
        <f t="shared" si="6"/>
        <v>1</v>
      </c>
      <c r="M65" s="9">
        <f t="shared" si="7"/>
        <v>1900</v>
      </c>
      <c r="N65" s="9">
        <f t="shared" si="8"/>
        <v>60</v>
      </c>
      <c r="O65" s="10" t="str">
        <f>IF($B65="","",VLOOKUP($B65,Listas!$A$6:$C$200,3,FALSE)+SUMIFS($K$6:$K$200,$B$6:$B$200,$B65,$N$6:$N$200,"&lt;="&amp;$N65))</f>
        <v/>
      </c>
      <c r="P65" s="9" t="str">
        <f t="shared" si="9"/>
        <v/>
      </c>
    </row>
    <row r="66" spans="1:16" x14ac:dyDescent="0.25">
      <c r="A66" s="8"/>
      <c r="B66" s="9"/>
      <c r="C66" s="9"/>
      <c r="D66" s="9"/>
      <c r="E66" s="9"/>
      <c r="F66" s="9"/>
      <c r="G66" s="9"/>
      <c r="H66" s="9"/>
      <c r="I66" s="9"/>
      <c r="J66" s="10"/>
      <c r="K66" s="10">
        <f t="shared" si="5"/>
        <v>0</v>
      </c>
      <c r="L66" s="9">
        <f t="shared" si="6"/>
        <v>1</v>
      </c>
      <c r="M66" s="9">
        <f t="shared" si="7"/>
        <v>1900</v>
      </c>
      <c r="N66" s="9">
        <f t="shared" si="8"/>
        <v>61</v>
      </c>
      <c r="O66" s="10" t="str">
        <f>IF($B66="","",VLOOKUP($B66,Listas!$A$6:$C$200,3,FALSE)+SUMIFS($K$6:$K$200,$B$6:$B$200,$B66,$N$6:$N$200,"&lt;="&amp;$N66))</f>
        <v/>
      </c>
      <c r="P66" s="9" t="str">
        <f t="shared" si="9"/>
        <v/>
      </c>
    </row>
    <row r="67" spans="1:16" x14ac:dyDescent="0.25">
      <c r="A67" s="8"/>
      <c r="B67" s="9"/>
      <c r="C67" s="9"/>
      <c r="D67" s="9"/>
      <c r="E67" s="9"/>
      <c r="F67" s="9"/>
      <c r="G67" s="9"/>
      <c r="H67" s="9"/>
      <c r="I67" s="9"/>
      <c r="J67" s="10"/>
      <c r="K67" s="10">
        <f t="shared" si="5"/>
        <v>0</v>
      </c>
      <c r="L67" s="9">
        <f t="shared" si="6"/>
        <v>1</v>
      </c>
      <c r="M67" s="9">
        <f t="shared" si="7"/>
        <v>1900</v>
      </c>
      <c r="N67" s="9">
        <f t="shared" si="8"/>
        <v>62</v>
      </c>
      <c r="O67" s="10" t="str">
        <f>IF($B67="","",VLOOKUP($B67,Listas!$A$6:$C$200,3,FALSE)+SUMIFS($K$6:$K$200,$B$6:$B$200,$B67,$N$6:$N$200,"&lt;="&amp;$N67))</f>
        <v/>
      </c>
      <c r="P67" s="9" t="str">
        <f t="shared" si="9"/>
        <v/>
      </c>
    </row>
    <row r="68" spans="1:16" x14ac:dyDescent="0.25">
      <c r="A68" s="8"/>
      <c r="B68" s="9"/>
      <c r="C68" s="9"/>
      <c r="D68" s="9"/>
      <c r="E68" s="9"/>
      <c r="F68" s="9"/>
      <c r="G68" s="9"/>
      <c r="H68" s="9"/>
      <c r="I68" s="9"/>
      <c r="J68" s="10"/>
      <c r="K68" s="10">
        <f t="shared" si="5"/>
        <v>0</v>
      </c>
      <c r="L68" s="9">
        <f t="shared" si="6"/>
        <v>1</v>
      </c>
      <c r="M68" s="9">
        <f t="shared" si="7"/>
        <v>1900</v>
      </c>
      <c r="N68" s="9">
        <f t="shared" si="8"/>
        <v>63</v>
      </c>
      <c r="O68" s="10" t="str">
        <f>IF($B68="","",VLOOKUP($B68,Listas!$A$6:$C$200,3,FALSE)+SUMIFS($K$6:$K$200,$B$6:$B$200,$B68,$N$6:$N$200,"&lt;="&amp;$N68))</f>
        <v/>
      </c>
      <c r="P68" s="9" t="str">
        <f t="shared" si="9"/>
        <v/>
      </c>
    </row>
    <row r="69" spans="1:16" x14ac:dyDescent="0.25">
      <c r="A69" s="8"/>
      <c r="B69" s="9"/>
      <c r="C69" s="9"/>
      <c r="D69" s="9"/>
      <c r="E69" s="9"/>
      <c r="F69" s="9"/>
      <c r="G69" s="9"/>
      <c r="H69" s="9"/>
      <c r="I69" s="9"/>
      <c r="J69" s="10"/>
      <c r="K69" s="10">
        <f t="shared" si="5"/>
        <v>0</v>
      </c>
      <c r="L69" s="9">
        <f t="shared" si="6"/>
        <v>1</v>
      </c>
      <c r="M69" s="9">
        <f t="shared" si="7"/>
        <v>1900</v>
      </c>
      <c r="N69" s="9">
        <f t="shared" si="8"/>
        <v>64</v>
      </c>
      <c r="O69" s="10" t="str">
        <f>IF($B69="","",VLOOKUP($B69,Listas!$A$6:$C$200,3,FALSE)+SUMIFS($K$6:$K$200,$B$6:$B$200,$B69,$N$6:$N$200,"&lt;="&amp;$N69))</f>
        <v/>
      </c>
      <c r="P69" s="9" t="str">
        <f t="shared" si="9"/>
        <v/>
      </c>
    </row>
    <row r="70" spans="1:16" x14ac:dyDescent="0.25">
      <c r="A70" s="8"/>
      <c r="B70" s="9"/>
      <c r="C70" s="9"/>
      <c r="D70" s="9"/>
      <c r="E70" s="9"/>
      <c r="F70" s="9"/>
      <c r="G70" s="9"/>
      <c r="H70" s="9"/>
      <c r="I70" s="9"/>
      <c r="J70" s="10"/>
      <c r="K70" s="10">
        <f t="shared" ref="K70:K101" si="10">IF($C70="Ingreso",$J70,IF($C70="Gasto",- $J70,IF($C70="Transferencia",IF($D70="Entrada",$J70,IF($D70="Salida",- $J70,0)),0)))</f>
        <v>0</v>
      </c>
      <c r="L70" s="9">
        <f t="shared" ref="L70:L101" si="11">IFERROR(MONTH($A70),"")</f>
        <v>1</v>
      </c>
      <c r="M70" s="9">
        <f t="shared" ref="M70:M101" si="12">IFERROR(YEAR($A70),"")</f>
        <v>1900</v>
      </c>
      <c r="N70" s="9">
        <f t="shared" ref="N70:N101" si="13">ROW()-5</f>
        <v>65</v>
      </c>
      <c r="O70" s="10" t="str">
        <f>IF($B70="","",VLOOKUP($B70,Listas!$A$6:$C$200,3,FALSE)+SUMIFS($K$6:$K$200,$B$6:$B$200,$B70,$N$6:$N$200,"&lt;="&amp;$N70))</f>
        <v/>
      </c>
      <c r="P70" s="9" t="str">
        <f t="shared" ref="P70:P101" si="14">IF($A70="","",TEXT($A70,"yyyy-mm"))</f>
        <v/>
      </c>
    </row>
    <row r="71" spans="1:16" x14ac:dyDescent="0.25">
      <c r="A71" s="8"/>
      <c r="B71" s="9"/>
      <c r="C71" s="9"/>
      <c r="D71" s="9"/>
      <c r="E71" s="9"/>
      <c r="F71" s="9"/>
      <c r="G71" s="9"/>
      <c r="H71" s="9"/>
      <c r="I71" s="9"/>
      <c r="J71" s="10"/>
      <c r="K71" s="10">
        <f t="shared" si="10"/>
        <v>0</v>
      </c>
      <c r="L71" s="9">
        <f t="shared" si="11"/>
        <v>1</v>
      </c>
      <c r="M71" s="9">
        <f t="shared" si="12"/>
        <v>1900</v>
      </c>
      <c r="N71" s="9">
        <f t="shared" si="13"/>
        <v>66</v>
      </c>
      <c r="O71" s="10" t="str">
        <f>IF($B71="","",VLOOKUP($B71,Listas!$A$6:$C$200,3,FALSE)+SUMIFS($K$6:$K$200,$B$6:$B$200,$B71,$N$6:$N$200,"&lt;="&amp;$N71))</f>
        <v/>
      </c>
      <c r="P71" s="9" t="str">
        <f t="shared" si="14"/>
        <v/>
      </c>
    </row>
    <row r="72" spans="1:16" x14ac:dyDescent="0.25">
      <c r="A72" s="8"/>
      <c r="B72" s="9"/>
      <c r="C72" s="9"/>
      <c r="D72" s="9"/>
      <c r="E72" s="9"/>
      <c r="F72" s="9"/>
      <c r="G72" s="9"/>
      <c r="H72" s="9"/>
      <c r="I72" s="9"/>
      <c r="J72" s="10"/>
      <c r="K72" s="10">
        <f t="shared" si="10"/>
        <v>0</v>
      </c>
      <c r="L72" s="9">
        <f t="shared" si="11"/>
        <v>1</v>
      </c>
      <c r="M72" s="9">
        <f t="shared" si="12"/>
        <v>1900</v>
      </c>
      <c r="N72" s="9">
        <f t="shared" si="13"/>
        <v>67</v>
      </c>
      <c r="O72" s="10" t="str">
        <f>IF($B72="","",VLOOKUP($B72,Listas!$A$6:$C$200,3,FALSE)+SUMIFS($K$6:$K$200,$B$6:$B$200,$B72,$N$6:$N$200,"&lt;="&amp;$N72))</f>
        <v/>
      </c>
      <c r="P72" s="9" t="str">
        <f t="shared" si="14"/>
        <v/>
      </c>
    </row>
    <row r="73" spans="1:16" x14ac:dyDescent="0.25">
      <c r="A73" s="8"/>
      <c r="B73" s="9"/>
      <c r="C73" s="9"/>
      <c r="D73" s="9"/>
      <c r="E73" s="9"/>
      <c r="F73" s="9"/>
      <c r="G73" s="9"/>
      <c r="H73" s="9"/>
      <c r="I73" s="9"/>
      <c r="J73" s="10"/>
      <c r="K73" s="10">
        <f t="shared" si="10"/>
        <v>0</v>
      </c>
      <c r="L73" s="9">
        <f t="shared" si="11"/>
        <v>1</v>
      </c>
      <c r="M73" s="9">
        <f t="shared" si="12"/>
        <v>1900</v>
      </c>
      <c r="N73" s="9">
        <f t="shared" si="13"/>
        <v>68</v>
      </c>
      <c r="O73" s="10" t="str">
        <f>IF($B73="","",VLOOKUP($B73,Listas!$A$6:$C$200,3,FALSE)+SUMIFS($K$6:$K$200,$B$6:$B$200,$B73,$N$6:$N$200,"&lt;="&amp;$N73))</f>
        <v/>
      </c>
      <c r="P73" s="9" t="str">
        <f t="shared" si="14"/>
        <v/>
      </c>
    </row>
    <row r="74" spans="1:16" x14ac:dyDescent="0.25">
      <c r="A74" s="8"/>
      <c r="B74" s="9"/>
      <c r="C74" s="9"/>
      <c r="D74" s="9"/>
      <c r="E74" s="9"/>
      <c r="F74" s="9"/>
      <c r="G74" s="9"/>
      <c r="H74" s="9"/>
      <c r="I74" s="9"/>
      <c r="J74" s="10"/>
      <c r="K74" s="10">
        <f t="shared" si="10"/>
        <v>0</v>
      </c>
      <c r="L74" s="9">
        <f t="shared" si="11"/>
        <v>1</v>
      </c>
      <c r="M74" s="9">
        <f t="shared" si="12"/>
        <v>1900</v>
      </c>
      <c r="N74" s="9">
        <f t="shared" si="13"/>
        <v>69</v>
      </c>
      <c r="O74" s="10" t="str">
        <f>IF($B74="","",VLOOKUP($B74,Listas!$A$6:$C$200,3,FALSE)+SUMIFS($K$6:$K$200,$B$6:$B$200,$B74,$N$6:$N$200,"&lt;="&amp;$N74))</f>
        <v/>
      </c>
      <c r="P74" s="9" t="str">
        <f t="shared" si="14"/>
        <v/>
      </c>
    </row>
    <row r="75" spans="1:16" x14ac:dyDescent="0.25">
      <c r="A75" s="8"/>
      <c r="B75" s="9"/>
      <c r="C75" s="9"/>
      <c r="D75" s="9"/>
      <c r="E75" s="9"/>
      <c r="F75" s="9"/>
      <c r="G75" s="9"/>
      <c r="H75" s="9"/>
      <c r="I75" s="9"/>
      <c r="J75" s="10"/>
      <c r="K75" s="10">
        <f t="shared" si="10"/>
        <v>0</v>
      </c>
      <c r="L75" s="9">
        <f t="shared" si="11"/>
        <v>1</v>
      </c>
      <c r="M75" s="9">
        <f t="shared" si="12"/>
        <v>1900</v>
      </c>
      <c r="N75" s="9">
        <f t="shared" si="13"/>
        <v>70</v>
      </c>
      <c r="O75" s="10" t="str">
        <f>IF($B75="","",VLOOKUP($B75,Listas!$A$6:$C$200,3,FALSE)+SUMIFS($K$6:$K$200,$B$6:$B$200,$B75,$N$6:$N$200,"&lt;="&amp;$N75))</f>
        <v/>
      </c>
      <c r="P75" s="9" t="str">
        <f t="shared" si="14"/>
        <v/>
      </c>
    </row>
    <row r="76" spans="1:16" x14ac:dyDescent="0.25">
      <c r="A76" s="8"/>
      <c r="B76" s="9"/>
      <c r="C76" s="9"/>
      <c r="D76" s="9"/>
      <c r="E76" s="9"/>
      <c r="F76" s="9"/>
      <c r="G76" s="9"/>
      <c r="H76" s="9"/>
      <c r="I76" s="9"/>
      <c r="J76" s="10"/>
      <c r="K76" s="10">
        <f t="shared" si="10"/>
        <v>0</v>
      </c>
      <c r="L76" s="9">
        <f t="shared" si="11"/>
        <v>1</v>
      </c>
      <c r="M76" s="9">
        <f t="shared" si="12"/>
        <v>1900</v>
      </c>
      <c r="N76" s="9">
        <f t="shared" si="13"/>
        <v>71</v>
      </c>
      <c r="O76" s="10" t="str">
        <f>IF($B76="","",VLOOKUP($B76,Listas!$A$6:$C$200,3,FALSE)+SUMIFS($K$6:$K$200,$B$6:$B$200,$B76,$N$6:$N$200,"&lt;="&amp;$N76))</f>
        <v/>
      </c>
      <c r="P76" s="9" t="str">
        <f t="shared" si="14"/>
        <v/>
      </c>
    </row>
    <row r="77" spans="1:16" x14ac:dyDescent="0.25">
      <c r="A77" s="8"/>
      <c r="B77" s="9"/>
      <c r="C77" s="9"/>
      <c r="D77" s="9"/>
      <c r="E77" s="9"/>
      <c r="F77" s="9"/>
      <c r="G77" s="9"/>
      <c r="H77" s="9"/>
      <c r="I77" s="9"/>
      <c r="J77" s="10"/>
      <c r="K77" s="10">
        <f t="shared" si="10"/>
        <v>0</v>
      </c>
      <c r="L77" s="9">
        <f t="shared" si="11"/>
        <v>1</v>
      </c>
      <c r="M77" s="9">
        <f t="shared" si="12"/>
        <v>1900</v>
      </c>
      <c r="N77" s="9">
        <f t="shared" si="13"/>
        <v>72</v>
      </c>
      <c r="O77" s="10" t="str">
        <f>IF($B77="","",VLOOKUP($B77,Listas!$A$6:$C$200,3,FALSE)+SUMIFS($K$6:$K$200,$B$6:$B$200,$B77,$N$6:$N$200,"&lt;="&amp;$N77))</f>
        <v/>
      </c>
      <c r="P77" s="9" t="str">
        <f t="shared" si="14"/>
        <v/>
      </c>
    </row>
    <row r="78" spans="1:16" x14ac:dyDescent="0.25">
      <c r="A78" s="8"/>
      <c r="B78" s="9"/>
      <c r="C78" s="9"/>
      <c r="D78" s="9"/>
      <c r="E78" s="9"/>
      <c r="F78" s="9"/>
      <c r="G78" s="9"/>
      <c r="H78" s="9"/>
      <c r="I78" s="9"/>
      <c r="J78" s="10"/>
      <c r="K78" s="10">
        <f t="shared" si="10"/>
        <v>0</v>
      </c>
      <c r="L78" s="9">
        <f t="shared" si="11"/>
        <v>1</v>
      </c>
      <c r="M78" s="9">
        <f t="shared" si="12"/>
        <v>1900</v>
      </c>
      <c r="N78" s="9">
        <f t="shared" si="13"/>
        <v>73</v>
      </c>
      <c r="O78" s="10" t="str">
        <f>IF($B78="","",VLOOKUP($B78,Listas!$A$6:$C$200,3,FALSE)+SUMIFS($K$6:$K$200,$B$6:$B$200,$B78,$N$6:$N$200,"&lt;="&amp;$N78))</f>
        <v/>
      </c>
      <c r="P78" s="9" t="str">
        <f t="shared" si="14"/>
        <v/>
      </c>
    </row>
    <row r="79" spans="1:16" x14ac:dyDescent="0.25">
      <c r="A79" s="8"/>
      <c r="B79" s="9"/>
      <c r="C79" s="9"/>
      <c r="D79" s="9"/>
      <c r="E79" s="9"/>
      <c r="F79" s="9"/>
      <c r="G79" s="9"/>
      <c r="H79" s="9"/>
      <c r="I79" s="9"/>
      <c r="J79" s="10"/>
      <c r="K79" s="10">
        <f t="shared" si="10"/>
        <v>0</v>
      </c>
      <c r="L79" s="9">
        <f t="shared" si="11"/>
        <v>1</v>
      </c>
      <c r="M79" s="9">
        <f t="shared" si="12"/>
        <v>1900</v>
      </c>
      <c r="N79" s="9">
        <f t="shared" si="13"/>
        <v>74</v>
      </c>
      <c r="O79" s="10" t="str">
        <f>IF($B79="","",VLOOKUP($B79,Listas!$A$6:$C$200,3,FALSE)+SUMIFS($K$6:$K$200,$B$6:$B$200,$B79,$N$6:$N$200,"&lt;="&amp;$N79))</f>
        <v/>
      </c>
      <c r="P79" s="9" t="str">
        <f t="shared" si="14"/>
        <v/>
      </c>
    </row>
    <row r="80" spans="1:16" x14ac:dyDescent="0.25">
      <c r="A80" s="8"/>
      <c r="B80" s="9"/>
      <c r="C80" s="9"/>
      <c r="D80" s="9"/>
      <c r="E80" s="9"/>
      <c r="F80" s="9"/>
      <c r="G80" s="9"/>
      <c r="H80" s="9"/>
      <c r="I80" s="9"/>
      <c r="J80" s="10"/>
      <c r="K80" s="10">
        <f t="shared" si="10"/>
        <v>0</v>
      </c>
      <c r="L80" s="9">
        <f t="shared" si="11"/>
        <v>1</v>
      </c>
      <c r="M80" s="9">
        <f t="shared" si="12"/>
        <v>1900</v>
      </c>
      <c r="N80" s="9">
        <f t="shared" si="13"/>
        <v>75</v>
      </c>
      <c r="O80" s="10" t="str">
        <f>IF($B80="","",VLOOKUP($B80,Listas!$A$6:$C$200,3,FALSE)+SUMIFS($K$6:$K$200,$B$6:$B$200,$B80,$N$6:$N$200,"&lt;="&amp;$N80))</f>
        <v/>
      </c>
      <c r="P80" s="9" t="str">
        <f t="shared" si="14"/>
        <v/>
      </c>
    </row>
    <row r="81" spans="1:16" x14ac:dyDescent="0.25">
      <c r="A81" s="8"/>
      <c r="B81" s="9"/>
      <c r="C81" s="9"/>
      <c r="D81" s="9"/>
      <c r="E81" s="9"/>
      <c r="F81" s="9"/>
      <c r="G81" s="9"/>
      <c r="H81" s="9"/>
      <c r="I81" s="9"/>
      <c r="J81" s="10"/>
      <c r="K81" s="10">
        <f t="shared" si="10"/>
        <v>0</v>
      </c>
      <c r="L81" s="9">
        <f t="shared" si="11"/>
        <v>1</v>
      </c>
      <c r="M81" s="9">
        <f t="shared" si="12"/>
        <v>1900</v>
      </c>
      <c r="N81" s="9">
        <f t="shared" si="13"/>
        <v>76</v>
      </c>
      <c r="O81" s="10" t="str">
        <f>IF($B81="","",VLOOKUP($B81,Listas!$A$6:$C$200,3,FALSE)+SUMIFS($K$6:$K$200,$B$6:$B$200,$B81,$N$6:$N$200,"&lt;="&amp;$N81))</f>
        <v/>
      </c>
      <c r="P81" s="9" t="str">
        <f t="shared" si="14"/>
        <v/>
      </c>
    </row>
    <row r="82" spans="1:16" x14ac:dyDescent="0.25">
      <c r="A82" s="8"/>
      <c r="B82" s="9"/>
      <c r="C82" s="9"/>
      <c r="D82" s="9"/>
      <c r="E82" s="9"/>
      <c r="F82" s="9"/>
      <c r="G82" s="9"/>
      <c r="H82" s="9"/>
      <c r="I82" s="9"/>
      <c r="J82" s="10"/>
      <c r="K82" s="10">
        <f t="shared" si="10"/>
        <v>0</v>
      </c>
      <c r="L82" s="9">
        <f t="shared" si="11"/>
        <v>1</v>
      </c>
      <c r="M82" s="9">
        <f t="shared" si="12"/>
        <v>1900</v>
      </c>
      <c r="N82" s="9">
        <f t="shared" si="13"/>
        <v>77</v>
      </c>
      <c r="O82" s="10" t="str">
        <f>IF($B82="","",VLOOKUP($B82,Listas!$A$6:$C$200,3,FALSE)+SUMIFS($K$6:$K$200,$B$6:$B$200,$B82,$N$6:$N$200,"&lt;="&amp;$N82))</f>
        <v/>
      </c>
      <c r="P82" s="9" t="str">
        <f t="shared" si="14"/>
        <v/>
      </c>
    </row>
    <row r="83" spans="1:16" x14ac:dyDescent="0.25">
      <c r="A83" s="8"/>
      <c r="B83" s="9"/>
      <c r="C83" s="9"/>
      <c r="D83" s="9"/>
      <c r="E83" s="9"/>
      <c r="F83" s="9"/>
      <c r="G83" s="9"/>
      <c r="H83" s="9"/>
      <c r="I83" s="9"/>
      <c r="J83" s="10"/>
      <c r="K83" s="10">
        <f t="shared" si="10"/>
        <v>0</v>
      </c>
      <c r="L83" s="9">
        <f t="shared" si="11"/>
        <v>1</v>
      </c>
      <c r="M83" s="9">
        <f t="shared" si="12"/>
        <v>1900</v>
      </c>
      <c r="N83" s="9">
        <f t="shared" si="13"/>
        <v>78</v>
      </c>
      <c r="O83" s="10" t="str">
        <f>IF($B83="","",VLOOKUP($B83,Listas!$A$6:$C$200,3,FALSE)+SUMIFS($K$6:$K$200,$B$6:$B$200,$B83,$N$6:$N$200,"&lt;="&amp;$N83))</f>
        <v/>
      </c>
      <c r="P83" s="9" t="str">
        <f t="shared" si="14"/>
        <v/>
      </c>
    </row>
    <row r="84" spans="1:16" x14ac:dyDescent="0.25">
      <c r="A84" s="8"/>
      <c r="B84" s="9"/>
      <c r="C84" s="9"/>
      <c r="D84" s="9"/>
      <c r="E84" s="9"/>
      <c r="F84" s="9"/>
      <c r="G84" s="9"/>
      <c r="H84" s="9"/>
      <c r="I84" s="9"/>
      <c r="J84" s="10"/>
      <c r="K84" s="10">
        <f t="shared" si="10"/>
        <v>0</v>
      </c>
      <c r="L84" s="9">
        <f t="shared" si="11"/>
        <v>1</v>
      </c>
      <c r="M84" s="9">
        <f t="shared" si="12"/>
        <v>1900</v>
      </c>
      <c r="N84" s="9">
        <f t="shared" si="13"/>
        <v>79</v>
      </c>
      <c r="O84" s="10" t="str">
        <f>IF($B84="","",VLOOKUP($B84,Listas!$A$6:$C$200,3,FALSE)+SUMIFS($K$6:$K$200,$B$6:$B$200,$B84,$N$6:$N$200,"&lt;="&amp;$N84))</f>
        <v/>
      </c>
      <c r="P84" s="9" t="str">
        <f t="shared" si="14"/>
        <v/>
      </c>
    </row>
    <row r="85" spans="1:16" x14ac:dyDescent="0.25">
      <c r="A85" s="8"/>
      <c r="B85" s="9"/>
      <c r="C85" s="9"/>
      <c r="D85" s="9"/>
      <c r="E85" s="9"/>
      <c r="F85" s="9"/>
      <c r="G85" s="9"/>
      <c r="H85" s="9"/>
      <c r="I85" s="9"/>
      <c r="J85" s="10"/>
      <c r="K85" s="10">
        <f t="shared" si="10"/>
        <v>0</v>
      </c>
      <c r="L85" s="9">
        <f t="shared" si="11"/>
        <v>1</v>
      </c>
      <c r="M85" s="9">
        <f t="shared" si="12"/>
        <v>1900</v>
      </c>
      <c r="N85" s="9">
        <f t="shared" si="13"/>
        <v>80</v>
      </c>
      <c r="O85" s="10" t="str">
        <f>IF($B85="","",VLOOKUP($B85,Listas!$A$6:$C$200,3,FALSE)+SUMIFS($K$6:$K$200,$B$6:$B$200,$B85,$N$6:$N$200,"&lt;="&amp;$N85))</f>
        <v/>
      </c>
      <c r="P85" s="9" t="str">
        <f t="shared" si="14"/>
        <v/>
      </c>
    </row>
    <row r="86" spans="1:16" x14ac:dyDescent="0.25">
      <c r="A86" s="8"/>
      <c r="B86" s="9"/>
      <c r="C86" s="9"/>
      <c r="D86" s="9"/>
      <c r="E86" s="9"/>
      <c r="F86" s="9"/>
      <c r="G86" s="9"/>
      <c r="H86" s="9"/>
      <c r="I86" s="9"/>
      <c r="J86" s="10"/>
      <c r="K86" s="10">
        <f t="shared" si="10"/>
        <v>0</v>
      </c>
      <c r="L86" s="9">
        <f t="shared" si="11"/>
        <v>1</v>
      </c>
      <c r="M86" s="9">
        <f t="shared" si="12"/>
        <v>1900</v>
      </c>
      <c r="N86" s="9">
        <f t="shared" si="13"/>
        <v>81</v>
      </c>
      <c r="O86" s="10" t="str">
        <f>IF($B86="","",VLOOKUP($B86,Listas!$A$6:$C$200,3,FALSE)+SUMIFS($K$6:$K$200,$B$6:$B$200,$B86,$N$6:$N$200,"&lt;="&amp;$N86))</f>
        <v/>
      </c>
      <c r="P86" s="9" t="str">
        <f t="shared" si="14"/>
        <v/>
      </c>
    </row>
    <row r="87" spans="1:16" x14ac:dyDescent="0.25">
      <c r="A87" s="8"/>
      <c r="B87" s="9"/>
      <c r="C87" s="9"/>
      <c r="D87" s="9"/>
      <c r="E87" s="9"/>
      <c r="F87" s="9"/>
      <c r="G87" s="9"/>
      <c r="H87" s="9"/>
      <c r="I87" s="9"/>
      <c r="J87" s="10"/>
      <c r="K87" s="10">
        <f t="shared" si="10"/>
        <v>0</v>
      </c>
      <c r="L87" s="9">
        <f t="shared" si="11"/>
        <v>1</v>
      </c>
      <c r="M87" s="9">
        <f t="shared" si="12"/>
        <v>1900</v>
      </c>
      <c r="N87" s="9">
        <f t="shared" si="13"/>
        <v>82</v>
      </c>
      <c r="O87" s="10" t="str">
        <f>IF($B87="","",VLOOKUP($B87,Listas!$A$6:$C$200,3,FALSE)+SUMIFS($K$6:$K$200,$B$6:$B$200,$B87,$N$6:$N$200,"&lt;="&amp;$N87))</f>
        <v/>
      </c>
      <c r="P87" s="9" t="str">
        <f t="shared" si="14"/>
        <v/>
      </c>
    </row>
    <row r="88" spans="1:16" x14ac:dyDescent="0.25">
      <c r="A88" s="8"/>
      <c r="B88" s="9"/>
      <c r="C88" s="9"/>
      <c r="D88" s="9"/>
      <c r="E88" s="9"/>
      <c r="F88" s="9"/>
      <c r="G88" s="9"/>
      <c r="H88" s="9"/>
      <c r="I88" s="9"/>
      <c r="J88" s="10"/>
      <c r="K88" s="10">
        <f t="shared" si="10"/>
        <v>0</v>
      </c>
      <c r="L88" s="9">
        <f t="shared" si="11"/>
        <v>1</v>
      </c>
      <c r="M88" s="9">
        <f t="shared" si="12"/>
        <v>1900</v>
      </c>
      <c r="N88" s="9">
        <f t="shared" si="13"/>
        <v>83</v>
      </c>
      <c r="O88" s="10" t="str">
        <f>IF($B88="","",VLOOKUP($B88,Listas!$A$6:$C$200,3,FALSE)+SUMIFS($K$6:$K$200,$B$6:$B$200,$B88,$N$6:$N$200,"&lt;="&amp;$N88))</f>
        <v/>
      </c>
      <c r="P88" s="9" t="str">
        <f t="shared" si="14"/>
        <v/>
      </c>
    </row>
    <row r="89" spans="1:16" x14ac:dyDescent="0.25">
      <c r="A89" s="8"/>
      <c r="B89" s="9"/>
      <c r="C89" s="9"/>
      <c r="D89" s="9"/>
      <c r="E89" s="9"/>
      <c r="F89" s="9"/>
      <c r="G89" s="9"/>
      <c r="H89" s="9"/>
      <c r="I89" s="9"/>
      <c r="J89" s="10"/>
      <c r="K89" s="10">
        <f t="shared" si="10"/>
        <v>0</v>
      </c>
      <c r="L89" s="9">
        <f t="shared" si="11"/>
        <v>1</v>
      </c>
      <c r="M89" s="9">
        <f t="shared" si="12"/>
        <v>1900</v>
      </c>
      <c r="N89" s="9">
        <f t="shared" si="13"/>
        <v>84</v>
      </c>
      <c r="O89" s="10" t="str">
        <f>IF($B89="","",VLOOKUP($B89,Listas!$A$6:$C$200,3,FALSE)+SUMIFS($K$6:$K$200,$B$6:$B$200,$B89,$N$6:$N$200,"&lt;="&amp;$N89))</f>
        <v/>
      </c>
      <c r="P89" s="9" t="str">
        <f t="shared" si="14"/>
        <v/>
      </c>
    </row>
    <row r="90" spans="1:16" x14ac:dyDescent="0.25">
      <c r="A90" s="8"/>
      <c r="B90" s="9"/>
      <c r="C90" s="9"/>
      <c r="D90" s="9"/>
      <c r="E90" s="9"/>
      <c r="F90" s="9"/>
      <c r="G90" s="9"/>
      <c r="H90" s="9"/>
      <c r="I90" s="9"/>
      <c r="J90" s="10"/>
      <c r="K90" s="10">
        <f t="shared" si="10"/>
        <v>0</v>
      </c>
      <c r="L90" s="9">
        <f t="shared" si="11"/>
        <v>1</v>
      </c>
      <c r="M90" s="9">
        <f t="shared" si="12"/>
        <v>1900</v>
      </c>
      <c r="N90" s="9">
        <f t="shared" si="13"/>
        <v>85</v>
      </c>
      <c r="O90" s="10" t="str">
        <f>IF($B90="","",VLOOKUP($B90,Listas!$A$6:$C$200,3,FALSE)+SUMIFS($K$6:$K$200,$B$6:$B$200,$B90,$N$6:$N$200,"&lt;="&amp;$N90))</f>
        <v/>
      </c>
      <c r="P90" s="9" t="str">
        <f t="shared" si="14"/>
        <v/>
      </c>
    </row>
    <row r="91" spans="1:16" x14ac:dyDescent="0.25">
      <c r="A91" s="8"/>
      <c r="B91" s="9"/>
      <c r="C91" s="9"/>
      <c r="D91" s="9"/>
      <c r="E91" s="9"/>
      <c r="F91" s="9"/>
      <c r="G91" s="9"/>
      <c r="H91" s="9"/>
      <c r="I91" s="9"/>
      <c r="J91" s="10"/>
      <c r="K91" s="10">
        <f t="shared" si="10"/>
        <v>0</v>
      </c>
      <c r="L91" s="9">
        <f t="shared" si="11"/>
        <v>1</v>
      </c>
      <c r="M91" s="9">
        <f t="shared" si="12"/>
        <v>1900</v>
      </c>
      <c r="N91" s="9">
        <f t="shared" si="13"/>
        <v>86</v>
      </c>
      <c r="O91" s="10" t="str">
        <f>IF($B91="","",VLOOKUP($B91,Listas!$A$6:$C$200,3,FALSE)+SUMIFS($K$6:$K$200,$B$6:$B$200,$B91,$N$6:$N$200,"&lt;="&amp;$N91))</f>
        <v/>
      </c>
      <c r="P91" s="9" t="str">
        <f t="shared" si="14"/>
        <v/>
      </c>
    </row>
    <row r="92" spans="1:16" x14ac:dyDescent="0.25">
      <c r="A92" s="8"/>
      <c r="B92" s="9"/>
      <c r="C92" s="9"/>
      <c r="D92" s="9"/>
      <c r="E92" s="9"/>
      <c r="F92" s="9"/>
      <c r="G92" s="9"/>
      <c r="H92" s="9"/>
      <c r="I92" s="9"/>
      <c r="J92" s="10"/>
      <c r="K92" s="10">
        <f t="shared" si="10"/>
        <v>0</v>
      </c>
      <c r="L92" s="9">
        <f t="shared" si="11"/>
        <v>1</v>
      </c>
      <c r="M92" s="9">
        <f t="shared" si="12"/>
        <v>1900</v>
      </c>
      <c r="N92" s="9">
        <f t="shared" si="13"/>
        <v>87</v>
      </c>
      <c r="O92" s="10" t="str">
        <f>IF($B92="","",VLOOKUP($B92,Listas!$A$6:$C$200,3,FALSE)+SUMIFS($K$6:$K$200,$B$6:$B$200,$B92,$N$6:$N$200,"&lt;="&amp;$N92))</f>
        <v/>
      </c>
      <c r="P92" s="9" t="str">
        <f t="shared" si="14"/>
        <v/>
      </c>
    </row>
    <row r="93" spans="1:16" x14ac:dyDescent="0.25">
      <c r="A93" s="8"/>
      <c r="B93" s="9"/>
      <c r="C93" s="9"/>
      <c r="D93" s="9"/>
      <c r="E93" s="9"/>
      <c r="F93" s="9"/>
      <c r="G93" s="9"/>
      <c r="H93" s="9"/>
      <c r="I93" s="9"/>
      <c r="J93" s="10"/>
      <c r="K93" s="10">
        <f t="shared" si="10"/>
        <v>0</v>
      </c>
      <c r="L93" s="9">
        <f t="shared" si="11"/>
        <v>1</v>
      </c>
      <c r="M93" s="9">
        <f t="shared" si="12"/>
        <v>1900</v>
      </c>
      <c r="N93" s="9">
        <f t="shared" si="13"/>
        <v>88</v>
      </c>
      <c r="O93" s="10" t="str">
        <f>IF($B93="","",VLOOKUP($B93,Listas!$A$6:$C$200,3,FALSE)+SUMIFS($K$6:$K$200,$B$6:$B$200,$B93,$N$6:$N$200,"&lt;="&amp;$N93))</f>
        <v/>
      </c>
      <c r="P93" s="9" t="str">
        <f t="shared" si="14"/>
        <v/>
      </c>
    </row>
    <row r="94" spans="1:16" x14ac:dyDescent="0.25">
      <c r="A94" s="8"/>
      <c r="B94" s="9"/>
      <c r="C94" s="9"/>
      <c r="D94" s="9"/>
      <c r="E94" s="9"/>
      <c r="F94" s="9"/>
      <c r="G94" s="9"/>
      <c r="H94" s="9"/>
      <c r="I94" s="9"/>
      <c r="J94" s="10"/>
      <c r="K94" s="10">
        <f t="shared" si="10"/>
        <v>0</v>
      </c>
      <c r="L94" s="9">
        <f t="shared" si="11"/>
        <v>1</v>
      </c>
      <c r="M94" s="9">
        <f t="shared" si="12"/>
        <v>1900</v>
      </c>
      <c r="N94" s="9">
        <f t="shared" si="13"/>
        <v>89</v>
      </c>
      <c r="O94" s="10" t="str">
        <f>IF($B94="","",VLOOKUP($B94,Listas!$A$6:$C$200,3,FALSE)+SUMIFS($K$6:$K$200,$B$6:$B$200,$B94,$N$6:$N$200,"&lt;="&amp;$N94))</f>
        <v/>
      </c>
      <c r="P94" s="9" t="str">
        <f t="shared" si="14"/>
        <v/>
      </c>
    </row>
    <row r="95" spans="1:16" x14ac:dyDescent="0.25">
      <c r="A95" s="8"/>
      <c r="B95" s="9"/>
      <c r="C95" s="9"/>
      <c r="D95" s="9"/>
      <c r="E95" s="9"/>
      <c r="F95" s="9"/>
      <c r="G95" s="9"/>
      <c r="H95" s="9"/>
      <c r="I95" s="9"/>
      <c r="J95" s="10"/>
      <c r="K95" s="10">
        <f t="shared" si="10"/>
        <v>0</v>
      </c>
      <c r="L95" s="9">
        <f t="shared" si="11"/>
        <v>1</v>
      </c>
      <c r="M95" s="9">
        <f t="shared" si="12"/>
        <v>1900</v>
      </c>
      <c r="N95" s="9">
        <f t="shared" si="13"/>
        <v>90</v>
      </c>
      <c r="O95" s="10" t="str">
        <f>IF($B95="","",VLOOKUP($B95,Listas!$A$6:$C$200,3,FALSE)+SUMIFS($K$6:$K$200,$B$6:$B$200,$B95,$N$6:$N$200,"&lt;="&amp;$N95))</f>
        <v/>
      </c>
      <c r="P95" s="9" t="str">
        <f t="shared" si="14"/>
        <v/>
      </c>
    </row>
    <row r="96" spans="1:16" x14ac:dyDescent="0.25">
      <c r="A96" s="8"/>
      <c r="B96" s="9"/>
      <c r="C96" s="9"/>
      <c r="D96" s="9"/>
      <c r="E96" s="9"/>
      <c r="F96" s="9"/>
      <c r="G96" s="9"/>
      <c r="H96" s="9"/>
      <c r="I96" s="9"/>
      <c r="J96" s="10"/>
      <c r="K96" s="10">
        <f t="shared" si="10"/>
        <v>0</v>
      </c>
      <c r="L96" s="9">
        <f t="shared" si="11"/>
        <v>1</v>
      </c>
      <c r="M96" s="9">
        <f t="shared" si="12"/>
        <v>1900</v>
      </c>
      <c r="N96" s="9">
        <f t="shared" si="13"/>
        <v>91</v>
      </c>
      <c r="O96" s="10" t="str">
        <f>IF($B96="","",VLOOKUP($B96,Listas!$A$6:$C$200,3,FALSE)+SUMIFS($K$6:$K$200,$B$6:$B$200,$B96,$N$6:$N$200,"&lt;="&amp;$N96))</f>
        <v/>
      </c>
      <c r="P96" s="9" t="str">
        <f t="shared" si="14"/>
        <v/>
      </c>
    </row>
    <row r="97" spans="1:16" x14ac:dyDescent="0.25">
      <c r="A97" s="8"/>
      <c r="B97" s="9"/>
      <c r="C97" s="9"/>
      <c r="D97" s="9"/>
      <c r="E97" s="9"/>
      <c r="F97" s="9"/>
      <c r="G97" s="9"/>
      <c r="H97" s="9"/>
      <c r="I97" s="9"/>
      <c r="J97" s="10"/>
      <c r="K97" s="10">
        <f t="shared" si="10"/>
        <v>0</v>
      </c>
      <c r="L97" s="9">
        <f t="shared" si="11"/>
        <v>1</v>
      </c>
      <c r="M97" s="9">
        <f t="shared" si="12"/>
        <v>1900</v>
      </c>
      <c r="N97" s="9">
        <f t="shared" si="13"/>
        <v>92</v>
      </c>
      <c r="O97" s="10" t="str">
        <f>IF($B97="","",VLOOKUP($B97,Listas!$A$6:$C$200,3,FALSE)+SUMIFS($K$6:$K$200,$B$6:$B$200,$B97,$N$6:$N$200,"&lt;="&amp;$N97))</f>
        <v/>
      </c>
      <c r="P97" s="9" t="str">
        <f t="shared" si="14"/>
        <v/>
      </c>
    </row>
    <row r="98" spans="1:16" x14ac:dyDescent="0.25">
      <c r="A98" s="8"/>
      <c r="B98" s="9"/>
      <c r="C98" s="9"/>
      <c r="D98" s="9"/>
      <c r="E98" s="9"/>
      <c r="F98" s="9"/>
      <c r="G98" s="9"/>
      <c r="H98" s="9"/>
      <c r="I98" s="9"/>
      <c r="J98" s="10"/>
      <c r="K98" s="10">
        <f t="shared" si="10"/>
        <v>0</v>
      </c>
      <c r="L98" s="9">
        <f t="shared" si="11"/>
        <v>1</v>
      </c>
      <c r="M98" s="9">
        <f t="shared" si="12"/>
        <v>1900</v>
      </c>
      <c r="N98" s="9">
        <f t="shared" si="13"/>
        <v>93</v>
      </c>
      <c r="O98" s="10" t="str">
        <f>IF($B98="","",VLOOKUP($B98,Listas!$A$6:$C$200,3,FALSE)+SUMIFS($K$6:$K$200,$B$6:$B$200,$B98,$N$6:$N$200,"&lt;="&amp;$N98))</f>
        <v/>
      </c>
      <c r="P98" s="9" t="str">
        <f t="shared" si="14"/>
        <v/>
      </c>
    </row>
    <row r="99" spans="1:16" x14ac:dyDescent="0.25">
      <c r="A99" s="8"/>
      <c r="B99" s="9"/>
      <c r="C99" s="9"/>
      <c r="D99" s="9"/>
      <c r="E99" s="9"/>
      <c r="F99" s="9"/>
      <c r="G99" s="9"/>
      <c r="H99" s="9"/>
      <c r="I99" s="9"/>
      <c r="J99" s="10"/>
      <c r="K99" s="10">
        <f t="shared" si="10"/>
        <v>0</v>
      </c>
      <c r="L99" s="9">
        <f t="shared" si="11"/>
        <v>1</v>
      </c>
      <c r="M99" s="9">
        <f t="shared" si="12"/>
        <v>1900</v>
      </c>
      <c r="N99" s="9">
        <f t="shared" si="13"/>
        <v>94</v>
      </c>
      <c r="O99" s="10" t="str">
        <f>IF($B99="","",VLOOKUP($B99,Listas!$A$6:$C$200,3,FALSE)+SUMIFS($K$6:$K$200,$B$6:$B$200,$B99,$N$6:$N$200,"&lt;="&amp;$N99))</f>
        <v/>
      </c>
      <c r="P99" s="9" t="str">
        <f t="shared" si="14"/>
        <v/>
      </c>
    </row>
    <row r="100" spans="1:16" x14ac:dyDescent="0.25">
      <c r="A100" s="8"/>
      <c r="B100" s="9"/>
      <c r="C100" s="9"/>
      <c r="D100" s="9"/>
      <c r="E100" s="9"/>
      <c r="F100" s="9"/>
      <c r="G100" s="9"/>
      <c r="H100" s="9"/>
      <c r="I100" s="9"/>
      <c r="J100" s="10"/>
      <c r="K100" s="10">
        <f t="shared" si="10"/>
        <v>0</v>
      </c>
      <c r="L100" s="9">
        <f t="shared" si="11"/>
        <v>1</v>
      </c>
      <c r="M100" s="9">
        <f t="shared" si="12"/>
        <v>1900</v>
      </c>
      <c r="N100" s="9">
        <f t="shared" si="13"/>
        <v>95</v>
      </c>
      <c r="O100" s="10" t="str">
        <f>IF($B100="","",VLOOKUP($B100,Listas!$A$6:$C$200,3,FALSE)+SUMIFS($K$6:$K$200,$B$6:$B$200,$B100,$N$6:$N$200,"&lt;="&amp;$N100))</f>
        <v/>
      </c>
      <c r="P100" s="9" t="str">
        <f t="shared" si="14"/>
        <v/>
      </c>
    </row>
    <row r="101" spans="1:16" x14ac:dyDescent="0.25">
      <c r="A101" s="8"/>
      <c r="B101" s="9"/>
      <c r="C101" s="9"/>
      <c r="D101" s="9"/>
      <c r="E101" s="9"/>
      <c r="F101" s="9"/>
      <c r="G101" s="9"/>
      <c r="H101" s="9"/>
      <c r="I101" s="9"/>
      <c r="J101" s="10"/>
      <c r="K101" s="10">
        <f t="shared" si="10"/>
        <v>0</v>
      </c>
      <c r="L101" s="9">
        <f t="shared" si="11"/>
        <v>1</v>
      </c>
      <c r="M101" s="9">
        <f t="shared" si="12"/>
        <v>1900</v>
      </c>
      <c r="N101" s="9">
        <f t="shared" si="13"/>
        <v>96</v>
      </c>
      <c r="O101" s="10" t="str">
        <f>IF($B101="","",VLOOKUP($B101,Listas!$A$6:$C$200,3,FALSE)+SUMIFS($K$6:$K$200,$B$6:$B$200,$B101,$N$6:$N$200,"&lt;="&amp;$N101))</f>
        <v/>
      </c>
      <c r="P101" s="9" t="str">
        <f t="shared" si="14"/>
        <v/>
      </c>
    </row>
    <row r="102" spans="1:16" x14ac:dyDescent="0.25">
      <c r="A102" s="8"/>
      <c r="B102" s="9"/>
      <c r="C102" s="9"/>
      <c r="D102" s="9"/>
      <c r="E102" s="9"/>
      <c r="F102" s="9"/>
      <c r="G102" s="9"/>
      <c r="H102" s="9"/>
      <c r="I102" s="9"/>
      <c r="J102" s="10"/>
      <c r="K102" s="10">
        <f t="shared" ref="K102:K133" si="15">IF($C102="Ingreso",$J102,IF($C102="Gasto",- $J102,IF($C102="Transferencia",IF($D102="Entrada",$J102,IF($D102="Salida",- $J102,0)),0)))</f>
        <v>0</v>
      </c>
      <c r="L102" s="9">
        <f t="shared" ref="L102:L133" si="16">IFERROR(MONTH($A102),"")</f>
        <v>1</v>
      </c>
      <c r="M102" s="9">
        <f t="shared" ref="M102:M133" si="17">IFERROR(YEAR($A102),"")</f>
        <v>1900</v>
      </c>
      <c r="N102" s="9">
        <f t="shared" ref="N102:N133" si="18">ROW()-5</f>
        <v>97</v>
      </c>
      <c r="O102" s="10" t="str">
        <f>IF($B102="","",VLOOKUP($B102,Listas!$A$6:$C$200,3,FALSE)+SUMIFS($K$6:$K$200,$B$6:$B$200,$B102,$N$6:$N$200,"&lt;="&amp;$N102))</f>
        <v/>
      </c>
      <c r="P102" s="9" t="str">
        <f t="shared" ref="P102:P133" si="19">IF($A102="","",TEXT($A102,"yyyy-mm"))</f>
        <v/>
      </c>
    </row>
    <row r="103" spans="1:16" x14ac:dyDescent="0.25">
      <c r="A103" s="8"/>
      <c r="B103" s="9"/>
      <c r="C103" s="9"/>
      <c r="D103" s="9"/>
      <c r="E103" s="9"/>
      <c r="F103" s="9"/>
      <c r="G103" s="9"/>
      <c r="H103" s="9"/>
      <c r="I103" s="9"/>
      <c r="J103" s="10"/>
      <c r="K103" s="10">
        <f t="shared" si="15"/>
        <v>0</v>
      </c>
      <c r="L103" s="9">
        <f t="shared" si="16"/>
        <v>1</v>
      </c>
      <c r="M103" s="9">
        <f t="shared" si="17"/>
        <v>1900</v>
      </c>
      <c r="N103" s="9">
        <f t="shared" si="18"/>
        <v>98</v>
      </c>
      <c r="O103" s="10" t="str">
        <f>IF($B103="","",VLOOKUP($B103,Listas!$A$6:$C$200,3,FALSE)+SUMIFS($K$6:$K$200,$B$6:$B$200,$B103,$N$6:$N$200,"&lt;="&amp;$N103))</f>
        <v/>
      </c>
      <c r="P103" s="9" t="str">
        <f t="shared" si="19"/>
        <v/>
      </c>
    </row>
    <row r="104" spans="1:16" x14ac:dyDescent="0.25">
      <c r="A104" s="8"/>
      <c r="B104" s="9"/>
      <c r="C104" s="9"/>
      <c r="D104" s="9"/>
      <c r="E104" s="9"/>
      <c r="F104" s="9"/>
      <c r="G104" s="9"/>
      <c r="H104" s="9"/>
      <c r="I104" s="9"/>
      <c r="J104" s="10"/>
      <c r="K104" s="10">
        <f t="shared" si="15"/>
        <v>0</v>
      </c>
      <c r="L104" s="9">
        <f t="shared" si="16"/>
        <v>1</v>
      </c>
      <c r="M104" s="9">
        <f t="shared" si="17"/>
        <v>1900</v>
      </c>
      <c r="N104" s="9">
        <f t="shared" si="18"/>
        <v>99</v>
      </c>
      <c r="O104" s="10" t="str">
        <f>IF($B104="","",VLOOKUP($B104,Listas!$A$6:$C$200,3,FALSE)+SUMIFS($K$6:$K$200,$B$6:$B$200,$B104,$N$6:$N$200,"&lt;="&amp;$N104))</f>
        <v/>
      </c>
      <c r="P104" s="9" t="str">
        <f t="shared" si="19"/>
        <v/>
      </c>
    </row>
    <row r="105" spans="1:16" x14ac:dyDescent="0.25">
      <c r="A105" s="8"/>
      <c r="B105" s="9"/>
      <c r="C105" s="9"/>
      <c r="D105" s="9"/>
      <c r="E105" s="9"/>
      <c r="F105" s="9"/>
      <c r="G105" s="9"/>
      <c r="H105" s="9"/>
      <c r="I105" s="9"/>
      <c r="J105" s="10"/>
      <c r="K105" s="10">
        <f t="shared" si="15"/>
        <v>0</v>
      </c>
      <c r="L105" s="9">
        <f t="shared" si="16"/>
        <v>1</v>
      </c>
      <c r="M105" s="9">
        <f t="shared" si="17"/>
        <v>1900</v>
      </c>
      <c r="N105" s="9">
        <f t="shared" si="18"/>
        <v>100</v>
      </c>
      <c r="O105" s="10" t="str">
        <f>IF($B105="","",VLOOKUP($B105,Listas!$A$6:$C$200,3,FALSE)+SUMIFS($K$6:$K$200,$B$6:$B$200,$B105,$N$6:$N$200,"&lt;="&amp;$N105))</f>
        <v/>
      </c>
      <c r="P105" s="9" t="str">
        <f t="shared" si="19"/>
        <v/>
      </c>
    </row>
    <row r="106" spans="1:16" x14ac:dyDescent="0.25">
      <c r="A106" s="8"/>
      <c r="B106" s="9"/>
      <c r="C106" s="9"/>
      <c r="D106" s="9"/>
      <c r="E106" s="9"/>
      <c r="F106" s="9"/>
      <c r="G106" s="9"/>
      <c r="H106" s="9"/>
      <c r="I106" s="9"/>
      <c r="J106" s="10"/>
      <c r="K106" s="10">
        <f t="shared" si="15"/>
        <v>0</v>
      </c>
      <c r="L106" s="9">
        <f t="shared" si="16"/>
        <v>1</v>
      </c>
      <c r="M106" s="9">
        <f t="shared" si="17"/>
        <v>1900</v>
      </c>
      <c r="N106" s="9">
        <f t="shared" si="18"/>
        <v>101</v>
      </c>
      <c r="O106" s="10" t="str">
        <f>IF($B106="","",VLOOKUP($B106,Listas!$A$6:$C$200,3,FALSE)+SUMIFS($K$6:$K$200,$B$6:$B$200,$B106,$N$6:$N$200,"&lt;="&amp;$N106))</f>
        <v/>
      </c>
      <c r="P106" s="9" t="str">
        <f t="shared" si="19"/>
        <v/>
      </c>
    </row>
    <row r="107" spans="1:16" x14ac:dyDescent="0.25">
      <c r="A107" s="8"/>
      <c r="B107" s="9"/>
      <c r="C107" s="9"/>
      <c r="D107" s="9"/>
      <c r="E107" s="9"/>
      <c r="F107" s="9"/>
      <c r="G107" s="9"/>
      <c r="H107" s="9"/>
      <c r="I107" s="9"/>
      <c r="J107" s="10"/>
      <c r="K107" s="10">
        <f t="shared" si="15"/>
        <v>0</v>
      </c>
      <c r="L107" s="9">
        <f t="shared" si="16"/>
        <v>1</v>
      </c>
      <c r="M107" s="9">
        <f t="shared" si="17"/>
        <v>1900</v>
      </c>
      <c r="N107" s="9">
        <f t="shared" si="18"/>
        <v>102</v>
      </c>
      <c r="O107" s="10" t="str">
        <f>IF($B107="","",VLOOKUP($B107,Listas!$A$6:$C$200,3,FALSE)+SUMIFS($K$6:$K$200,$B$6:$B$200,$B107,$N$6:$N$200,"&lt;="&amp;$N107))</f>
        <v/>
      </c>
      <c r="P107" s="9" t="str">
        <f t="shared" si="19"/>
        <v/>
      </c>
    </row>
    <row r="108" spans="1:16" x14ac:dyDescent="0.25">
      <c r="A108" s="8"/>
      <c r="B108" s="9"/>
      <c r="C108" s="9"/>
      <c r="D108" s="9"/>
      <c r="E108" s="9"/>
      <c r="F108" s="9"/>
      <c r="G108" s="9"/>
      <c r="H108" s="9"/>
      <c r="I108" s="9"/>
      <c r="J108" s="10"/>
      <c r="K108" s="10">
        <f t="shared" si="15"/>
        <v>0</v>
      </c>
      <c r="L108" s="9">
        <f t="shared" si="16"/>
        <v>1</v>
      </c>
      <c r="M108" s="9">
        <f t="shared" si="17"/>
        <v>1900</v>
      </c>
      <c r="N108" s="9">
        <f t="shared" si="18"/>
        <v>103</v>
      </c>
      <c r="O108" s="10" t="str">
        <f>IF($B108="","",VLOOKUP($B108,Listas!$A$6:$C$200,3,FALSE)+SUMIFS($K$6:$K$200,$B$6:$B$200,$B108,$N$6:$N$200,"&lt;="&amp;$N108))</f>
        <v/>
      </c>
      <c r="P108" s="9" t="str">
        <f t="shared" si="19"/>
        <v/>
      </c>
    </row>
    <row r="109" spans="1:16" x14ac:dyDescent="0.25">
      <c r="A109" s="8"/>
      <c r="B109" s="9"/>
      <c r="C109" s="9"/>
      <c r="D109" s="9"/>
      <c r="E109" s="9"/>
      <c r="F109" s="9"/>
      <c r="G109" s="9"/>
      <c r="H109" s="9"/>
      <c r="I109" s="9"/>
      <c r="J109" s="10"/>
      <c r="K109" s="10">
        <f t="shared" si="15"/>
        <v>0</v>
      </c>
      <c r="L109" s="9">
        <f t="shared" si="16"/>
        <v>1</v>
      </c>
      <c r="M109" s="9">
        <f t="shared" si="17"/>
        <v>1900</v>
      </c>
      <c r="N109" s="9">
        <f t="shared" si="18"/>
        <v>104</v>
      </c>
      <c r="O109" s="10" t="str">
        <f>IF($B109="","",VLOOKUP($B109,Listas!$A$6:$C$200,3,FALSE)+SUMIFS($K$6:$K$200,$B$6:$B$200,$B109,$N$6:$N$200,"&lt;="&amp;$N109))</f>
        <v/>
      </c>
      <c r="P109" s="9" t="str">
        <f t="shared" si="19"/>
        <v/>
      </c>
    </row>
    <row r="110" spans="1:16" x14ac:dyDescent="0.25">
      <c r="A110" s="8"/>
      <c r="B110" s="9"/>
      <c r="C110" s="9"/>
      <c r="D110" s="9"/>
      <c r="E110" s="9"/>
      <c r="F110" s="9"/>
      <c r="G110" s="9"/>
      <c r="H110" s="9"/>
      <c r="I110" s="9"/>
      <c r="J110" s="10"/>
      <c r="K110" s="10">
        <f t="shared" si="15"/>
        <v>0</v>
      </c>
      <c r="L110" s="9">
        <f t="shared" si="16"/>
        <v>1</v>
      </c>
      <c r="M110" s="9">
        <f t="shared" si="17"/>
        <v>1900</v>
      </c>
      <c r="N110" s="9">
        <f t="shared" si="18"/>
        <v>105</v>
      </c>
      <c r="O110" s="10" t="str">
        <f>IF($B110="","",VLOOKUP($B110,Listas!$A$6:$C$200,3,FALSE)+SUMIFS($K$6:$K$200,$B$6:$B$200,$B110,$N$6:$N$200,"&lt;="&amp;$N110))</f>
        <v/>
      </c>
      <c r="P110" s="9" t="str">
        <f t="shared" si="19"/>
        <v/>
      </c>
    </row>
    <row r="111" spans="1:16" x14ac:dyDescent="0.25">
      <c r="A111" s="8"/>
      <c r="B111" s="9"/>
      <c r="C111" s="9"/>
      <c r="D111" s="9"/>
      <c r="E111" s="9"/>
      <c r="F111" s="9"/>
      <c r="G111" s="9"/>
      <c r="H111" s="9"/>
      <c r="I111" s="9"/>
      <c r="J111" s="10"/>
      <c r="K111" s="10">
        <f t="shared" si="15"/>
        <v>0</v>
      </c>
      <c r="L111" s="9">
        <f t="shared" si="16"/>
        <v>1</v>
      </c>
      <c r="M111" s="9">
        <f t="shared" si="17"/>
        <v>1900</v>
      </c>
      <c r="N111" s="9">
        <f t="shared" si="18"/>
        <v>106</v>
      </c>
      <c r="O111" s="10" t="str">
        <f>IF($B111="","",VLOOKUP($B111,Listas!$A$6:$C$200,3,FALSE)+SUMIFS($K$6:$K$200,$B$6:$B$200,$B111,$N$6:$N$200,"&lt;="&amp;$N111))</f>
        <v/>
      </c>
      <c r="P111" s="9" t="str">
        <f t="shared" si="19"/>
        <v/>
      </c>
    </row>
    <row r="112" spans="1:16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10"/>
      <c r="K112" s="10">
        <f t="shared" si="15"/>
        <v>0</v>
      </c>
      <c r="L112" s="9">
        <f t="shared" si="16"/>
        <v>1</v>
      </c>
      <c r="M112" s="9">
        <f t="shared" si="17"/>
        <v>1900</v>
      </c>
      <c r="N112" s="9">
        <f t="shared" si="18"/>
        <v>107</v>
      </c>
      <c r="O112" s="10" t="str">
        <f>IF($B112="","",VLOOKUP($B112,Listas!$A$6:$C$200,3,FALSE)+SUMIFS($K$6:$K$200,$B$6:$B$200,$B112,$N$6:$N$200,"&lt;="&amp;$N112))</f>
        <v/>
      </c>
      <c r="P112" s="9" t="str">
        <f t="shared" si="19"/>
        <v/>
      </c>
    </row>
    <row r="113" spans="1:16" x14ac:dyDescent="0.25">
      <c r="A113" s="8"/>
      <c r="B113" s="9"/>
      <c r="C113" s="9"/>
      <c r="D113" s="9"/>
      <c r="E113" s="9"/>
      <c r="F113" s="9"/>
      <c r="G113" s="9"/>
      <c r="H113" s="9"/>
      <c r="I113" s="9"/>
      <c r="J113" s="10"/>
      <c r="K113" s="10">
        <f t="shared" si="15"/>
        <v>0</v>
      </c>
      <c r="L113" s="9">
        <f t="shared" si="16"/>
        <v>1</v>
      </c>
      <c r="M113" s="9">
        <f t="shared" si="17"/>
        <v>1900</v>
      </c>
      <c r="N113" s="9">
        <f t="shared" si="18"/>
        <v>108</v>
      </c>
      <c r="O113" s="10" t="str">
        <f>IF($B113="","",VLOOKUP($B113,Listas!$A$6:$C$200,3,FALSE)+SUMIFS($K$6:$K$200,$B$6:$B$200,$B113,$N$6:$N$200,"&lt;="&amp;$N113))</f>
        <v/>
      </c>
      <c r="P113" s="9" t="str">
        <f t="shared" si="19"/>
        <v/>
      </c>
    </row>
    <row r="114" spans="1:16" x14ac:dyDescent="0.25">
      <c r="A114" s="8"/>
      <c r="B114" s="9"/>
      <c r="C114" s="9"/>
      <c r="D114" s="9"/>
      <c r="E114" s="9"/>
      <c r="F114" s="9"/>
      <c r="G114" s="9"/>
      <c r="H114" s="9"/>
      <c r="I114" s="9"/>
      <c r="J114" s="10"/>
      <c r="K114" s="10">
        <f t="shared" si="15"/>
        <v>0</v>
      </c>
      <c r="L114" s="9">
        <f t="shared" si="16"/>
        <v>1</v>
      </c>
      <c r="M114" s="9">
        <f t="shared" si="17"/>
        <v>1900</v>
      </c>
      <c r="N114" s="9">
        <f t="shared" si="18"/>
        <v>109</v>
      </c>
      <c r="O114" s="10" t="str">
        <f>IF($B114="","",VLOOKUP($B114,Listas!$A$6:$C$200,3,FALSE)+SUMIFS($K$6:$K$200,$B$6:$B$200,$B114,$N$6:$N$200,"&lt;="&amp;$N114))</f>
        <v/>
      </c>
      <c r="P114" s="9" t="str">
        <f t="shared" si="19"/>
        <v/>
      </c>
    </row>
    <row r="115" spans="1:16" x14ac:dyDescent="0.25">
      <c r="A115" s="8"/>
      <c r="B115" s="9"/>
      <c r="C115" s="9"/>
      <c r="D115" s="9"/>
      <c r="E115" s="9"/>
      <c r="F115" s="9"/>
      <c r="G115" s="9"/>
      <c r="H115" s="9"/>
      <c r="I115" s="9"/>
      <c r="J115" s="10"/>
      <c r="K115" s="10">
        <f t="shared" si="15"/>
        <v>0</v>
      </c>
      <c r="L115" s="9">
        <f t="shared" si="16"/>
        <v>1</v>
      </c>
      <c r="M115" s="9">
        <f t="shared" si="17"/>
        <v>1900</v>
      </c>
      <c r="N115" s="9">
        <f t="shared" si="18"/>
        <v>110</v>
      </c>
      <c r="O115" s="10" t="str">
        <f>IF($B115="","",VLOOKUP($B115,Listas!$A$6:$C$200,3,FALSE)+SUMIFS($K$6:$K$200,$B$6:$B$200,$B115,$N$6:$N$200,"&lt;="&amp;$N115))</f>
        <v/>
      </c>
      <c r="P115" s="9" t="str">
        <f t="shared" si="19"/>
        <v/>
      </c>
    </row>
    <row r="116" spans="1:16" x14ac:dyDescent="0.25">
      <c r="A116" s="8"/>
      <c r="B116" s="9"/>
      <c r="C116" s="9"/>
      <c r="D116" s="9"/>
      <c r="E116" s="9"/>
      <c r="F116" s="9"/>
      <c r="G116" s="9"/>
      <c r="H116" s="9"/>
      <c r="I116" s="9"/>
      <c r="J116" s="10"/>
      <c r="K116" s="10">
        <f t="shared" si="15"/>
        <v>0</v>
      </c>
      <c r="L116" s="9">
        <f t="shared" si="16"/>
        <v>1</v>
      </c>
      <c r="M116" s="9">
        <f t="shared" si="17"/>
        <v>1900</v>
      </c>
      <c r="N116" s="9">
        <f t="shared" si="18"/>
        <v>111</v>
      </c>
      <c r="O116" s="10" t="str">
        <f>IF($B116="","",VLOOKUP($B116,Listas!$A$6:$C$200,3,FALSE)+SUMIFS($K$6:$K$200,$B$6:$B$200,$B116,$N$6:$N$200,"&lt;="&amp;$N116))</f>
        <v/>
      </c>
      <c r="P116" s="9" t="str">
        <f t="shared" si="19"/>
        <v/>
      </c>
    </row>
    <row r="117" spans="1:16" x14ac:dyDescent="0.25">
      <c r="A117" s="8"/>
      <c r="B117" s="9"/>
      <c r="C117" s="9"/>
      <c r="D117" s="9"/>
      <c r="E117" s="9"/>
      <c r="F117" s="9"/>
      <c r="G117" s="9"/>
      <c r="H117" s="9"/>
      <c r="I117" s="9"/>
      <c r="J117" s="10"/>
      <c r="K117" s="10">
        <f t="shared" si="15"/>
        <v>0</v>
      </c>
      <c r="L117" s="9">
        <f t="shared" si="16"/>
        <v>1</v>
      </c>
      <c r="M117" s="9">
        <f t="shared" si="17"/>
        <v>1900</v>
      </c>
      <c r="N117" s="9">
        <f t="shared" si="18"/>
        <v>112</v>
      </c>
      <c r="O117" s="10" t="str">
        <f>IF($B117="","",VLOOKUP($B117,Listas!$A$6:$C$200,3,FALSE)+SUMIFS($K$6:$K$200,$B$6:$B$200,$B117,$N$6:$N$200,"&lt;="&amp;$N117))</f>
        <v/>
      </c>
      <c r="P117" s="9" t="str">
        <f t="shared" si="19"/>
        <v/>
      </c>
    </row>
    <row r="118" spans="1:16" x14ac:dyDescent="0.25">
      <c r="A118" s="8"/>
      <c r="B118" s="9"/>
      <c r="C118" s="9"/>
      <c r="D118" s="9"/>
      <c r="E118" s="9"/>
      <c r="F118" s="9"/>
      <c r="G118" s="9"/>
      <c r="H118" s="9"/>
      <c r="I118" s="9"/>
      <c r="J118" s="10"/>
      <c r="K118" s="10">
        <f t="shared" si="15"/>
        <v>0</v>
      </c>
      <c r="L118" s="9">
        <f t="shared" si="16"/>
        <v>1</v>
      </c>
      <c r="M118" s="9">
        <f t="shared" si="17"/>
        <v>1900</v>
      </c>
      <c r="N118" s="9">
        <f t="shared" si="18"/>
        <v>113</v>
      </c>
      <c r="O118" s="10" t="str">
        <f>IF($B118="","",VLOOKUP($B118,Listas!$A$6:$C$200,3,FALSE)+SUMIFS($K$6:$K$200,$B$6:$B$200,$B118,$N$6:$N$200,"&lt;="&amp;$N118))</f>
        <v/>
      </c>
      <c r="P118" s="9" t="str">
        <f t="shared" si="19"/>
        <v/>
      </c>
    </row>
    <row r="119" spans="1:16" x14ac:dyDescent="0.25">
      <c r="A119" s="8"/>
      <c r="B119" s="9"/>
      <c r="C119" s="9"/>
      <c r="D119" s="9"/>
      <c r="E119" s="9"/>
      <c r="F119" s="9"/>
      <c r="G119" s="9"/>
      <c r="H119" s="9"/>
      <c r="I119" s="9"/>
      <c r="J119" s="10"/>
      <c r="K119" s="10">
        <f t="shared" si="15"/>
        <v>0</v>
      </c>
      <c r="L119" s="9">
        <f t="shared" si="16"/>
        <v>1</v>
      </c>
      <c r="M119" s="9">
        <f t="shared" si="17"/>
        <v>1900</v>
      </c>
      <c r="N119" s="9">
        <f t="shared" si="18"/>
        <v>114</v>
      </c>
      <c r="O119" s="10" t="str">
        <f>IF($B119="","",VLOOKUP($B119,Listas!$A$6:$C$200,3,FALSE)+SUMIFS($K$6:$K$200,$B$6:$B$200,$B119,$N$6:$N$200,"&lt;="&amp;$N119))</f>
        <v/>
      </c>
      <c r="P119" s="9" t="str">
        <f t="shared" si="19"/>
        <v/>
      </c>
    </row>
    <row r="120" spans="1:16" x14ac:dyDescent="0.25">
      <c r="A120" s="8"/>
      <c r="B120" s="9"/>
      <c r="C120" s="9"/>
      <c r="D120" s="9"/>
      <c r="E120" s="9"/>
      <c r="F120" s="9"/>
      <c r="G120" s="9"/>
      <c r="H120" s="9"/>
      <c r="I120" s="9"/>
      <c r="J120" s="10"/>
      <c r="K120" s="10">
        <f t="shared" si="15"/>
        <v>0</v>
      </c>
      <c r="L120" s="9">
        <f t="shared" si="16"/>
        <v>1</v>
      </c>
      <c r="M120" s="9">
        <f t="shared" si="17"/>
        <v>1900</v>
      </c>
      <c r="N120" s="9">
        <f t="shared" si="18"/>
        <v>115</v>
      </c>
      <c r="O120" s="10" t="str">
        <f>IF($B120="","",VLOOKUP($B120,Listas!$A$6:$C$200,3,FALSE)+SUMIFS($K$6:$K$200,$B$6:$B$200,$B120,$N$6:$N$200,"&lt;="&amp;$N120))</f>
        <v/>
      </c>
      <c r="P120" s="9" t="str">
        <f t="shared" si="19"/>
        <v/>
      </c>
    </row>
    <row r="121" spans="1:16" x14ac:dyDescent="0.25">
      <c r="A121" s="8"/>
      <c r="B121" s="9"/>
      <c r="C121" s="9"/>
      <c r="D121" s="9"/>
      <c r="E121" s="9"/>
      <c r="F121" s="9"/>
      <c r="G121" s="9"/>
      <c r="H121" s="9"/>
      <c r="I121" s="9"/>
      <c r="J121" s="10"/>
      <c r="K121" s="10">
        <f t="shared" si="15"/>
        <v>0</v>
      </c>
      <c r="L121" s="9">
        <f t="shared" si="16"/>
        <v>1</v>
      </c>
      <c r="M121" s="9">
        <f t="shared" si="17"/>
        <v>1900</v>
      </c>
      <c r="N121" s="9">
        <f t="shared" si="18"/>
        <v>116</v>
      </c>
      <c r="O121" s="10" t="str">
        <f>IF($B121="","",VLOOKUP($B121,Listas!$A$6:$C$200,3,FALSE)+SUMIFS($K$6:$K$200,$B$6:$B$200,$B121,$N$6:$N$200,"&lt;="&amp;$N121))</f>
        <v/>
      </c>
      <c r="P121" s="9" t="str">
        <f t="shared" si="19"/>
        <v/>
      </c>
    </row>
    <row r="122" spans="1:16" x14ac:dyDescent="0.25">
      <c r="A122" s="8"/>
      <c r="B122" s="9"/>
      <c r="C122" s="9"/>
      <c r="D122" s="9"/>
      <c r="E122" s="9"/>
      <c r="F122" s="9"/>
      <c r="G122" s="9"/>
      <c r="H122" s="9"/>
      <c r="I122" s="9"/>
      <c r="J122" s="10"/>
      <c r="K122" s="10">
        <f t="shared" si="15"/>
        <v>0</v>
      </c>
      <c r="L122" s="9">
        <f t="shared" si="16"/>
        <v>1</v>
      </c>
      <c r="M122" s="9">
        <f t="shared" si="17"/>
        <v>1900</v>
      </c>
      <c r="N122" s="9">
        <f t="shared" si="18"/>
        <v>117</v>
      </c>
      <c r="O122" s="10" t="str">
        <f>IF($B122="","",VLOOKUP($B122,Listas!$A$6:$C$200,3,FALSE)+SUMIFS($K$6:$K$200,$B$6:$B$200,$B122,$N$6:$N$200,"&lt;="&amp;$N122))</f>
        <v/>
      </c>
      <c r="P122" s="9" t="str">
        <f t="shared" si="19"/>
        <v/>
      </c>
    </row>
    <row r="123" spans="1:16" x14ac:dyDescent="0.25">
      <c r="A123" s="8"/>
      <c r="B123" s="9"/>
      <c r="C123" s="9"/>
      <c r="D123" s="9"/>
      <c r="E123" s="9"/>
      <c r="F123" s="9"/>
      <c r="G123" s="9"/>
      <c r="H123" s="9"/>
      <c r="I123" s="9"/>
      <c r="J123" s="10"/>
      <c r="K123" s="10">
        <f t="shared" si="15"/>
        <v>0</v>
      </c>
      <c r="L123" s="9">
        <f t="shared" si="16"/>
        <v>1</v>
      </c>
      <c r="M123" s="9">
        <f t="shared" si="17"/>
        <v>1900</v>
      </c>
      <c r="N123" s="9">
        <f t="shared" si="18"/>
        <v>118</v>
      </c>
      <c r="O123" s="10" t="str">
        <f>IF($B123="","",VLOOKUP($B123,Listas!$A$6:$C$200,3,FALSE)+SUMIFS($K$6:$K$200,$B$6:$B$200,$B123,$N$6:$N$200,"&lt;="&amp;$N123))</f>
        <v/>
      </c>
      <c r="P123" s="9" t="str">
        <f t="shared" si="19"/>
        <v/>
      </c>
    </row>
    <row r="124" spans="1:16" x14ac:dyDescent="0.25">
      <c r="A124" s="8"/>
      <c r="B124" s="9"/>
      <c r="C124" s="9"/>
      <c r="D124" s="9"/>
      <c r="E124" s="9"/>
      <c r="F124" s="9"/>
      <c r="G124" s="9"/>
      <c r="H124" s="9"/>
      <c r="I124" s="9"/>
      <c r="J124" s="10"/>
      <c r="K124" s="10">
        <f t="shared" si="15"/>
        <v>0</v>
      </c>
      <c r="L124" s="9">
        <f t="shared" si="16"/>
        <v>1</v>
      </c>
      <c r="M124" s="9">
        <f t="shared" si="17"/>
        <v>1900</v>
      </c>
      <c r="N124" s="9">
        <f t="shared" si="18"/>
        <v>119</v>
      </c>
      <c r="O124" s="10" t="str">
        <f>IF($B124="","",VLOOKUP($B124,Listas!$A$6:$C$200,3,FALSE)+SUMIFS($K$6:$K$200,$B$6:$B$200,$B124,$N$6:$N$200,"&lt;="&amp;$N124))</f>
        <v/>
      </c>
      <c r="P124" s="9" t="str">
        <f t="shared" si="19"/>
        <v/>
      </c>
    </row>
    <row r="125" spans="1:16" x14ac:dyDescent="0.25">
      <c r="A125" s="8"/>
      <c r="B125" s="9"/>
      <c r="C125" s="9"/>
      <c r="D125" s="9"/>
      <c r="E125" s="9"/>
      <c r="F125" s="9"/>
      <c r="G125" s="9"/>
      <c r="H125" s="9"/>
      <c r="I125" s="9"/>
      <c r="J125" s="10"/>
      <c r="K125" s="10">
        <f t="shared" si="15"/>
        <v>0</v>
      </c>
      <c r="L125" s="9">
        <f t="shared" si="16"/>
        <v>1</v>
      </c>
      <c r="M125" s="9">
        <f t="shared" si="17"/>
        <v>1900</v>
      </c>
      <c r="N125" s="9">
        <f t="shared" si="18"/>
        <v>120</v>
      </c>
      <c r="O125" s="10" t="str">
        <f>IF($B125="","",VLOOKUP($B125,Listas!$A$6:$C$200,3,FALSE)+SUMIFS($K$6:$K$200,$B$6:$B$200,$B125,$N$6:$N$200,"&lt;="&amp;$N125))</f>
        <v/>
      </c>
      <c r="P125" s="9" t="str">
        <f t="shared" si="19"/>
        <v/>
      </c>
    </row>
    <row r="126" spans="1:16" x14ac:dyDescent="0.25">
      <c r="A126" s="8"/>
      <c r="B126" s="9"/>
      <c r="C126" s="9"/>
      <c r="D126" s="9"/>
      <c r="E126" s="9"/>
      <c r="F126" s="9"/>
      <c r="G126" s="9"/>
      <c r="H126" s="9"/>
      <c r="I126" s="9"/>
      <c r="J126" s="10"/>
      <c r="K126" s="10">
        <f t="shared" si="15"/>
        <v>0</v>
      </c>
      <c r="L126" s="9">
        <f t="shared" si="16"/>
        <v>1</v>
      </c>
      <c r="M126" s="9">
        <f t="shared" si="17"/>
        <v>1900</v>
      </c>
      <c r="N126" s="9">
        <f t="shared" si="18"/>
        <v>121</v>
      </c>
      <c r="O126" s="10" t="str">
        <f>IF($B126="","",VLOOKUP($B126,Listas!$A$6:$C$200,3,FALSE)+SUMIFS($K$6:$K$200,$B$6:$B$200,$B126,$N$6:$N$200,"&lt;="&amp;$N126))</f>
        <v/>
      </c>
      <c r="P126" s="9" t="str">
        <f t="shared" si="19"/>
        <v/>
      </c>
    </row>
    <row r="127" spans="1:16" x14ac:dyDescent="0.25">
      <c r="A127" s="8"/>
      <c r="B127" s="9"/>
      <c r="C127" s="9"/>
      <c r="D127" s="9"/>
      <c r="E127" s="9"/>
      <c r="F127" s="9"/>
      <c r="G127" s="9"/>
      <c r="H127" s="9"/>
      <c r="I127" s="9"/>
      <c r="J127" s="10"/>
      <c r="K127" s="10">
        <f t="shared" si="15"/>
        <v>0</v>
      </c>
      <c r="L127" s="9">
        <f t="shared" si="16"/>
        <v>1</v>
      </c>
      <c r="M127" s="9">
        <f t="shared" si="17"/>
        <v>1900</v>
      </c>
      <c r="N127" s="9">
        <f t="shared" si="18"/>
        <v>122</v>
      </c>
      <c r="O127" s="10" t="str">
        <f>IF($B127="","",VLOOKUP($B127,Listas!$A$6:$C$200,3,FALSE)+SUMIFS($K$6:$K$200,$B$6:$B$200,$B127,$N$6:$N$200,"&lt;="&amp;$N127))</f>
        <v/>
      </c>
      <c r="P127" s="9" t="str">
        <f t="shared" si="19"/>
        <v/>
      </c>
    </row>
    <row r="128" spans="1:16" x14ac:dyDescent="0.25">
      <c r="A128" s="8"/>
      <c r="B128" s="9"/>
      <c r="C128" s="9"/>
      <c r="D128" s="9"/>
      <c r="E128" s="9"/>
      <c r="F128" s="9"/>
      <c r="G128" s="9"/>
      <c r="H128" s="9"/>
      <c r="I128" s="9"/>
      <c r="J128" s="10"/>
      <c r="K128" s="10">
        <f t="shared" si="15"/>
        <v>0</v>
      </c>
      <c r="L128" s="9">
        <f t="shared" si="16"/>
        <v>1</v>
      </c>
      <c r="M128" s="9">
        <f t="shared" si="17"/>
        <v>1900</v>
      </c>
      <c r="N128" s="9">
        <f t="shared" si="18"/>
        <v>123</v>
      </c>
      <c r="O128" s="10" t="str">
        <f>IF($B128="","",VLOOKUP($B128,Listas!$A$6:$C$200,3,FALSE)+SUMIFS($K$6:$K$200,$B$6:$B$200,$B128,$N$6:$N$200,"&lt;="&amp;$N128))</f>
        <v/>
      </c>
      <c r="P128" s="9" t="str">
        <f t="shared" si="19"/>
        <v/>
      </c>
    </row>
    <row r="129" spans="1:16" x14ac:dyDescent="0.25">
      <c r="A129" s="8"/>
      <c r="B129" s="9"/>
      <c r="C129" s="9"/>
      <c r="D129" s="9"/>
      <c r="E129" s="9"/>
      <c r="F129" s="9"/>
      <c r="G129" s="9"/>
      <c r="H129" s="9"/>
      <c r="I129" s="9"/>
      <c r="J129" s="10"/>
      <c r="K129" s="10">
        <f t="shared" si="15"/>
        <v>0</v>
      </c>
      <c r="L129" s="9">
        <f t="shared" si="16"/>
        <v>1</v>
      </c>
      <c r="M129" s="9">
        <f t="shared" si="17"/>
        <v>1900</v>
      </c>
      <c r="N129" s="9">
        <f t="shared" si="18"/>
        <v>124</v>
      </c>
      <c r="O129" s="10" t="str">
        <f>IF($B129="","",VLOOKUP($B129,Listas!$A$6:$C$200,3,FALSE)+SUMIFS($K$6:$K$200,$B$6:$B$200,$B129,$N$6:$N$200,"&lt;="&amp;$N129))</f>
        <v/>
      </c>
      <c r="P129" s="9" t="str">
        <f t="shared" si="19"/>
        <v/>
      </c>
    </row>
    <row r="130" spans="1:16" x14ac:dyDescent="0.25">
      <c r="A130" s="8"/>
      <c r="B130" s="9"/>
      <c r="C130" s="9"/>
      <c r="D130" s="9"/>
      <c r="E130" s="9"/>
      <c r="F130" s="9"/>
      <c r="G130" s="9"/>
      <c r="H130" s="9"/>
      <c r="I130" s="9"/>
      <c r="J130" s="10"/>
      <c r="K130" s="10">
        <f t="shared" si="15"/>
        <v>0</v>
      </c>
      <c r="L130" s="9">
        <f t="shared" si="16"/>
        <v>1</v>
      </c>
      <c r="M130" s="9">
        <f t="shared" si="17"/>
        <v>1900</v>
      </c>
      <c r="N130" s="9">
        <f t="shared" si="18"/>
        <v>125</v>
      </c>
      <c r="O130" s="10" t="str">
        <f>IF($B130="","",VLOOKUP($B130,Listas!$A$6:$C$200,3,FALSE)+SUMIFS($K$6:$K$200,$B$6:$B$200,$B130,$N$6:$N$200,"&lt;="&amp;$N130))</f>
        <v/>
      </c>
      <c r="P130" s="9" t="str">
        <f t="shared" si="19"/>
        <v/>
      </c>
    </row>
    <row r="131" spans="1:16" x14ac:dyDescent="0.25">
      <c r="A131" s="8"/>
      <c r="B131" s="9"/>
      <c r="C131" s="9"/>
      <c r="D131" s="9"/>
      <c r="E131" s="9"/>
      <c r="F131" s="9"/>
      <c r="G131" s="9"/>
      <c r="H131" s="9"/>
      <c r="I131" s="9"/>
      <c r="J131" s="10"/>
      <c r="K131" s="10">
        <f t="shared" si="15"/>
        <v>0</v>
      </c>
      <c r="L131" s="9">
        <f t="shared" si="16"/>
        <v>1</v>
      </c>
      <c r="M131" s="9">
        <f t="shared" si="17"/>
        <v>1900</v>
      </c>
      <c r="N131" s="9">
        <f t="shared" si="18"/>
        <v>126</v>
      </c>
      <c r="O131" s="10" t="str">
        <f>IF($B131="","",VLOOKUP($B131,Listas!$A$6:$C$200,3,FALSE)+SUMIFS($K$6:$K$200,$B$6:$B$200,$B131,$N$6:$N$200,"&lt;="&amp;$N131))</f>
        <v/>
      </c>
      <c r="P131" s="9" t="str">
        <f t="shared" si="19"/>
        <v/>
      </c>
    </row>
    <row r="132" spans="1:16" x14ac:dyDescent="0.25">
      <c r="A132" s="8"/>
      <c r="B132" s="9"/>
      <c r="C132" s="9"/>
      <c r="D132" s="9"/>
      <c r="E132" s="9"/>
      <c r="F132" s="9"/>
      <c r="G132" s="9"/>
      <c r="H132" s="9"/>
      <c r="I132" s="9"/>
      <c r="J132" s="10"/>
      <c r="K132" s="10">
        <f t="shared" si="15"/>
        <v>0</v>
      </c>
      <c r="L132" s="9">
        <f t="shared" si="16"/>
        <v>1</v>
      </c>
      <c r="M132" s="9">
        <f t="shared" si="17"/>
        <v>1900</v>
      </c>
      <c r="N132" s="9">
        <f t="shared" si="18"/>
        <v>127</v>
      </c>
      <c r="O132" s="10" t="str">
        <f>IF($B132="","",VLOOKUP($B132,Listas!$A$6:$C$200,3,FALSE)+SUMIFS($K$6:$K$200,$B$6:$B$200,$B132,$N$6:$N$200,"&lt;="&amp;$N132))</f>
        <v/>
      </c>
      <c r="P132" s="9" t="str">
        <f t="shared" si="19"/>
        <v/>
      </c>
    </row>
    <row r="133" spans="1:16" x14ac:dyDescent="0.25">
      <c r="A133" s="8"/>
      <c r="B133" s="9"/>
      <c r="C133" s="9"/>
      <c r="D133" s="9"/>
      <c r="E133" s="9"/>
      <c r="F133" s="9"/>
      <c r="G133" s="9"/>
      <c r="H133" s="9"/>
      <c r="I133" s="9"/>
      <c r="J133" s="10"/>
      <c r="K133" s="10">
        <f t="shared" si="15"/>
        <v>0</v>
      </c>
      <c r="L133" s="9">
        <f t="shared" si="16"/>
        <v>1</v>
      </c>
      <c r="M133" s="9">
        <f t="shared" si="17"/>
        <v>1900</v>
      </c>
      <c r="N133" s="9">
        <f t="shared" si="18"/>
        <v>128</v>
      </c>
      <c r="O133" s="10" t="str">
        <f>IF($B133="","",VLOOKUP($B133,Listas!$A$6:$C$200,3,FALSE)+SUMIFS($K$6:$K$200,$B$6:$B$200,$B133,$N$6:$N$200,"&lt;="&amp;$N133))</f>
        <v/>
      </c>
      <c r="P133" s="9" t="str">
        <f t="shared" si="19"/>
        <v/>
      </c>
    </row>
    <row r="134" spans="1:16" x14ac:dyDescent="0.25">
      <c r="A134" s="8"/>
      <c r="B134" s="9"/>
      <c r="C134" s="9"/>
      <c r="D134" s="9"/>
      <c r="E134" s="9"/>
      <c r="F134" s="9"/>
      <c r="G134" s="9"/>
      <c r="H134" s="9"/>
      <c r="I134" s="9"/>
      <c r="J134" s="10"/>
      <c r="K134" s="10">
        <f t="shared" ref="K134:K165" si="20">IF($C134="Ingreso",$J134,IF($C134="Gasto",- $J134,IF($C134="Transferencia",IF($D134="Entrada",$J134,IF($D134="Salida",- $J134,0)),0)))</f>
        <v>0</v>
      </c>
      <c r="L134" s="9">
        <f t="shared" ref="L134:L165" si="21">IFERROR(MONTH($A134),"")</f>
        <v>1</v>
      </c>
      <c r="M134" s="9">
        <f t="shared" ref="M134:M165" si="22">IFERROR(YEAR($A134),"")</f>
        <v>1900</v>
      </c>
      <c r="N134" s="9">
        <f t="shared" ref="N134:N165" si="23">ROW()-5</f>
        <v>129</v>
      </c>
      <c r="O134" s="10" t="str">
        <f>IF($B134="","",VLOOKUP($B134,Listas!$A$6:$C$200,3,FALSE)+SUMIFS($K$6:$K$200,$B$6:$B$200,$B134,$N$6:$N$200,"&lt;="&amp;$N134))</f>
        <v/>
      </c>
      <c r="P134" s="9" t="str">
        <f t="shared" ref="P134:P165" si="24">IF($A134="","",TEXT($A134,"yyyy-mm"))</f>
        <v/>
      </c>
    </row>
    <row r="135" spans="1:16" x14ac:dyDescent="0.25">
      <c r="A135" s="8"/>
      <c r="B135" s="9"/>
      <c r="C135" s="9"/>
      <c r="D135" s="9"/>
      <c r="E135" s="9"/>
      <c r="F135" s="9"/>
      <c r="G135" s="9"/>
      <c r="H135" s="9"/>
      <c r="I135" s="9"/>
      <c r="J135" s="10"/>
      <c r="K135" s="10">
        <f t="shared" si="20"/>
        <v>0</v>
      </c>
      <c r="L135" s="9">
        <f t="shared" si="21"/>
        <v>1</v>
      </c>
      <c r="M135" s="9">
        <f t="shared" si="22"/>
        <v>1900</v>
      </c>
      <c r="N135" s="9">
        <f t="shared" si="23"/>
        <v>130</v>
      </c>
      <c r="O135" s="10" t="str">
        <f>IF($B135="","",VLOOKUP($B135,Listas!$A$6:$C$200,3,FALSE)+SUMIFS($K$6:$K$200,$B$6:$B$200,$B135,$N$6:$N$200,"&lt;="&amp;$N135))</f>
        <v/>
      </c>
      <c r="P135" s="9" t="str">
        <f t="shared" si="24"/>
        <v/>
      </c>
    </row>
    <row r="136" spans="1:16" x14ac:dyDescent="0.25">
      <c r="A136" s="8"/>
      <c r="B136" s="9"/>
      <c r="C136" s="9"/>
      <c r="D136" s="9"/>
      <c r="E136" s="9"/>
      <c r="F136" s="9"/>
      <c r="G136" s="9"/>
      <c r="H136" s="9"/>
      <c r="I136" s="9"/>
      <c r="J136" s="10"/>
      <c r="K136" s="10">
        <f t="shared" si="20"/>
        <v>0</v>
      </c>
      <c r="L136" s="9">
        <f t="shared" si="21"/>
        <v>1</v>
      </c>
      <c r="M136" s="9">
        <f t="shared" si="22"/>
        <v>1900</v>
      </c>
      <c r="N136" s="9">
        <f t="shared" si="23"/>
        <v>131</v>
      </c>
      <c r="O136" s="10" t="str">
        <f>IF($B136="","",VLOOKUP($B136,Listas!$A$6:$C$200,3,FALSE)+SUMIFS($K$6:$K$200,$B$6:$B$200,$B136,$N$6:$N$200,"&lt;="&amp;$N136))</f>
        <v/>
      </c>
      <c r="P136" s="9" t="str">
        <f t="shared" si="24"/>
        <v/>
      </c>
    </row>
    <row r="137" spans="1:16" x14ac:dyDescent="0.25">
      <c r="A137" s="8"/>
      <c r="B137" s="9"/>
      <c r="C137" s="9"/>
      <c r="D137" s="9"/>
      <c r="E137" s="9"/>
      <c r="F137" s="9"/>
      <c r="G137" s="9"/>
      <c r="H137" s="9"/>
      <c r="I137" s="9"/>
      <c r="J137" s="10"/>
      <c r="K137" s="10">
        <f t="shared" si="20"/>
        <v>0</v>
      </c>
      <c r="L137" s="9">
        <f t="shared" si="21"/>
        <v>1</v>
      </c>
      <c r="M137" s="9">
        <f t="shared" si="22"/>
        <v>1900</v>
      </c>
      <c r="N137" s="9">
        <f t="shared" si="23"/>
        <v>132</v>
      </c>
      <c r="O137" s="10" t="str">
        <f>IF($B137="","",VLOOKUP($B137,Listas!$A$6:$C$200,3,FALSE)+SUMIFS($K$6:$K$200,$B$6:$B$200,$B137,$N$6:$N$200,"&lt;="&amp;$N137))</f>
        <v/>
      </c>
      <c r="P137" s="9" t="str">
        <f t="shared" si="24"/>
        <v/>
      </c>
    </row>
    <row r="138" spans="1:16" x14ac:dyDescent="0.25">
      <c r="A138" s="8"/>
      <c r="B138" s="9"/>
      <c r="C138" s="9"/>
      <c r="D138" s="9"/>
      <c r="E138" s="9"/>
      <c r="F138" s="9"/>
      <c r="G138" s="9"/>
      <c r="H138" s="9"/>
      <c r="I138" s="9"/>
      <c r="J138" s="10"/>
      <c r="K138" s="10">
        <f t="shared" si="20"/>
        <v>0</v>
      </c>
      <c r="L138" s="9">
        <f t="shared" si="21"/>
        <v>1</v>
      </c>
      <c r="M138" s="9">
        <f t="shared" si="22"/>
        <v>1900</v>
      </c>
      <c r="N138" s="9">
        <f t="shared" si="23"/>
        <v>133</v>
      </c>
      <c r="O138" s="10" t="str">
        <f>IF($B138="","",VLOOKUP($B138,Listas!$A$6:$C$200,3,FALSE)+SUMIFS($K$6:$K$200,$B$6:$B$200,$B138,$N$6:$N$200,"&lt;="&amp;$N138))</f>
        <v/>
      </c>
      <c r="P138" s="9" t="str">
        <f t="shared" si="24"/>
        <v/>
      </c>
    </row>
    <row r="139" spans="1:16" x14ac:dyDescent="0.25">
      <c r="A139" s="8"/>
      <c r="B139" s="9"/>
      <c r="C139" s="9"/>
      <c r="D139" s="9"/>
      <c r="E139" s="9"/>
      <c r="F139" s="9"/>
      <c r="G139" s="9"/>
      <c r="H139" s="9"/>
      <c r="I139" s="9"/>
      <c r="J139" s="10"/>
      <c r="K139" s="10">
        <f t="shared" si="20"/>
        <v>0</v>
      </c>
      <c r="L139" s="9">
        <f t="shared" si="21"/>
        <v>1</v>
      </c>
      <c r="M139" s="9">
        <f t="shared" si="22"/>
        <v>1900</v>
      </c>
      <c r="N139" s="9">
        <f t="shared" si="23"/>
        <v>134</v>
      </c>
      <c r="O139" s="10" t="str">
        <f>IF($B139="","",VLOOKUP($B139,Listas!$A$6:$C$200,3,FALSE)+SUMIFS($K$6:$K$200,$B$6:$B$200,$B139,$N$6:$N$200,"&lt;="&amp;$N139))</f>
        <v/>
      </c>
      <c r="P139" s="9" t="str">
        <f t="shared" si="24"/>
        <v/>
      </c>
    </row>
    <row r="140" spans="1:16" x14ac:dyDescent="0.25">
      <c r="A140" s="8"/>
      <c r="B140" s="9"/>
      <c r="C140" s="9"/>
      <c r="D140" s="9"/>
      <c r="E140" s="9"/>
      <c r="F140" s="9"/>
      <c r="G140" s="9"/>
      <c r="H140" s="9"/>
      <c r="I140" s="9"/>
      <c r="J140" s="10"/>
      <c r="K140" s="10">
        <f t="shared" si="20"/>
        <v>0</v>
      </c>
      <c r="L140" s="9">
        <f t="shared" si="21"/>
        <v>1</v>
      </c>
      <c r="M140" s="9">
        <f t="shared" si="22"/>
        <v>1900</v>
      </c>
      <c r="N140" s="9">
        <f t="shared" si="23"/>
        <v>135</v>
      </c>
      <c r="O140" s="10" t="str">
        <f>IF($B140="","",VLOOKUP($B140,Listas!$A$6:$C$200,3,FALSE)+SUMIFS($K$6:$K$200,$B$6:$B$200,$B140,$N$6:$N$200,"&lt;="&amp;$N140))</f>
        <v/>
      </c>
      <c r="P140" s="9" t="str">
        <f t="shared" si="24"/>
        <v/>
      </c>
    </row>
    <row r="141" spans="1:16" x14ac:dyDescent="0.25">
      <c r="A141" s="8"/>
      <c r="B141" s="9"/>
      <c r="C141" s="9"/>
      <c r="D141" s="9"/>
      <c r="E141" s="9"/>
      <c r="F141" s="9"/>
      <c r="G141" s="9"/>
      <c r="H141" s="9"/>
      <c r="I141" s="9"/>
      <c r="J141" s="10"/>
      <c r="K141" s="10">
        <f t="shared" si="20"/>
        <v>0</v>
      </c>
      <c r="L141" s="9">
        <f t="shared" si="21"/>
        <v>1</v>
      </c>
      <c r="M141" s="9">
        <f t="shared" si="22"/>
        <v>1900</v>
      </c>
      <c r="N141" s="9">
        <f t="shared" si="23"/>
        <v>136</v>
      </c>
      <c r="O141" s="10" t="str">
        <f>IF($B141="","",VLOOKUP($B141,Listas!$A$6:$C$200,3,FALSE)+SUMIFS($K$6:$K$200,$B$6:$B$200,$B141,$N$6:$N$200,"&lt;="&amp;$N141))</f>
        <v/>
      </c>
      <c r="P141" s="9" t="str">
        <f t="shared" si="24"/>
        <v/>
      </c>
    </row>
    <row r="142" spans="1:16" x14ac:dyDescent="0.25">
      <c r="A142" s="8"/>
      <c r="B142" s="9"/>
      <c r="C142" s="9"/>
      <c r="D142" s="9"/>
      <c r="E142" s="9"/>
      <c r="F142" s="9"/>
      <c r="G142" s="9"/>
      <c r="H142" s="9"/>
      <c r="I142" s="9"/>
      <c r="J142" s="10"/>
      <c r="K142" s="10">
        <f t="shared" si="20"/>
        <v>0</v>
      </c>
      <c r="L142" s="9">
        <f t="shared" si="21"/>
        <v>1</v>
      </c>
      <c r="M142" s="9">
        <f t="shared" si="22"/>
        <v>1900</v>
      </c>
      <c r="N142" s="9">
        <f t="shared" si="23"/>
        <v>137</v>
      </c>
      <c r="O142" s="10" t="str">
        <f>IF($B142="","",VLOOKUP($B142,Listas!$A$6:$C$200,3,FALSE)+SUMIFS($K$6:$K$200,$B$6:$B$200,$B142,$N$6:$N$200,"&lt;="&amp;$N142))</f>
        <v/>
      </c>
      <c r="P142" s="9" t="str">
        <f t="shared" si="24"/>
        <v/>
      </c>
    </row>
    <row r="143" spans="1:16" x14ac:dyDescent="0.25">
      <c r="A143" s="8"/>
      <c r="B143" s="9"/>
      <c r="C143" s="9"/>
      <c r="D143" s="9"/>
      <c r="E143" s="9"/>
      <c r="F143" s="9"/>
      <c r="G143" s="9"/>
      <c r="H143" s="9"/>
      <c r="I143" s="9"/>
      <c r="J143" s="10"/>
      <c r="K143" s="10">
        <f t="shared" si="20"/>
        <v>0</v>
      </c>
      <c r="L143" s="9">
        <f t="shared" si="21"/>
        <v>1</v>
      </c>
      <c r="M143" s="9">
        <f t="shared" si="22"/>
        <v>1900</v>
      </c>
      <c r="N143" s="9">
        <f t="shared" si="23"/>
        <v>138</v>
      </c>
      <c r="O143" s="10" t="str">
        <f>IF($B143="","",VLOOKUP($B143,Listas!$A$6:$C$200,3,FALSE)+SUMIFS($K$6:$K$200,$B$6:$B$200,$B143,$N$6:$N$200,"&lt;="&amp;$N143))</f>
        <v/>
      </c>
      <c r="P143" s="9" t="str">
        <f t="shared" si="24"/>
        <v/>
      </c>
    </row>
    <row r="144" spans="1:16" x14ac:dyDescent="0.25">
      <c r="A144" s="8"/>
      <c r="B144" s="9"/>
      <c r="C144" s="9"/>
      <c r="D144" s="9"/>
      <c r="E144" s="9"/>
      <c r="F144" s="9"/>
      <c r="G144" s="9"/>
      <c r="H144" s="9"/>
      <c r="I144" s="9"/>
      <c r="J144" s="10"/>
      <c r="K144" s="10">
        <f t="shared" si="20"/>
        <v>0</v>
      </c>
      <c r="L144" s="9">
        <f t="shared" si="21"/>
        <v>1</v>
      </c>
      <c r="M144" s="9">
        <f t="shared" si="22"/>
        <v>1900</v>
      </c>
      <c r="N144" s="9">
        <f t="shared" si="23"/>
        <v>139</v>
      </c>
      <c r="O144" s="10" t="str">
        <f>IF($B144="","",VLOOKUP($B144,Listas!$A$6:$C$200,3,FALSE)+SUMIFS($K$6:$K$200,$B$6:$B$200,$B144,$N$6:$N$200,"&lt;="&amp;$N144))</f>
        <v/>
      </c>
      <c r="P144" s="9" t="str">
        <f t="shared" si="24"/>
        <v/>
      </c>
    </row>
    <row r="145" spans="1:16" x14ac:dyDescent="0.25">
      <c r="A145" s="8"/>
      <c r="B145" s="9"/>
      <c r="C145" s="9"/>
      <c r="D145" s="9"/>
      <c r="E145" s="9"/>
      <c r="F145" s="9"/>
      <c r="G145" s="9"/>
      <c r="H145" s="9"/>
      <c r="I145" s="9"/>
      <c r="J145" s="10"/>
      <c r="K145" s="10">
        <f t="shared" si="20"/>
        <v>0</v>
      </c>
      <c r="L145" s="9">
        <f t="shared" si="21"/>
        <v>1</v>
      </c>
      <c r="M145" s="9">
        <f t="shared" si="22"/>
        <v>1900</v>
      </c>
      <c r="N145" s="9">
        <f t="shared" si="23"/>
        <v>140</v>
      </c>
      <c r="O145" s="10" t="str">
        <f>IF($B145="","",VLOOKUP($B145,Listas!$A$6:$C$200,3,FALSE)+SUMIFS($K$6:$K$200,$B$6:$B$200,$B145,$N$6:$N$200,"&lt;="&amp;$N145))</f>
        <v/>
      </c>
      <c r="P145" s="9" t="str">
        <f t="shared" si="24"/>
        <v/>
      </c>
    </row>
    <row r="146" spans="1:16" x14ac:dyDescent="0.25">
      <c r="A146" s="8"/>
      <c r="B146" s="9"/>
      <c r="C146" s="9"/>
      <c r="D146" s="9"/>
      <c r="E146" s="9"/>
      <c r="F146" s="9"/>
      <c r="G146" s="9"/>
      <c r="H146" s="9"/>
      <c r="I146" s="9"/>
      <c r="J146" s="10"/>
      <c r="K146" s="10">
        <f t="shared" si="20"/>
        <v>0</v>
      </c>
      <c r="L146" s="9">
        <f t="shared" si="21"/>
        <v>1</v>
      </c>
      <c r="M146" s="9">
        <f t="shared" si="22"/>
        <v>1900</v>
      </c>
      <c r="N146" s="9">
        <f t="shared" si="23"/>
        <v>141</v>
      </c>
      <c r="O146" s="10" t="str">
        <f>IF($B146="","",VLOOKUP($B146,Listas!$A$6:$C$200,3,FALSE)+SUMIFS($K$6:$K$200,$B$6:$B$200,$B146,$N$6:$N$200,"&lt;="&amp;$N146))</f>
        <v/>
      </c>
      <c r="P146" s="9" t="str">
        <f t="shared" si="24"/>
        <v/>
      </c>
    </row>
    <row r="147" spans="1:16" x14ac:dyDescent="0.25">
      <c r="A147" s="8"/>
      <c r="B147" s="9"/>
      <c r="C147" s="9"/>
      <c r="D147" s="9"/>
      <c r="E147" s="9"/>
      <c r="F147" s="9"/>
      <c r="G147" s="9"/>
      <c r="H147" s="9"/>
      <c r="I147" s="9"/>
      <c r="J147" s="10"/>
      <c r="K147" s="10">
        <f t="shared" si="20"/>
        <v>0</v>
      </c>
      <c r="L147" s="9">
        <f t="shared" si="21"/>
        <v>1</v>
      </c>
      <c r="M147" s="9">
        <f t="shared" si="22"/>
        <v>1900</v>
      </c>
      <c r="N147" s="9">
        <f t="shared" si="23"/>
        <v>142</v>
      </c>
      <c r="O147" s="10" t="str">
        <f>IF($B147="","",VLOOKUP($B147,Listas!$A$6:$C$200,3,FALSE)+SUMIFS($K$6:$K$200,$B$6:$B$200,$B147,$N$6:$N$200,"&lt;="&amp;$N147))</f>
        <v/>
      </c>
      <c r="P147" s="9" t="str">
        <f t="shared" si="24"/>
        <v/>
      </c>
    </row>
    <row r="148" spans="1:16" x14ac:dyDescent="0.25">
      <c r="A148" s="8"/>
      <c r="B148" s="9"/>
      <c r="C148" s="9"/>
      <c r="D148" s="9"/>
      <c r="E148" s="9"/>
      <c r="F148" s="9"/>
      <c r="G148" s="9"/>
      <c r="H148" s="9"/>
      <c r="I148" s="9"/>
      <c r="J148" s="10"/>
      <c r="K148" s="10">
        <f t="shared" si="20"/>
        <v>0</v>
      </c>
      <c r="L148" s="9">
        <f t="shared" si="21"/>
        <v>1</v>
      </c>
      <c r="M148" s="9">
        <f t="shared" si="22"/>
        <v>1900</v>
      </c>
      <c r="N148" s="9">
        <f t="shared" si="23"/>
        <v>143</v>
      </c>
      <c r="O148" s="10" t="str">
        <f>IF($B148="","",VLOOKUP($B148,Listas!$A$6:$C$200,3,FALSE)+SUMIFS($K$6:$K$200,$B$6:$B$200,$B148,$N$6:$N$200,"&lt;="&amp;$N148))</f>
        <v/>
      </c>
      <c r="P148" s="9" t="str">
        <f t="shared" si="24"/>
        <v/>
      </c>
    </row>
    <row r="149" spans="1:16" x14ac:dyDescent="0.25">
      <c r="A149" s="8"/>
      <c r="B149" s="9"/>
      <c r="C149" s="9"/>
      <c r="D149" s="9"/>
      <c r="E149" s="9"/>
      <c r="F149" s="9"/>
      <c r="G149" s="9"/>
      <c r="H149" s="9"/>
      <c r="I149" s="9"/>
      <c r="J149" s="10"/>
      <c r="K149" s="10">
        <f t="shared" si="20"/>
        <v>0</v>
      </c>
      <c r="L149" s="9">
        <f t="shared" si="21"/>
        <v>1</v>
      </c>
      <c r="M149" s="9">
        <f t="shared" si="22"/>
        <v>1900</v>
      </c>
      <c r="N149" s="9">
        <f t="shared" si="23"/>
        <v>144</v>
      </c>
      <c r="O149" s="10" t="str">
        <f>IF($B149="","",VLOOKUP($B149,Listas!$A$6:$C$200,3,FALSE)+SUMIFS($K$6:$K$200,$B$6:$B$200,$B149,$N$6:$N$200,"&lt;="&amp;$N149))</f>
        <v/>
      </c>
      <c r="P149" s="9" t="str">
        <f t="shared" si="24"/>
        <v/>
      </c>
    </row>
    <row r="150" spans="1:16" x14ac:dyDescent="0.25">
      <c r="A150" s="8"/>
      <c r="B150" s="9"/>
      <c r="C150" s="9"/>
      <c r="D150" s="9"/>
      <c r="E150" s="9"/>
      <c r="F150" s="9"/>
      <c r="G150" s="9"/>
      <c r="H150" s="9"/>
      <c r="I150" s="9"/>
      <c r="J150" s="10"/>
      <c r="K150" s="10">
        <f t="shared" si="20"/>
        <v>0</v>
      </c>
      <c r="L150" s="9">
        <f t="shared" si="21"/>
        <v>1</v>
      </c>
      <c r="M150" s="9">
        <f t="shared" si="22"/>
        <v>1900</v>
      </c>
      <c r="N150" s="9">
        <f t="shared" si="23"/>
        <v>145</v>
      </c>
      <c r="O150" s="10" t="str">
        <f>IF($B150="","",VLOOKUP($B150,Listas!$A$6:$C$200,3,FALSE)+SUMIFS($K$6:$K$200,$B$6:$B$200,$B150,$N$6:$N$200,"&lt;="&amp;$N150))</f>
        <v/>
      </c>
      <c r="P150" s="9" t="str">
        <f t="shared" si="24"/>
        <v/>
      </c>
    </row>
    <row r="151" spans="1:16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10"/>
      <c r="K151" s="10">
        <f t="shared" si="20"/>
        <v>0</v>
      </c>
      <c r="L151" s="9">
        <f t="shared" si="21"/>
        <v>1</v>
      </c>
      <c r="M151" s="9">
        <f t="shared" si="22"/>
        <v>1900</v>
      </c>
      <c r="N151" s="9">
        <f t="shared" si="23"/>
        <v>146</v>
      </c>
      <c r="O151" s="10" t="str">
        <f>IF($B151="","",VLOOKUP($B151,Listas!$A$6:$C$200,3,FALSE)+SUMIFS($K$6:$K$200,$B$6:$B$200,$B151,$N$6:$N$200,"&lt;="&amp;$N151))</f>
        <v/>
      </c>
      <c r="P151" s="9" t="str">
        <f t="shared" si="24"/>
        <v/>
      </c>
    </row>
    <row r="152" spans="1:16" x14ac:dyDescent="0.25">
      <c r="A152" s="8"/>
      <c r="B152" s="9"/>
      <c r="C152" s="9"/>
      <c r="D152" s="9"/>
      <c r="E152" s="9"/>
      <c r="F152" s="9"/>
      <c r="G152" s="9"/>
      <c r="H152" s="9"/>
      <c r="I152" s="9"/>
      <c r="J152" s="10"/>
      <c r="K152" s="10">
        <f t="shared" si="20"/>
        <v>0</v>
      </c>
      <c r="L152" s="9">
        <f t="shared" si="21"/>
        <v>1</v>
      </c>
      <c r="M152" s="9">
        <f t="shared" si="22"/>
        <v>1900</v>
      </c>
      <c r="N152" s="9">
        <f t="shared" si="23"/>
        <v>147</v>
      </c>
      <c r="O152" s="10" t="str">
        <f>IF($B152="","",VLOOKUP($B152,Listas!$A$6:$C$200,3,FALSE)+SUMIFS($K$6:$K$200,$B$6:$B$200,$B152,$N$6:$N$200,"&lt;="&amp;$N152))</f>
        <v/>
      </c>
      <c r="P152" s="9" t="str">
        <f t="shared" si="24"/>
        <v/>
      </c>
    </row>
    <row r="153" spans="1:16" x14ac:dyDescent="0.25">
      <c r="A153" s="8"/>
      <c r="B153" s="9"/>
      <c r="C153" s="9"/>
      <c r="D153" s="9"/>
      <c r="E153" s="9"/>
      <c r="F153" s="9"/>
      <c r="G153" s="9"/>
      <c r="H153" s="9"/>
      <c r="I153" s="9"/>
      <c r="J153" s="10"/>
      <c r="K153" s="10">
        <f t="shared" si="20"/>
        <v>0</v>
      </c>
      <c r="L153" s="9">
        <f t="shared" si="21"/>
        <v>1</v>
      </c>
      <c r="M153" s="9">
        <f t="shared" si="22"/>
        <v>1900</v>
      </c>
      <c r="N153" s="9">
        <f t="shared" si="23"/>
        <v>148</v>
      </c>
      <c r="O153" s="10" t="str">
        <f>IF($B153="","",VLOOKUP($B153,Listas!$A$6:$C$200,3,FALSE)+SUMIFS($K$6:$K$200,$B$6:$B$200,$B153,$N$6:$N$200,"&lt;="&amp;$N153))</f>
        <v/>
      </c>
      <c r="P153" s="9" t="str">
        <f t="shared" si="24"/>
        <v/>
      </c>
    </row>
    <row r="154" spans="1:16" x14ac:dyDescent="0.25">
      <c r="A154" s="8"/>
      <c r="B154" s="9"/>
      <c r="C154" s="9"/>
      <c r="D154" s="9"/>
      <c r="E154" s="9"/>
      <c r="F154" s="9"/>
      <c r="G154" s="9"/>
      <c r="H154" s="9"/>
      <c r="I154" s="9"/>
      <c r="J154" s="10"/>
      <c r="K154" s="10">
        <f t="shared" si="20"/>
        <v>0</v>
      </c>
      <c r="L154" s="9">
        <f t="shared" si="21"/>
        <v>1</v>
      </c>
      <c r="M154" s="9">
        <f t="shared" si="22"/>
        <v>1900</v>
      </c>
      <c r="N154" s="9">
        <f t="shared" si="23"/>
        <v>149</v>
      </c>
      <c r="O154" s="10" t="str">
        <f>IF($B154="","",VLOOKUP($B154,Listas!$A$6:$C$200,3,FALSE)+SUMIFS($K$6:$K$200,$B$6:$B$200,$B154,$N$6:$N$200,"&lt;="&amp;$N154))</f>
        <v/>
      </c>
      <c r="P154" s="9" t="str">
        <f t="shared" si="24"/>
        <v/>
      </c>
    </row>
    <row r="155" spans="1:16" x14ac:dyDescent="0.25">
      <c r="A155" s="8"/>
      <c r="B155" s="9"/>
      <c r="C155" s="9"/>
      <c r="D155" s="9"/>
      <c r="E155" s="9"/>
      <c r="F155" s="9"/>
      <c r="G155" s="9"/>
      <c r="H155" s="9"/>
      <c r="I155" s="9"/>
      <c r="J155" s="10"/>
      <c r="K155" s="10">
        <f t="shared" si="20"/>
        <v>0</v>
      </c>
      <c r="L155" s="9">
        <f t="shared" si="21"/>
        <v>1</v>
      </c>
      <c r="M155" s="9">
        <f t="shared" si="22"/>
        <v>1900</v>
      </c>
      <c r="N155" s="9">
        <f t="shared" si="23"/>
        <v>150</v>
      </c>
      <c r="O155" s="10" t="str">
        <f>IF($B155="","",VLOOKUP($B155,Listas!$A$6:$C$200,3,FALSE)+SUMIFS($K$6:$K$200,$B$6:$B$200,$B155,$N$6:$N$200,"&lt;="&amp;$N155))</f>
        <v/>
      </c>
      <c r="P155" s="9" t="str">
        <f t="shared" si="24"/>
        <v/>
      </c>
    </row>
    <row r="156" spans="1:16" x14ac:dyDescent="0.25">
      <c r="A156" s="8"/>
      <c r="B156" s="9"/>
      <c r="C156" s="9"/>
      <c r="D156" s="9"/>
      <c r="E156" s="9"/>
      <c r="F156" s="9"/>
      <c r="G156" s="9"/>
      <c r="H156" s="9"/>
      <c r="I156" s="9"/>
      <c r="J156" s="10"/>
      <c r="K156" s="10">
        <f t="shared" si="20"/>
        <v>0</v>
      </c>
      <c r="L156" s="9">
        <f t="shared" si="21"/>
        <v>1</v>
      </c>
      <c r="M156" s="9">
        <f t="shared" si="22"/>
        <v>1900</v>
      </c>
      <c r="N156" s="9">
        <f t="shared" si="23"/>
        <v>151</v>
      </c>
      <c r="O156" s="10" t="str">
        <f>IF($B156="","",VLOOKUP($B156,Listas!$A$6:$C$200,3,FALSE)+SUMIFS($K$6:$K$200,$B$6:$B$200,$B156,$N$6:$N$200,"&lt;="&amp;$N156))</f>
        <v/>
      </c>
      <c r="P156" s="9" t="str">
        <f t="shared" si="24"/>
        <v/>
      </c>
    </row>
    <row r="157" spans="1:16" x14ac:dyDescent="0.25">
      <c r="A157" s="8"/>
      <c r="B157" s="9"/>
      <c r="C157" s="9"/>
      <c r="D157" s="9"/>
      <c r="E157" s="9"/>
      <c r="F157" s="9"/>
      <c r="G157" s="9"/>
      <c r="H157" s="9"/>
      <c r="I157" s="9"/>
      <c r="J157" s="10"/>
      <c r="K157" s="10">
        <f t="shared" si="20"/>
        <v>0</v>
      </c>
      <c r="L157" s="9">
        <f t="shared" si="21"/>
        <v>1</v>
      </c>
      <c r="M157" s="9">
        <f t="shared" si="22"/>
        <v>1900</v>
      </c>
      <c r="N157" s="9">
        <f t="shared" si="23"/>
        <v>152</v>
      </c>
      <c r="O157" s="10" t="str">
        <f>IF($B157="","",VLOOKUP($B157,Listas!$A$6:$C$200,3,FALSE)+SUMIFS($K$6:$K$200,$B$6:$B$200,$B157,$N$6:$N$200,"&lt;="&amp;$N157))</f>
        <v/>
      </c>
      <c r="P157" s="9" t="str">
        <f t="shared" si="24"/>
        <v/>
      </c>
    </row>
    <row r="158" spans="1:16" x14ac:dyDescent="0.25">
      <c r="A158" s="8"/>
      <c r="B158" s="9"/>
      <c r="C158" s="9"/>
      <c r="D158" s="9"/>
      <c r="E158" s="9"/>
      <c r="F158" s="9"/>
      <c r="G158" s="9"/>
      <c r="H158" s="9"/>
      <c r="I158" s="9"/>
      <c r="J158" s="10"/>
      <c r="K158" s="10">
        <f t="shared" si="20"/>
        <v>0</v>
      </c>
      <c r="L158" s="9">
        <f t="shared" si="21"/>
        <v>1</v>
      </c>
      <c r="M158" s="9">
        <f t="shared" si="22"/>
        <v>1900</v>
      </c>
      <c r="N158" s="9">
        <f t="shared" si="23"/>
        <v>153</v>
      </c>
      <c r="O158" s="10" t="str">
        <f>IF($B158="","",VLOOKUP($B158,Listas!$A$6:$C$200,3,FALSE)+SUMIFS($K$6:$K$200,$B$6:$B$200,$B158,$N$6:$N$200,"&lt;="&amp;$N158))</f>
        <v/>
      </c>
      <c r="P158" s="9" t="str">
        <f t="shared" si="24"/>
        <v/>
      </c>
    </row>
    <row r="159" spans="1:16" x14ac:dyDescent="0.25">
      <c r="A159" s="8"/>
      <c r="B159" s="9"/>
      <c r="C159" s="9"/>
      <c r="D159" s="9"/>
      <c r="E159" s="9"/>
      <c r="F159" s="9"/>
      <c r="G159" s="9"/>
      <c r="H159" s="9"/>
      <c r="I159" s="9"/>
      <c r="J159" s="10"/>
      <c r="K159" s="10">
        <f t="shared" si="20"/>
        <v>0</v>
      </c>
      <c r="L159" s="9">
        <f t="shared" si="21"/>
        <v>1</v>
      </c>
      <c r="M159" s="9">
        <f t="shared" si="22"/>
        <v>1900</v>
      </c>
      <c r="N159" s="9">
        <f t="shared" si="23"/>
        <v>154</v>
      </c>
      <c r="O159" s="10" t="str">
        <f>IF($B159="","",VLOOKUP($B159,Listas!$A$6:$C$200,3,FALSE)+SUMIFS($K$6:$K$200,$B$6:$B$200,$B159,$N$6:$N$200,"&lt;="&amp;$N159))</f>
        <v/>
      </c>
      <c r="P159" s="9" t="str">
        <f t="shared" si="24"/>
        <v/>
      </c>
    </row>
    <row r="160" spans="1:16" x14ac:dyDescent="0.25">
      <c r="A160" s="8"/>
      <c r="B160" s="9"/>
      <c r="C160" s="9"/>
      <c r="D160" s="9"/>
      <c r="E160" s="9"/>
      <c r="F160" s="9"/>
      <c r="G160" s="9"/>
      <c r="H160" s="9"/>
      <c r="I160" s="9"/>
      <c r="J160" s="10"/>
      <c r="K160" s="10">
        <f t="shared" si="20"/>
        <v>0</v>
      </c>
      <c r="L160" s="9">
        <f t="shared" si="21"/>
        <v>1</v>
      </c>
      <c r="M160" s="9">
        <f t="shared" si="22"/>
        <v>1900</v>
      </c>
      <c r="N160" s="9">
        <f t="shared" si="23"/>
        <v>155</v>
      </c>
      <c r="O160" s="10" t="str">
        <f>IF($B160="","",VLOOKUP($B160,Listas!$A$6:$C$200,3,FALSE)+SUMIFS($K$6:$K$200,$B$6:$B$200,$B160,$N$6:$N$200,"&lt;="&amp;$N160))</f>
        <v/>
      </c>
      <c r="P160" s="9" t="str">
        <f t="shared" si="24"/>
        <v/>
      </c>
    </row>
    <row r="161" spans="1:16" x14ac:dyDescent="0.25">
      <c r="A161" s="8"/>
      <c r="B161" s="9"/>
      <c r="C161" s="9"/>
      <c r="D161" s="9"/>
      <c r="E161" s="9"/>
      <c r="F161" s="9"/>
      <c r="G161" s="9"/>
      <c r="H161" s="9"/>
      <c r="I161" s="9"/>
      <c r="J161" s="10"/>
      <c r="K161" s="10">
        <f t="shared" si="20"/>
        <v>0</v>
      </c>
      <c r="L161" s="9">
        <f t="shared" si="21"/>
        <v>1</v>
      </c>
      <c r="M161" s="9">
        <f t="shared" si="22"/>
        <v>1900</v>
      </c>
      <c r="N161" s="9">
        <f t="shared" si="23"/>
        <v>156</v>
      </c>
      <c r="O161" s="10" t="str">
        <f>IF($B161="","",VLOOKUP($B161,Listas!$A$6:$C$200,3,FALSE)+SUMIFS($K$6:$K$200,$B$6:$B$200,$B161,$N$6:$N$200,"&lt;="&amp;$N161))</f>
        <v/>
      </c>
      <c r="P161" s="9" t="str">
        <f t="shared" si="24"/>
        <v/>
      </c>
    </row>
    <row r="162" spans="1:16" x14ac:dyDescent="0.25">
      <c r="A162" s="8"/>
      <c r="B162" s="9"/>
      <c r="C162" s="9"/>
      <c r="D162" s="9"/>
      <c r="E162" s="9"/>
      <c r="F162" s="9"/>
      <c r="G162" s="9"/>
      <c r="H162" s="9"/>
      <c r="I162" s="9"/>
      <c r="J162" s="10"/>
      <c r="K162" s="10">
        <f t="shared" si="20"/>
        <v>0</v>
      </c>
      <c r="L162" s="9">
        <f t="shared" si="21"/>
        <v>1</v>
      </c>
      <c r="M162" s="9">
        <f t="shared" si="22"/>
        <v>1900</v>
      </c>
      <c r="N162" s="9">
        <f t="shared" si="23"/>
        <v>157</v>
      </c>
      <c r="O162" s="10" t="str">
        <f>IF($B162="","",VLOOKUP($B162,Listas!$A$6:$C$200,3,FALSE)+SUMIFS($K$6:$K$200,$B$6:$B$200,$B162,$N$6:$N$200,"&lt;="&amp;$N162))</f>
        <v/>
      </c>
      <c r="P162" s="9" t="str">
        <f t="shared" si="24"/>
        <v/>
      </c>
    </row>
    <row r="163" spans="1:16" x14ac:dyDescent="0.25">
      <c r="A163" s="8"/>
      <c r="B163" s="9"/>
      <c r="C163" s="9"/>
      <c r="D163" s="9"/>
      <c r="E163" s="9"/>
      <c r="F163" s="9"/>
      <c r="G163" s="9"/>
      <c r="H163" s="9"/>
      <c r="I163" s="9"/>
      <c r="J163" s="10"/>
      <c r="K163" s="10">
        <f t="shared" si="20"/>
        <v>0</v>
      </c>
      <c r="L163" s="9">
        <f t="shared" si="21"/>
        <v>1</v>
      </c>
      <c r="M163" s="9">
        <f t="shared" si="22"/>
        <v>1900</v>
      </c>
      <c r="N163" s="9">
        <f t="shared" si="23"/>
        <v>158</v>
      </c>
      <c r="O163" s="10" t="str">
        <f>IF($B163="","",VLOOKUP($B163,Listas!$A$6:$C$200,3,FALSE)+SUMIFS($K$6:$K$200,$B$6:$B$200,$B163,$N$6:$N$200,"&lt;="&amp;$N163))</f>
        <v/>
      </c>
      <c r="P163" s="9" t="str">
        <f t="shared" si="24"/>
        <v/>
      </c>
    </row>
    <row r="164" spans="1:16" x14ac:dyDescent="0.25">
      <c r="A164" s="8"/>
      <c r="B164" s="9"/>
      <c r="C164" s="9"/>
      <c r="D164" s="9"/>
      <c r="E164" s="9"/>
      <c r="F164" s="9"/>
      <c r="G164" s="9"/>
      <c r="H164" s="9"/>
      <c r="I164" s="9"/>
      <c r="J164" s="10"/>
      <c r="K164" s="10">
        <f t="shared" si="20"/>
        <v>0</v>
      </c>
      <c r="L164" s="9">
        <f t="shared" si="21"/>
        <v>1</v>
      </c>
      <c r="M164" s="9">
        <f t="shared" si="22"/>
        <v>1900</v>
      </c>
      <c r="N164" s="9">
        <f t="shared" si="23"/>
        <v>159</v>
      </c>
      <c r="O164" s="10" t="str">
        <f>IF($B164="","",VLOOKUP($B164,Listas!$A$6:$C$200,3,FALSE)+SUMIFS($K$6:$K$200,$B$6:$B$200,$B164,$N$6:$N$200,"&lt;="&amp;$N164))</f>
        <v/>
      </c>
      <c r="P164" s="9" t="str">
        <f t="shared" si="24"/>
        <v/>
      </c>
    </row>
    <row r="165" spans="1:16" x14ac:dyDescent="0.25">
      <c r="A165" s="8"/>
      <c r="B165" s="9"/>
      <c r="C165" s="9"/>
      <c r="D165" s="9"/>
      <c r="E165" s="9"/>
      <c r="F165" s="9"/>
      <c r="G165" s="9"/>
      <c r="H165" s="9"/>
      <c r="I165" s="9"/>
      <c r="J165" s="10"/>
      <c r="K165" s="10">
        <f t="shared" si="20"/>
        <v>0</v>
      </c>
      <c r="L165" s="9">
        <f t="shared" si="21"/>
        <v>1</v>
      </c>
      <c r="M165" s="9">
        <f t="shared" si="22"/>
        <v>1900</v>
      </c>
      <c r="N165" s="9">
        <f t="shared" si="23"/>
        <v>160</v>
      </c>
      <c r="O165" s="10" t="str">
        <f>IF($B165="","",VLOOKUP($B165,Listas!$A$6:$C$200,3,FALSE)+SUMIFS($K$6:$K$200,$B$6:$B$200,$B165,$N$6:$N$200,"&lt;="&amp;$N165))</f>
        <v/>
      </c>
      <c r="P165" s="9" t="str">
        <f t="shared" si="24"/>
        <v/>
      </c>
    </row>
    <row r="166" spans="1:16" x14ac:dyDescent="0.25">
      <c r="A166" s="8"/>
      <c r="B166" s="9"/>
      <c r="C166" s="9"/>
      <c r="D166" s="9"/>
      <c r="E166" s="9"/>
      <c r="F166" s="9"/>
      <c r="G166" s="9"/>
      <c r="H166" s="9"/>
      <c r="I166" s="9"/>
      <c r="J166" s="10"/>
      <c r="K166" s="10">
        <f t="shared" ref="K166:K200" si="25">IF($C166="Ingreso",$J166,IF($C166="Gasto",- $J166,IF($C166="Transferencia",IF($D166="Entrada",$J166,IF($D166="Salida",- $J166,0)),0)))</f>
        <v>0</v>
      </c>
      <c r="L166" s="9">
        <f t="shared" ref="L166:L200" si="26">IFERROR(MONTH($A166),"")</f>
        <v>1</v>
      </c>
      <c r="M166" s="9">
        <f t="shared" ref="M166:M200" si="27">IFERROR(YEAR($A166),"")</f>
        <v>1900</v>
      </c>
      <c r="N166" s="9">
        <f t="shared" ref="N166:N200" si="28">ROW()-5</f>
        <v>161</v>
      </c>
      <c r="O166" s="10" t="str">
        <f>IF($B166="","",VLOOKUP($B166,Listas!$A$6:$C$200,3,FALSE)+SUMIFS($K$6:$K$200,$B$6:$B$200,$B166,$N$6:$N$200,"&lt;="&amp;$N166))</f>
        <v/>
      </c>
      <c r="P166" s="9" t="str">
        <f t="shared" ref="P166:P200" si="29">IF($A166="","",TEXT($A166,"yyyy-mm"))</f>
        <v/>
      </c>
    </row>
    <row r="167" spans="1:16" x14ac:dyDescent="0.25">
      <c r="A167" s="8"/>
      <c r="B167" s="9"/>
      <c r="C167" s="9"/>
      <c r="D167" s="9"/>
      <c r="E167" s="9"/>
      <c r="F167" s="9"/>
      <c r="G167" s="9"/>
      <c r="H167" s="9"/>
      <c r="I167" s="9"/>
      <c r="J167" s="10"/>
      <c r="K167" s="10">
        <f t="shared" si="25"/>
        <v>0</v>
      </c>
      <c r="L167" s="9">
        <f t="shared" si="26"/>
        <v>1</v>
      </c>
      <c r="M167" s="9">
        <f t="shared" si="27"/>
        <v>1900</v>
      </c>
      <c r="N167" s="9">
        <f t="shared" si="28"/>
        <v>162</v>
      </c>
      <c r="O167" s="10" t="str">
        <f>IF($B167="","",VLOOKUP($B167,Listas!$A$6:$C$200,3,FALSE)+SUMIFS($K$6:$K$200,$B$6:$B$200,$B167,$N$6:$N$200,"&lt;="&amp;$N167))</f>
        <v/>
      </c>
      <c r="P167" s="9" t="str">
        <f t="shared" si="29"/>
        <v/>
      </c>
    </row>
    <row r="168" spans="1:16" x14ac:dyDescent="0.25">
      <c r="A168" s="8"/>
      <c r="B168" s="9"/>
      <c r="C168" s="9"/>
      <c r="D168" s="9"/>
      <c r="E168" s="9"/>
      <c r="F168" s="9"/>
      <c r="G168" s="9"/>
      <c r="H168" s="9"/>
      <c r="I168" s="9"/>
      <c r="J168" s="10"/>
      <c r="K168" s="10">
        <f t="shared" si="25"/>
        <v>0</v>
      </c>
      <c r="L168" s="9">
        <f t="shared" si="26"/>
        <v>1</v>
      </c>
      <c r="M168" s="9">
        <f t="shared" si="27"/>
        <v>1900</v>
      </c>
      <c r="N168" s="9">
        <f t="shared" si="28"/>
        <v>163</v>
      </c>
      <c r="O168" s="10" t="str">
        <f>IF($B168="","",VLOOKUP($B168,Listas!$A$6:$C$200,3,FALSE)+SUMIFS($K$6:$K$200,$B$6:$B$200,$B168,$N$6:$N$200,"&lt;="&amp;$N168))</f>
        <v/>
      </c>
      <c r="P168" s="9" t="str">
        <f t="shared" si="29"/>
        <v/>
      </c>
    </row>
    <row r="169" spans="1:16" x14ac:dyDescent="0.25">
      <c r="A169" s="8"/>
      <c r="B169" s="9"/>
      <c r="C169" s="9"/>
      <c r="D169" s="9"/>
      <c r="E169" s="9"/>
      <c r="F169" s="9"/>
      <c r="G169" s="9"/>
      <c r="H169" s="9"/>
      <c r="I169" s="9"/>
      <c r="J169" s="10"/>
      <c r="K169" s="10">
        <f t="shared" si="25"/>
        <v>0</v>
      </c>
      <c r="L169" s="9">
        <f t="shared" si="26"/>
        <v>1</v>
      </c>
      <c r="M169" s="9">
        <f t="shared" si="27"/>
        <v>1900</v>
      </c>
      <c r="N169" s="9">
        <f t="shared" si="28"/>
        <v>164</v>
      </c>
      <c r="O169" s="10" t="str">
        <f>IF($B169="","",VLOOKUP($B169,Listas!$A$6:$C$200,3,FALSE)+SUMIFS($K$6:$K$200,$B$6:$B$200,$B169,$N$6:$N$200,"&lt;="&amp;$N169))</f>
        <v/>
      </c>
      <c r="P169" s="9" t="str">
        <f t="shared" si="29"/>
        <v/>
      </c>
    </row>
    <row r="170" spans="1:16" x14ac:dyDescent="0.25">
      <c r="A170" s="8"/>
      <c r="B170" s="9"/>
      <c r="C170" s="9"/>
      <c r="D170" s="9"/>
      <c r="E170" s="9"/>
      <c r="F170" s="9"/>
      <c r="G170" s="9"/>
      <c r="H170" s="9"/>
      <c r="I170" s="9"/>
      <c r="J170" s="10"/>
      <c r="K170" s="10">
        <f t="shared" si="25"/>
        <v>0</v>
      </c>
      <c r="L170" s="9">
        <f t="shared" si="26"/>
        <v>1</v>
      </c>
      <c r="M170" s="9">
        <f t="shared" si="27"/>
        <v>1900</v>
      </c>
      <c r="N170" s="9">
        <f t="shared" si="28"/>
        <v>165</v>
      </c>
      <c r="O170" s="10" t="str">
        <f>IF($B170="","",VLOOKUP($B170,Listas!$A$6:$C$200,3,FALSE)+SUMIFS($K$6:$K$200,$B$6:$B$200,$B170,$N$6:$N$200,"&lt;="&amp;$N170))</f>
        <v/>
      </c>
      <c r="P170" s="9" t="str">
        <f t="shared" si="29"/>
        <v/>
      </c>
    </row>
    <row r="171" spans="1:16" x14ac:dyDescent="0.25">
      <c r="A171" s="8"/>
      <c r="B171" s="9"/>
      <c r="C171" s="9"/>
      <c r="D171" s="9"/>
      <c r="E171" s="9"/>
      <c r="F171" s="9"/>
      <c r="G171" s="9"/>
      <c r="H171" s="9"/>
      <c r="I171" s="9"/>
      <c r="J171" s="10"/>
      <c r="K171" s="10">
        <f t="shared" si="25"/>
        <v>0</v>
      </c>
      <c r="L171" s="9">
        <f t="shared" si="26"/>
        <v>1</v>
      </c>
      <c r="M171" s="9">
        <f t="shared" si="27"/>
        <v>1900</v>
      </c>
      <c r="N171" s="9">
        <f t="shared" si="28"/>
        <v>166</v>
      </c>
      <c r="O171" s="10" t="str">
        <f>IF($B171="","",VLOOKUP($B171,Listas!$A$6:$C$200,3,FALSE)+SUMIFS($K$6:$K$200,$B$6:$B$200,$B171,$N$6:$N$200,"&lt;="&amp;$N171))</f>
        <v/>
      </c>
      <c r="P171" s="9" t="str">
        <f t="shared" si="29"/>
        <v/>
      </c>
    </row>
    <row r="172" spans="1:16" x14ac:dyDescent="0.25">
      <c r="A172" s="8"/>
      <c r="B172" s="9"/>
      <c r="C172" s="9"/>
      <c r="D172" s="9"/>
      <c r="E172" s="9"/>
      <c r="F172" s="9"/>
      <c r="G172" s="9"/>
      <c r="H172" s="9"/>
      <c r="I172" s="9"/>
      <c r="J172" s="10"/>
      <c r="K172" s="10">
        <f t="shared" si="25"/>
        <v>0</v>
      </c>
      <c r="L172" s="9">
        <f t="shared" si="26"/>
        <v>1</v>
      </c>
      <c r="M172" s="9">
        <f t="shared" si="27"/>
        <v>1900</v>
      </c>
      <c r="N172" s="9">
        <f t="shared" si="28"/>
        <v>167</v>
      </c>
      <c r="O172" s="10" t="str">
        <f>IF($B172="","",VLOOKUP($B172,Listas!$A$6:$C$200,3,FALSE)+SUMIFS($K$6:$K$200,$B$6:$B$200,$B172,$N$6:$N$200,"&lt;="&amp;$N172))</f>
        <v/>
      </c>
      <c r="P172" s="9" t="str">
        <f t="shared" si="29"/>
        <v/>
      </c>
    </row>
    <row r="173" spans="1:16" x14ac:dyDescent="0.25">
      <c r="A173" s="8"/>
      <c r="B173" s="9"/>
      <c r="C173" s="9"/>
      <c r="D173" s="9"/>
      <c r="E173" s="9"/>
      <c r="F173" s="9"/>
      <c r="G173" s="9"/>
      <c r="H173" s="9"/>
      <c r="I173" s="9"/>
      <c r="J173" s="10"/>
      <c r="K173" s="10">
        <f t="shared" si="25"/>
        <v>0</v>
      </c>
      <c r="L173" s="9">
        <f t="shared" si="26"/>
        <v>1</v>
      </c>
      <c r="M173" s="9">
        <f t="shared" si="27"/>
        <v>1900</v>
      </c>
      <c r="N173" s="9">
        <f t="shared" si="28"/>
        <v>168</v>
      </c>
      <c r="O173" s="10" t="str">
        <f>IF($B173="","",VLOOKUP($B173,Listas!$A$6:$C$200,3,FALSE)+SUMIFS($K$6:$K$200,$B$6:$B$200,$B173,$N$6:$N$200,"&lt;="&amp;$N173))</f>
        <v/>
      </c>
      <c r="P173" s="9" t="str">
        <f t="shared" si="29"/>
        <v/>
      </c>
    </row>
    <row r="174" spans="1:16" x14ac:dyDescent="0.25">
      <c r="A174" s="8"/>
      <c r="B174" s="9"/>
      <c r="C174" s="9"/>
      <c r="D174" s="9"/>
      <c r="E174" s="9"/>
      <c r="F174" s="9"/>
      <c r="G174" s="9"/>
      <c r="H174" s="9"/>
      <c r="I174" s="9"/>
      <c r="J174" s="10"/>
      <c r="K174" s="10">
        <f t="shared" si="25"/>
        <v>0</v>
      </c>
      <c r="L174" s="9">
        <f t="shared" si="26"/>
        <v>1</v>
      </c>
      <c r="M174" s="9">
        <f t="shared" si="27"/>
        <v>1900</v>
      </c>
      <c r="N174" s="9">
        <f t="shared" si="28"/>
        <v>169</v>
      </c>
      <c r="O174" s="10" t="str">
        <f>IF($B174="","",VLOOKUP($B174,Listas!$A$6:$C$200,3,FALSE)+SUMIFS($K$6:$K$200,$B$6:$B$200,$B174,$N$6:$N$200,"&lt;="&amp;$N174))</f>
        <v/>
      </c>
      <c r="P174" s="9" t="str">
        <f t="shared" si="29"/>
        <v/>
      </c>
    </row>
    <row r="175" spans="1:16" x14ac:dyDescent="0.25">
      <c r="A175" s="8"/>
      <c r="B175" s="9"/>
      <c r="C175" s="9"/>
      <c r="D175" s="9"/>
      <c r="E175" s="9"/>
      <c r="F175" s="9"/>
      <c r="G175" s="9"/>
      <c r="H175" s="9"/>
      <c r="I175" s="9"/>
      <c r="J175" s="10"/>
      <c r="K175" s="10">
        <f t="shared" si="25"/>
        <v>0</v>
      </c>
      <c r="L175" s="9">
        <f t="shared" si="26"/>
        <v>1</v>
      </c>
      <c r="M175" s="9">
        <f t="shared" si="27"/>
        <v>1900</v>
      </c>
      <c r="N175" s="9">
        <f t="shared" si="28"/>
        <v>170</v>
      </c>
      <c r="O175" s="10" t="str">
        <f>IF($B175="","",VLOOKUP($B175,Listas!$A$6:$C$200,3,FALSE)+SUMIFS($K$6:$K$200,$B$6:$B$200,$B175,$N$6:$N$200,"&lt;="&amp;$N175))</f>
        <v/>
      </c>
      <c r="P175" s="9" t="str">
        <f t="shared" si="29"/>
        <v/>
      </c>
    </row>
    <row r="176" spans="1:16" x14ac:dyDescent="0.25">
      <c r="A176" s="8"/>
      <c r="B176" s="9"/>
      <c r="C176" s="9"/>
      <c r="D176" s="9"/>
      <c r="E176" s="9"/>
      <c r="F176" s="9"/>
      <c r="G176" s="9"/>
      <c r="H176" s="9"/>
      <c r="I176" s="9"/>
      <c r="J176" s="10"/>
      <c r="K176" s="10">
        <f t="shared" si="25"/>
        <v>0</v>
      </c>
      <c r="L176" s="9">
        <f t="shared" si="26"/>
        <v>1</v>
      </c>
      <c r="M176" s="9">
        <f t="shared" si="27"/>
        <v>1900</v>
      </c>
      <c r="N176" s="9">
        <f t="shared" si="28"/>
        <v>171</v>
      </c>
      <c r="O176" s="10" t="str">
        <f>IF($B176="","",VLOOKUP($B176,Listas!$A$6:$C$200,3,FALSE)+SUMIFS($K$6:$K$200,$B$6:$B$200,$B176,$N$6:$N$200,"&lt;="&amp;$N176))</f>
        <v/>
      </c>
      <c r="P176" s="9" t="str">
        <f t="shared" si="29"/>
        <v/>
      </c>
    </row>
    <row r="177" spans="1:16" x14ac:dyDescent="0.25">
      <c r="A177" s="8"/>
      <c r="B177" s="9"/>
      <c r="C177" s="9"/>
      <c r="D177" s="9"/>
      <c r="E177" s="9"/>
      <c r="F177" s="9"/>
      <c r="G177" s="9"/>
      <c r="H177" s="9"/>
      <c r="I177" s="9"/>
      <c r="J177" s="10"/>
      <c r="K177" s="10">
        <f t="shared" si="25"/>
        <v>0</v>
      </c>
      <c r="L177" s="9">
        <f t="shared" si="26"/>
        <v>1</v>
      </c>
      <c r="M177" s="9">
        <f t="shared" si="27"/>
        <v>1900</v>
      </c>
      <c r="N177" s="9">
        <f t="shared" si="28"/>
        <v>172</v>
      </c>
      <c r="O177" s="10" t="str">
        <f>IF($B177="","",VLOOKUP($B177,Listas!$A$6:$C$200,3,FALSE)+SUMIFS($K$6:$K$200,$B$6:$B$200,$B177,$N$6:$N$200,"&lt;="&amp;$N177))</f>
        <v/>
      </c>
      <c r="P177" s="9" t="str">
        <f t="shared" si="29"/>
        <v/>
      </c>
    </row>
    <row r="178" spans="1:16" x14ac:dyDescent="0.25">
      <c r="A178" s="8"/>
      <c r="B178" s="9"/>
      <c r="C178" s="9"/>
      <c r="D178" s="9"/>
      <c r="E178" s="9"/>
      <c r="F178" s="9"/>
      <c r="G178" s="9"/>
      <c r="H178" s="9"/>
      <c r="I178" s="9"/>
      <c r="J178" s="10"/>
      <c r="K178" s="10">
        <f t="shared" si="25"/>
        <v>0</v>
      </c>
      <c r="L178" s="9">
        <f t="shared" si="26"/>
        <v>1</v>
      </c>
      <c r="M178" s="9">
        <f t="shared" si="27"/>
        <v>1900</v>
      </c>
      <c r="N178" s="9">
        <f t="shared" si="28"/>
        <v>173</v>
      </c>
      <c r="O178" s="10" t="str">
        <f>IF($B178="","",VLOOKUP($B178,Listas!$A$6:$C$200,3,FALSE)+SUMIFS($K$6:$K$200,$B$6:$B$200,$B178,$N$6:$N$200,"&lt;="&amp;$N178))</f>
        <v/>
      </c>
      <c r="P178" s="9" t="str">
        <f t="shared" si="29"/>
        <v/>
      </c>
    </row>
    <row r="179" spans="1:16" x14ac:dyDescent="0.25">
      <c r="A179" s="8"/>
      <c r="B179" s="9"/>
      <c r="C179" s="9"/>
      <c r="D179" s="9"/>
      <c r="E179" s="9"/>
      <c r="F179" s="9"/>
      <c r="G179" s="9"/>
      <c r="H179" s="9"/>
      <c r="I179" s="9"/>
      <c r="J179" s="10"/>
      <c r="K179" s="10">
        <f t="shared" si="25"/>
        <v>0</v>
      </c>
      <c r="L179" s="9">
        <f t="shared" si="26"/>
        <v>1</v>
      </c>
      <c r="M179" s="9">
        <f t="shared" si="27"/>
        <v>1900</v>
      </c>
      <c r="N179" s="9">
        <f t="shared" si="28"/>
        <v>174</v>
      </c>
      <c r="O179" s="10" t="str">
        <f>IF($B179="","",VLOOKUP($B179,Listas!$A$6:$C$200,3,FALSE)+SUMIFS($K$6:$K$200,$B$6:$B$200,$B179,$N$6:$N$200,"&lt;="&amp;$N179))</f>
        <v/>
      </c>
      <c r="P179" s="9" t="str">
        <f t="shared" si="29"/>
        <v/>
      </c>
    </row>
    <row r="180" spans="1:16" x14ac:dyDescent="0.25">
      <c r="A180" s="8"/>
      <c r="B180" s="9"/>
      <c r="C180" s="9"/>
      <c r="D180" s="9"/>
      <c r="E180" s="9"/>
      <c r="F180" s="9"/>
      <c r="G180" s="9"/>
      <c r="H180" s="9"/>
      <c r="I180" s="9"/>
      <c r="J180" s="10"/>
      <c r="K180" s="10">
        <f t="shared" si="25"/>
        <v>0</v>
      </c>
      <c r="L180" s="9">
        <f t="shared" si="26"/>
        <v>1</v>
      </c>
      <c r="M180" s="9">
        <f t="shared" si="27"/>
        <v>1900</v>
      </c>
      <c r="N180" s="9">
        <f t="shared" si="28"/>
        <v>175</v>
      </c>
      <c r="O180" s="10" t="str">
        <f>IF($B180="","",VLOOKUP($B180,Listas!$A$6:$C$200,3,FALSE)+SUMIFS($K$6:$K$200,$B$6:$B$200,$B180,$N$6:$N$200,"&lt;="&amp;$N180))</f>
        <v/>
      </c>
      <c r="P180" s="9" t="str">
        <f t="shared" si="29"/>
        <v/>
      </c>
    </row>
    <row r="181" spans="1:16" x14ac:dyDescent="0.25">
      <c r="A181" s="8"/>
      <c r="B181" s="9"/>
      <c r="C181" s="9"/>
      <c r="D181" s="9"/>
      <c r="E181" s="9"/>
      <c r="F181" s="9"/>
      <c r="G181" s="9"/>
      <c r="H181" s="9"/>
      <c r="I181" s="9"/>
      <c r="J181" s="10"/>
      <c r="K181" s="10">
        <f t="shared" si="25"/>
        <v>0</v>
      </c>
      <c r="L181" s="9">
        <f t="shared" si="26"/>
        <v>1</v>
      </c>
      <c r="M181" s="9">
        <f t="shared" si="27"/>
        <v>1900</v>
      </c>
      <c r="N181" s="9">
        <f t="shared" si="28"/>
        <v>176</v>
      </c>
      <c r="O181" s="10" t="str">
        <f>IF($B181="","",VLOOKUP($B181,Listas!$A$6:$C$200,3,FALSE)+SUMIFS($K$6:$K$200,$B$6:$B$200,$B181,$N$6:$N$200,"&lt;="&amp;$N181))</f>
        <v/>
      </c>
      <c r="P181" s="9" t="str">
        <f t="shared" si="29"/>
        <v/>
      </c>
    </row>
    <row r="182" spans="1:16" x14ac:dyDescent="0.25">
      <c r="A182" s="8"/>
      <c r="B182" s="9"/>
      <c r="C182" s="9"/>
      <c r="D182" s="9"/>
      <c r="E182" s="9"/>
      <c r="F182" s="9"/>
      <c r="G182" s="9"/>
      <c r="H182" s="9"/>
      <c r="I182" s="9"/>
      <c r="J182" s="10"/>
      <c r="K182" s="10">
        <f t="shared" si="25"/>
        <v>0</v>
      </c>
      <c r="L182" s="9">
        <f t="shared" si="26"/>
        <v>1</v>
      </c>
      <c r="M182" s="9">
        <f t="shared" si="27"/>
        <v>1900</v>
      </c>
      <c r="N182" s="9">
        <f t="shared" si="28"/>
        <v>177</v>
      </c>
      <c r="O182" s="10" t="str">
        <f>IF($B182="","",VLOOKUP($B182,Listas!$A$6:$C$200,3,FALSE)+SUMIFS($K$6:$K$200,$B$6:$B$200,$B182,$N$6:$N$200,"&lt;="&amp;$N182))</f>
        <v/>
      </c>
      <c r="P182" s="9" t="str">
        <f t="shared" si="29"/>
        <v/>
      </c>
    </row>
    <row r="183" spans="1:16" x14ac:dyDescent="0.25">
      <c r="A183" s="8"/>
      <c r="B183" s="9"/>
      <c r="C183" s="9"/>
      <c r="D183" s="9"/>
      <c r="E183" s="9"/>
      <c r="F183" s="9"/>
      <c r="G183" s="9"/>
      <c r="H183" s="9"/>
      <c r="I183" s="9"/>
      <c r="J183" s="10"/>
      <c r="K183" s="10">
        <f t="shared" si="25"/>
        <v>0</v>
      </c>
      <c r="L183" s="9">
        <f t="shared" si="26"/>
        <v>1</v>
      </c>
      <c r="M183" s="9">
        <f t="shared" si="27"/>
        <v>1900</v>
      </c>
      <c r="N183" s="9">
        <f t="shared" si="28"/>
        <v>178</v>
      </c>
      <c r="O183" s="10" t="str">
        <f>IF($B183="","",VLOOKUP($B183,Listas!$A$6:$C$200,3,FALSE)+SUMIFS($K$6:$K$200,$B$6:$B$200,$B183,$N$6:$N$200,"&lt;="&amp;$N183))</f>
        <v/>
      </c>
      <c r="P183" s="9" t="str">
        <f t="shared" si="29"/>
        <v/>
      </c>
    </row>
    <row r="184" spans="1:16" x14ac:dyDescent="0.25">
      <c r="A184" s="8"/>
      <c r="B184" s="9"/>
      <c r="C184" s="9"/>
      <c r="D184" s="9"/>
      <c r="E184" s="9"/>
      <c r="F184" s="9"/>
      <c r="G184" s="9"/>
      <c r="H184" s="9"/>
      <c r="I184" s="9"/>
      <c r="J184" s="10"/>
      <c r="K184" s="10">
        <f t="shared" si="25"/>
        <v>0</v>
      </c>
      <c r="L184" s="9">
        <f t="shared" si="26"/>
        <v>1</v>
      </c>
      <c r="M184" s="9">
        <f t="shared" si="27"/>
        <v>1900</v>
      </c>
      <c r="N184" s="9">
        <f t="shared" si="28"/>
        <v>179</v>
      </c>
      <c r="O184" s="10" t="str">
        <f>IF($B184="","",VLOOKUP($B184,Listas!$A$6:$C$200,3,FALSE)+SUMIFS($K$6:$K$200,$B$6:$B$200,$B184,$N$6:$N$200,"&lt;="&amp;$N184))</f>
        <v/>
      </c>
      <c r="P184" s="9" t="str">
        <f t="shared" si="29"/>
        <v/>
      </c>
    </row>
    <row r="185" spans="1:16" x14ac:dyDescent="0.25">
      <c r="A185" s="8"/>
      <c r="B185" s="9"/>
      <c r="C185" s="9"/>
      <c r="D185" s="9"/>
      <c r="E185" s="9"/>
      <c r="F185" s="9"/>
      <c r="G185" s="9"/>
      <c r="H185" s="9"/>
      <c r="I185" s="9"/>
      <c r="J185" s="10"/>
      <c r="K185" s="10">
        <f t="shared" si="25"/>
        <v>0</v>
      </c>
      <c r="L185" s="9">
        <f t="shared" si="26"/>
        <v>1</v>
      </c>
      <c r="M185" s="9">
        <f t="shared" si="27"/>
        <v>1900</v>
      </c>
      <c r="N185" s="9">
        <f t="shared" si="28"/>
        <v>180</v>
      </c>
      <c r="O185" s="10" t="str">
        <f>IF($B185="","",VLOOKUP($B185,Listas!$A$6:$C$200,3,FALSE)+SUMIFS($K$6:$K$200,$B$6:$B$200,$B185,$N$6:$N$200,"&lt;="&amp;$N185))</f>
        <v/>
      </c>
      <c r="P185" s="9" t="str">
        <f t="shared" si="29"/>
        <v/>
      </c>
    </row>
    <row r="186" spans="1:16" x14ac:dyDescent="0.25">
      <c r="A186" s="8"/>
      <c r="B186" s="9"/>
      <c r="C186" s="9"/>
      <c r="D186" s="9"/>
      <c r="E186" s="9"/>
      <c r="F186" s="9"/>
      <c r="G186" s="9"/>
      <c r="H186" s="9"/>
      <c r="I186" s="9"/>
      <c r="J186" s="10"/>
      <c r="K186" s="10">
        <f t="shared" si="25"/>
        <v>0</v>
      </c>
      <c r="L186" s="9">
        <f t="shared" si="26"/>
        <v>1</v>
      </c>
      <c r="M186" s="9">
        <f t="shared" si="27"/>
        <v>1900</v>
      </c>
      <c r="N186" s="9">
        <f t="shared" si="28"/>
        <v>181</v>
      </c>
      <c r="O186" s="10" t="str">
        <f>IF($B186="","",VLOOKUP($B186,Listas!$A$6:$C$200,3,FALSE)+SUMIFS($K$6:$K$200,$B$6:$B$200,$B186,$N$6:$N$200,"&lt;="&amp;$N186))</f>
        <v/>
      </c>
      <c r="P186" s="9" t="str">
        <f t="shared" si="29"/>
        <v/>
      </c>
    </row>
    <row r="187" spans="1:16" x14ac:dyDescent="0.25">
      <c r="A187" s="8"/>
      <c r="B187" s="9"/>
      <c r="C187" s="9"/>
      <c r="D187" s="9"/>
      <c r="E187" s="9"/>
      <c r="F187" s="9"/>
      <c r="G187" s="9"/>
      <c r="H187" s="9"/>
      <c r="I187" s="9"/>
      <c r="J187" s="10"/>
      <c r="K187" s="10">
        <f t="shared" si="25"/>
        <v>0</v>
      </c>
      <c r="L187" s="9">
        <f t="shared" si="26"/>
        <v>1</v>
      </c>
      <c r="M187" s="9">
        <f t="shared" si="27"/>
        <v>1900</v>
      </c>
      <c r="N187" s="9">
        <f t="shared" si="28"/>
        <v>182</v>
      </c>
      <c r="O187" s="10" t="str">
        <f>IF($B187="","",VLOOKUP($B187,Listas!$A$6:$C$200,3,FALSE)+SUMIFS($K$6:$K$200,$B$6:$B$200,$B187,$N$6:$N$200,"&lt;="&amp;$N187))</f>
        <v/>
      </c>
      <c r="P187" s="9" t="str">
        <f t="shared" si="29"/>
        <v/>
      </c>
    </row>
    <row r="188" spans="1:16" x14ac:dyDescent="0.25">
      <c r="A188" s="8"/>
      <c r="B188" s="9"/>
      <c r="C188" s="9"/>
      <c r="D188" s="9"/>
      <c r="E188" s="9"/>
      <c r="F188" s="9"/>
      <c r="G188" s="9"/>
      <c r="H188" s="9"/>
      <c r="I188" s="9"/>
      <c r="J188" s="10"/>
      <c r="K188" s="10">
        <f t="shared" si="25"/>
        <v>0</v>
      </c>
      <c r="L188" s="9">
        <f t="shared" si="26"/>
        <v>1</v>
      </c>
      <c r="M188" s="9">
        <f t="shared" si="27"/>
        <v>1900</v>
      </c>
      <c r="N188" s="9">
        <f t="shared" si="28"/>
        <v>183</v>
      </c>
      <c r="O188" s="10" t="str">
        <f>IF($B188="","",VLOOKUP($B188,Listas!$A$6:$C$200,3,FALSE)+SUMIFS($K$6:$K$200,$B$6:$B$200,$B188,$N$6:$N$200,"&lt;="&amp;$N188))</f>
        <v/>
      </c>
      <c r="P188" s="9" t="str">
        <f t="shared" si="29"/>
        <v/>
      </c>
    </row>
    <row r="189" spans="1:16" x14ac:dyDescent="0.25">
      <c r="A189" s="8"/>
      <c r="B189" s="9"/>
      <c r="C189" s="9"/>
      <c r="D189" s="9"/>
      <c r="E189" s="9"/>
      <c r="F189" s="9"/>
      <c r="G189" s="9"/>
      <c r="H189" s="9"/>
      <c r="I189" s="9"/>
      <c r="J189" s="10"/>
      <c r="K189" s="10">
        <f t="shared" si="25"/>
        <v>0</v>
      </c>
      <c r="L189" s="9">
        <f t="shared" si="26"/>
        <v>1</v>
      </c>
      <c r="M189" s="9">
        <f t="shared" si="27"/>
        <v>1900</v>
      </c>
      <c r="N189" s="9">
        <f t="shared" si="28"/>
        <v>184</v>
      </c>
      <c r="O189" s="10" t="str">
        <f>IF($B189="","",VLOOKUP($B189,Listas!$A$6:$C$200,3,FALSE)+SUMIFS($K$6:$K$200,$B$6:$B$200,$B189,$N$6:$N$200,"&lt;="&amp;$N189))</f>
        <v/>
      </c>
      <c r="P189" s="9" t="str">
        <f t="shared" si="29"/>
        <v/>
      </c>
    </row>
    <row r="190" spans="1:16" x14ac:dyDescent="0.25">
      <c r="A190" s="8"/>
      <c r="B190" s="9"/>
      <c r="C190" s="9"/>
      <c r="D190" s="9"/>
      <c r="E190" s="9"/>
      <c r="F190" s="9"/>
      <c r="G190" s="9"/>
      <c r="H190" s="9"/>
      <c r="I190" s="9"/>
      <c r="J190" s="10"/>
      <c r="K190" s="10">
        <f t="shared" si="25"/>
        <v>0</v>
      </c>
      <c r="L190" s="9">
        <f t="shared" si="26"/>
        <v>1</v>
      </c>
      <c r="M190" s="9">
        <f t="shared" si="27"/>
        <v>1900</v>
      </c>
      <c r="N190" s="9">
        <f t="shared" si="28"/>
        <v>185</v>
      </c>
      <c r="O190" s="10" t="str">
        <f>IF($B190="","",VLOOKUP($B190,Listas!$A$6:$C$200,3,FALSE)+SUMIFS($K$6:$K$200,$B$6:$B$200,$B190,$N$6:$N$200,"&lt;="&amp;$N190))</f>
        <v/>
      </c>
      <c r="P190" s="9" t="str">
        <f t="shared" si="29"/>
        <v/>
      </c>
    </row>
    <row r="191" spans="1:16" x14ac:dyDescent="0.25">
      <c r="A191" s="8"/>
      <c r="B191" s="9"/>
      <c r="C191" s="9"/>
      <c r="D191" s="9"/>
      <c r="E191" s="9"/>
      <c r="F191" s="9"/>
      <c r="G191" s="9"/>
      <c r="H191" s="9"/>
      <c r="I191" s="9"/>
      <c r="J191" s="10"/>
      <c r="K191" s="10">
        <f t="shared" si="25"/>
        <v>0</v>
      </c>
      <c r="L191" s="9">
        <f t="shared" si="26"/>
        <v>1</v>
      </c>
      <c r="M191" s="9">
        <f t="shared" si="27"/>
        <v>1900</v>
      </c>
      <c r="N191" s="9">
        <f t="shared" si="28"/>
        <v>186</v>
      </c>
      <c r="O191" s="10" t="str">
        <f>IF($B191="","",VLOOKUP($B191,Listas!$A$6:$C$200,3,FALSE)+SUMIFS($K$6:$K$200,$B$6:$B$200,$B191,$N$6:$N$200,"&lt;="&amp;$N191))</f>
        <v/>
      </c>
      <c r="P191" s="9" t="str">
        <f t="shared" si="29"/>
        <v/>
      </c>
    </row>
    <row r="192" spans="1:16" x14ac:dyDescent="0.25">
      <c r="A192" s="8"/>
      <c r="B192" s="9"/>
      <c r="C192" s="9"/>
      <c r="D192" s="9"/>
      <c r="E192" s="9"/>
      <c r="F192" s="9"/>
      <c r="G192" s="9"/>
      <c r="H192" s="9"/>
      <c r="I192" s="9"/>
      <c r="J192" s="10"/>
      <c r="K192" s="10">
        <f t="shared" si="25"/>
        <v>0</v>
      </c>
      <c r="L192" s="9">
        <f t="shared" si="26"/>
        <v>1</v>
      </c>
      <c r="M192" s="9">
        <f t="shared" si="27"/>
        <v>1900</v>
      </c>
      <c r="N192" s="9">
        <f t="shared" si="28"/>
        <v>187</v>
      </c>
      <c r="O192" s="10" t="str">
        <f>IF($B192="","",VLOOKUP($B192,Listas!$A$6:$C$200,3,FALSE)+SUMIFS($K$6:$K$200,$B$6:$B$200,$B192,$N$6:$N$200,"&lt;="&amp;$N192))</f>
        <v/>
      </c>
      <c r="P192" s="9" t="str">
        <f t="shared" si="29"/>
        <v/>
      </c>
    </row>
    <row r="193" spans="1:16" x14ac:dyDescent="0.25">
      <c r="A193" s="8"/>
      <c r="B193" s="9"/>
      <c r="C193" s="9"/>
      <c r="D193" s="9"/>
      <c r="E193" s="9"/>
      <c r="F193" s="9"/>
      <c r="G193" s="9"/>
      <c r="H193" s="9"/>
      <c r="I193" s="9"/>
      <c r="J193" s="10"/>
      <c r="K193" s="10">
        <f t="shared" si="25"/>
        <v>0</v>
      </c>
      <c r="L193" s="9">
        <f t="shared" si="26"/>
        <v>1</v>
      </c>
      <c r="M193" s="9">
        <f t="shared" si="27"/>
        <v>1900</v>
      </c>
      <c r="N193" s="9">
        <f t="shared" si="28"/>
        <v>188</v>
      </c>
      <c r="O193" s="10" t="str">
        <f>IF($B193="","",VLOOKUP($B193,Listas!$A$6:$C$200,3,FALSE)+SUMIFS($K$6:$K$200,$B$6:$B$200,$B193,$N$6:$N$200,"&lt;="&amp;$N193))</f>
        <v/>
      </c>
      <c r="P193" s="9" t="str">
        <f t="shared" si="29"/>
        <v/>
      </c>
    </row>
    <row r="194" spans="1:16" x14ac:dyDescent="0.25">
      <c r="A194" s="8"/>
      <c r="B194" s="9"/>
      <c r="C194" s="9"/>
      <c r="D194" s="9"/>
      <c r="E194" s="9"/>
      <c r="F194" s="9"/>
      <c r="G194" s="9"/>
      <c r="H194" s="9"/>
      <c r="I194" s="9"/>
      <c r="J194" s="10"/>
      <c r="K194" s="10">
        <f t="shared" si="25"/>
        <v>0</v>
      </c>
      <c r="L194" s="9">
        <f t="shared" si="26"/>
        <v>1</v>
      </c>
      <c r="M194" s="9">
        <f t="shared" si="27"/>
        <v>1900</v>
      </c>
      <c r="N194" s="9">
        <f t="shared" si="28"/>
        <v>189</v>
      </c>
      <c r="O194" s="10" t="str">
        <f>IF($B194="","",VLOOKUP($B194,Listas!$A$6:$C$200,3,FALSE)+SUMIFS($K$6:$K$200,$B$6:$B$200,$B194,$N$6:$N$200,"&lt;="&amp;$N194))</f>
        <v/>
      </c>
      <c r="P194" s="9" t="str">
        <f t="shared" si="29"/>
        <v/>
      </c>
    </row>
    <row r="195" spans="1:16" x14ac:dyDescent="0.25">
      <c r="A195" s="8"/>
      <c r="B195" s="9"/>
      <c r="C195" s="9"/>
      <c r="D195" s="9"/>
      <c r="E195" s="9"/>
      <c r="F195" s="9"/>
      <c r="G195" s="9"/>
      <c r="H195" s="9"/>
      <c r="I195" s="9"/>
      <c r="J195" s="10"/>
      <c r="K195" s="10">
        <f t="shared" si="25"/>
        <v>0</v>
      </c>
      <c r="L195" s="9">
        <f t="shared" si="26"/>
        <v>1</v>
      </c>
      <c r="M195" s="9">
        <f t="shared" si="27"/>
        <v>1900</v>
      </c>
      <c r="N195" s="9">
        <f t="shared" si="28"/>
        <v>190</v>
      </c>
      <c r="O195" s="10" t="str">
        <f>IF($B195="","",VLOOKUP($B195,Listas!$A$6:$C$200,3,FALSE)+SUMIFS($K$6:$K$200,$B$6:$B$200,$B195,$N$6:$N$200,"&lt;="&amp;$N195))</f>
        <v/>
      </c>
      <c r="P195" s="9" t="str">
        <f t="shared" si="29"/>
        <v/>
      </c>
    </row>
    <row r="196" spans="1:16" x14ac:dyDescent="0.25">
      <c r="A196" s="8"/>
      <c r="B196" s="9"/>
      <c r="C196" s="9"/>
      <c r="D196" s="9"/>
      <c r="E196" s="9"/>
      <c r="F196" s="9"/>
      <c r="G196" s="9"/>
      <c r="H196" s="9"/>
      <c r="I196" s="9"/>
      <c r="J196" s="10"/>
      <c r="K196" s="10">
        <f t="shared" si="25"/>
        <v>0</v>
      </c>
      <c r="L196" s="9">
        <f t="shared" si="26"/>
        <v>1</v>
      </c>
      <c r="M196" s="9">
        <f t="shared" si="27"/>
        <v>1900</v>
      </c>
      <c r="N196" s="9">
        <f t="shared" si="28"/>
        <v>191</v>
      </c>
      <c r="O196" s="10" t="str">
        <f>IF($B196="","",VLOOKUP($B196,Listas!$A$6:$C$200,3,FALSE)+SUMIFS($K$6:$K$200,$B$6:$B$200,$B196,$N$6:$N$200,"&lt;="&amp;$N196))</f>
        <v/>
      </c>
      <c r="P196" s="9" t="str">
        <f t="shared" si="29"/>
        <v/>
      </c>
    </row>
    <row r="197" spans="1:16" x14ac:dyDescent="0.25">
      <c r="A197" s="8"/>
      <c r="B197" s="9"/>
      <c r="C197" s="9"/>
      <c r="D197" s="9"/>
      <c r="E197" s="9"/>
      <c r="F197" s="9"/>
      <c r="G197" s="9"/>
      <c r="H197" s="9"/>
      <c r="I197" s="9"/>
      <c r="J197" s="10"/>
      <c r="K197" s="10">
        <f t="shared" si="25"/>
        <v>0</v>
      </c>
      <c r="L197" s="9">
        <f t="shared" si="26"/>
        <v>1</v>
      </c>
      <c r="M197" s="9">
        <f t="shared" si="27"/>
        <v>1900</v>
      </c>
      <c r="N197" s="9">
        <f t="shared" si="28"/>
        <v>192</v>
      </c>
      <c r="O197" s="10" t="str">
        <f>IF($B197="","",VLOOKUP($B197,Listas!$A$6:$C$200,3,FALSE)+SUMIFS($K$6:$K$200,$B$6:$B$200,$B197,$N$6:$N$200,"&lt;="&amp;$N197))</f>
        <v/>
      </c>
      <c r="P197" s="9" t="str">
        <f t="shared" si="29"/>
        <v/>
      </c>
    </row>
    <row r="198" spans="1:16" x14ac:dyDescent="0.25">
      <c r="A198" s="8"/>
      <c r="B198" s="9"/>
      <c r="C198" s="9"/>
      <c r="D198" s="9"/>
      <c r="E198" s="9"/>
      <c r="F198" s="9"/>
      <c r="G198" s="9"/>
      <c r="H198" s="9"/>
      <c r="I198" s="9"/>
      <c r="J198" s="10"/>
      <c r="K198" s="10">
        <f t="shared" si="25"/>
        <v>0</v>
      </c>
      <c r="L198" s="9">
        <f t="shared" si="26"/>
        <v>1</v>
      </c>
      <c r="M198" s="9">
        <f t="shared" si="27"/>
        <v>1900</v>
      </c>
      <c r="N198" s="9">
        <f t="shared" si="28"/>
        <v>193</v>
      </c>
      <c r="O198" s="10" t="str">
        <f>IF($B198="","",VLOOKUP($B198,Listas!$A$6:$C$200,3,FALSE)+SUMIFS($K$6:$K$200,$B$6:$B$200,$B198,$N$6:$N$200,"&lt;="&amp;$N198))</f>
        <v/>
      </c>
      <c r="P198" s="9" t="str">
        <f t="shared" si="29"/>
        <v/>
      </c>
    </row>
    <row r="199" spans="1:16" x14ac:dyDescent="0.25">
      <c r="A199" s="8"/>
      <c r="B199" s="9"/>
      <c r="C199" s="9"/>
      <c r="D199" s="9"/>
      <c r="E199" s="9"/>
      <c r="F199" s="9"/>
      <c r="G199" s="9"/>
      <c r="H199" s="9"/>
      <c r="I199" s="9"/>
      <c r="J199" s="10"/>
      <c r="K199" s="10">
        <f t="shared" si="25"/>
        <v>0</v>
      </c>
      <c r="L199" s="9">
        <f t="shared" si="26"/>
        <v>1</v>
      </c>
      <c r="M199" s="9">
        <f t="shared" si="27"/>
        <v>1900</v>
      </c>
      <c r="N199" s="9">
        <f t="shared" si="28"/>
        <v>194</v>
      </c>
      <c r="O199" s="10" t="str">
        <f>IF($B199="","",VLOOKUP($B199,Listas!$A$6:$C$200,3,FALSE)+SUMIFS($K$6:$K$200,$B$6:$B$200,$B199,$N$6:$N$200,"&lt;="&amp;$N199))</f>
        <v/>
      </c>
      <c r="P199" s="9" t="str">
        <f t="shared" si="29"/>
        <v/>
      </c>
    </row>
    <row r="200" spans="1:16" x14ac:dyDescent="0.25">
      <c r="A200" s="8"/>
      <c r="B200" s="9"/>
      <c r="C200" s="9"/>
      <c r="D200" s="9"/>
      <c r="E200" s="9"/>
      <c r="F200" s="9"/>
      <c r="G200" s="9"/>
      <c r="H200" s="9"/>
      <c r="I200" s="9"/>
      <c r="J200" s="10"/>
      <c r="K200" s="10">
        <f t="shared" si="25"/>
        <v>0</v>
      </c>
      <c r="L200" s="9">
        <f t="shared" si="26"/>
        <v>1</v>
      </c>
      <c r="M200" s="9">
        <f t="shared" si="27"/>
        <v>1900</v>
      </c>
      <c r="N200" s="9">
        <f t="shared" si="28"/>
        <v>195</v>
      </c>
      <c r="O200" s="10" t="str">
        <f>IF($B200="","",VLOOKUP($B200,Listas!$A$6:$C$200,3,FALSE)+SUMIFS($K$6:$K$200,$B$6:$B$200,$B200,$N$6:$N$200,"&lt;="&amp;$N200))</f>
        <v/>
      </c>
      <c r="P200" s="9" t="str">
        <f t="shared" si="29"/>
        <v/>
      </c>
    </row>
  </sheetData>
  <mergeCells count="3">
    <mergeCell ref="A1:P1"/>
    <mergeCell ref="A3:P3"/>
    <mergeCell ref="A2:P2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1"/>
  <sheetViews>
    <sheetView showGridLines="0" workbookViewId="0">
      <selection sqref="A1:L1"/>
    </sheetView>
  </sheetViews>
  <sheetFormatPr baseColWidth="10" defaultColWidth="9.140625" defaultRowHeight="15" x14ac:dyDescent="0.25"/>
  <cols>
    <col min="1" max="1" width="22" customWidth="1"/>
    <col min="2" max="4" width="14" customWidth="1"/>
    <col min="5" max="5" width="10" customWidth="1"/>
    <col min="6" max="6" width="18" customWidth="1"/>
    <col min="7" max="8" width="14" customWidth="1"/>
  </cols>
  <sheetData>
    <row r="1" spans="1:12" ht="32.1" customHeight="1" x14ac:dyDescent="0.25">
      <c r="A1" s="23" t="s">
        <v>119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21.95" customHeight="1" x14ac:dyDescent="0.25">
      <c r="A2" s="22" t="s">
        <v>120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x14ac:dyDescent="0.25">
      <c r="A3" s="1" t="s">
        <v>2</v>
      </c>
      <c r="B3" s="2">
        <f>Inicio!B3</f>
        <v>1</v>
      </c>
      <c r="C3" s="1" t="s">
        <v>3</v>
      </c>
      <c r="D3" s="2">
        <f>Inicio!D3</f>
        <v>2026</v>
      </c>
      <c r="F3" s="17" t="s">
        <v>121</v>
      </c>
      <c r="G3" s="18"/>
      <c r="H3" s="18"/>
    </row>
    <row r="4" spans="1:12" x14ac:dyDescent="0.25">
      <c r="F4" s="4" t="s">
        <v>28</v>
      </c>
      <c r="G4" s="25">
        <f>SUMIFS(Movimientos!$K$6:$K$200,Movimientos!$C$6:$C$200,"Ingreso",Movimientos!$L$6:$L$200,$B$3,Movimientos!$M$6:$M$200,$D$3)</f>
        <v>1061.4000000000001</v>
      </c>
      <c r="H4" s="18"/>
    </row>
    <row r="5" spans="1:12" x14ac:dyDescent="0.25">
      <c r="F5" s="4" t="s">
        <v>29</v>
      </c>
      <c r="G5" s="25">
        <f>-SUMIFS(Movimientos!$K$6:$K$200,Movimientos!$C$6:$C$200,"Gasto",Movimientos!$L$6:$L$200,$B$3,Movimientos!$M$6:$M$200,$D$3)</f>
        <v>256.49</v>
      </c>
      <c r="H5" s="18"/>
    </row>
    <row r="6" spans="1:12" x14ac:dyDescent="0.25">
      <c r="F6" s="4" t="s">
        <v>30</v>
      </c>
      <c r="G6" s="25">
        <f>G4-G5</f>
        <v>804.91000000000008</v>
      </c>
      <c r="H6" s="18"/>
    </row>
    <row r="7" spans="1:12" x14ac:dyDescent="0.25">
      <c r="F7" s="4" t="s">
        <v>18</v>
      </c>
      <c r="G7" s="26">
        <f>IFERROR(G6/G4,0)</f>
        <v>0.75834746561145661</v>
      </c>
      <c r="H7" s="18"/>
    </row>
    <row r="8" spans="1:12" x14ac:dyDescent="0.25">
      <c r="A8" s="17" t="s">
        <v>29</v>
      </c>
      <c r="B8" s="18"/>
      <c r="C8" s="18"/>
      <c r="D8" s="18"/>
      <c r="E8" s="18"/>
    </row>
    <row r="9" spans="1:12" x14ac:dyDescent="0.25">
      <c r="A9" s="2" t="s">
        <v>19</v>
      </c>
      <c r="B9" s="2" t="s">
        <v>122</v>
      </c>
      <c r="C9" s="2" t="s">
        <v>123</v>
      </c>
      <c r="D9" s="2" t="s">
        <v>124</v>
      </c>
      <c r="E9" s="2" t="s">
        <v>125</v>
      </c>
    </row>
    <row r="10" spans="1:12" x14ac:dyDescent="0.25">
      <c r="A10" s="5" t="s">
        <v>21</v>
      </c>
      <c r="B10" s="11">
        <v>350</v>
      </c>
      <c r="C10" s="6">
        <f>-SUMIFS(Movimientos!$K$6:$K$200,Movimientos!$C$6:$C$200,"Gasto",Movimientos!$E$6:$E$200,$A10,Movimientos!$L$6:$L$200,$B$3,Movimientos!$M$6:$M$200,$D$3)</f>
        <v>18.899999999999999</v>
      </c>
      <c r="D10" s="6">
        <f t="shared" ref="D10:D21" si="0">$B10-$C10</f>
        <v>331.1</v>
      </c>
      <c r="E10" s="12">
        <f t="shared" ref="E10:E21" si="1">IFERROR($C10/$B10,0)</f>
        <v>5.3999999999999999E-2</v>
      </c>
    </row>
    <row r="11" spans="1:12" x14ac:dyDescent="0.25">
      <c r="A11" s="5" t="s">
        <v>23</v>
      </c>
      <c r="B11" s="11">
        <v>220</v>
      </c>
      <c r="C11" s="6">
        <f>-SUMIFS(Movimientos!$K$6:$K$200,Movimientos!$C$6:$C$200,"Gasto",Movimientos!$E$6:$E$200,$A11,Movimientos!$L$6:$L$200,$B$3,Movimientos!$M$6:$M$200,$D$3)</f>
        <v>59.1</v>
      </c>
      <c r="D11" s="6">
        <f t="shared" si="0"/>
        <v>160.9</v>
      </c>
      <c r="E11" s="12">
        <f t="shared" si="1"/>
        <v>0.26863636363636362</v>
      </c>
    </row>
    <row r="12" spans="1:12" x14ac:dyDescent="0.25">
      <c r="A12" s="5" t="s">
        <v>24</v>
      </c>
      <c r="B12" s="11">
        <v>90</v>
      </c>
      <c r="C12" s="6">
        <f>-SUMIFS(Movimientos!$K$6:$K$200,Movimientos!$C$6:$C$200,"Gasto",Movimientos!$E$6:$E$200,$A12,Movimientos!$L$6:$L$200,$B$3,Movimientos!$M$6:$M$200,$D$3)</f>
        <v>28</v>
      </c>
      <c r="D12" s="6">
        <f t="shared" si="0"/>
        <v>62</v>
      </c>
      <c r="E12" s="12">
        <f t="shared" si="1"/>
        <v>0.31111111111111112</v>
      </c>
    </row>
    <row r="13" spans="1:12" x14ac:dyDescent="0.25">
      <c r="A13" s="5" t="s">
        <v>25</v>
      </c>
      <c r="B13" s="11">
        <v>60</v>
      </c>
      <c r="C13" s="6">
        <f>-SUMIFS(Movimientos!$K$6:$K$200,Movimientos!$C$6:$C$200,"Gasto",Movimientos!$E$6:$E$200,$A13,Movimientos!$L$6:$L$200,$B$3,Movimientos!$M$6:$M$200,$D$3)</f>
        <v>25</v>
      </c>
      <c r="D13" s="6">
        <f t="shared" si="0"/>
        <v>35</v>
      </c>
      <c r="E13" s="12">
        <f t="shared" si="1"/>
        <v>0.41666666666666669</v>
      </c>
    </row>
    <row r="14" spans="1:12" x14ac:dyDescent="0.25">
      <c r="A14" s="5" t="s">
        <v>27</v>
      </c>
      <c r="B14" s="11">
        <v>70</v>
      </c>
      <c r="C14" s="6">
        <f>-SUMIFS(Movimientos!$K$6:$K$200,Movimientos!$C$6:$C$200,"Gasto",Movimientos!$E$6:$E$200,$A14,Movimientos!$L$6:$L$200,$B$3,Movimientos!$M$6:$M$200,$D$3)</f>
        <v>9</v>
      </c>
      <c r="D14" s="6">
        <f t="shared" si="0"/>
        <v>61</v>
      </c>
      <c r="E14" s="12">
        <f t="shared" si="1"/>
        <v>0.12857142857142856</v>
      </c>
    </row>
    <row r="15" spans="1:12" x14ac:dyDescent="0.25">
      <c r="A15" s="5" t="s">
        <v>31</v>
      </c>
      <c r="B15" s="11">
        <v>50</v>
      </c>
      <c r="C15" s="6">
        <f>-SUMIFS(Movimientos!$K$6:$K$200,Movimientos!$C$6:$C$200,"Gasto",Movimientos!$E$6:$E$200,$A15,Movimientos!$L$6:$L$200,$B$3,Movimientos!$M$6:$M$200,$D$3)</f>
        <v>0</v>
      </c>
      <c r="D15" s="6">
        <f t="shared" si="0"/>
        <v>50</v>
      </c>
      <c r="E15" s="12">
        <f t="shared" si="1"/>
        <v>0</v>
      </c>
    </row>
    <row r="16" spans="1:12" x14ac:dyDescent="0.25">
      <c r="A16" s="5" t="s">
        <v>33</v>
      </c>
      <c r="B16" s="11">
        <v>35</v>
      </c>
      <c r="C16" s="6">
        <f>-SUMIFS(Movimientos!$K$6:$K$200,Movimientos!$C$6:$C$200,"Gasto",Movimientos!$E$6:$E$200,$A16,Movimientos!$L$6:$L$200,$B$3,Movimientos!$M$6:$M$200,$D$3)</f>
        <v>31.5</v>
      </c>
      <c r="D16" s="6">
        <f t="shared" si="0"/>
        <v>3.5</v>
      </c>
      <c r="E16" s="12">
        <f t="shared" si="1"/>
        <v>0.9</v>
      </c>
    </row>
    <row r="17" spans="1:5" x14ac:dyDescent="0.25">
      <c r="A17" s="5" t="s">
        <v>35</v>
      </c>
      <c r="B17" s="11">
        <v>20</v>
      </c>
      <c r="C17" s="6">
        <f>-SUMIFS(Movimientos!$K$6:$K$200,Movimientos!$C$6:$C$200,"Gasto",Movimientos!$E$6:$E$200,$A17,Movimientos!$L$6:$L$200,$B$3,Movimientos!$M$6:$M$200,$D$3)</f>
        <v>4.99</v>
      </c>
      <c r="D17" s="6">
        <f t="shared" si="0"/>
        <v>15.01</v>
      </c>
      <c r="E17" s="12">
        <f t="shared" si="1"/>
        <v>0.2495</v>
      </c>
    </row>
    <row r="18" spans="1:5" x14ac:dyDescent="0.25">
      <c r="A18" s="5" t="s">
        <v>37</v>
      </c>
      <c r="B18" s="11">
        <v>40</v>
      </c>
      <c r="C18" s="6">
        <f>-SUMIFS(Movimientos!$K$6:$K$200,Movimientos!$C$6:$C$200,"Gasto",Movimientos!$E$6:$E$200,$A18,Movimientos!$L$6:$L$200,$B$3,Movimientos!$M$6:$M$200,$D$3)</f>
        <v>0</v>
      </c>
      <c r="D18" s="6">
        <f t="shared" si="0"/>
        <v>40</v>
      </c>
      <c r="E18" s="12">
        <f t="shared" si="1"/>
        <v>0</v>
      </c>
    </row>
    <row r="19" spans="1:5" x14ac:dyDescent="0.25">
      <c r="A19" s="5" t="s">
        <v>39</v>
      </c>
      <c r="B19" s="11">
        <v>80</v>
      </c>
      <c r="C19" s="6">
        <f>-SUMIFS(Movimientos!$K$6:$K$200,Movimientos!$C$6:$C$200,"Gasto",Movimientos!$E$6:$E$200,$A19,Movimientos!$L$6:$L$200,$B$3,Movimientos!$M$6:$M$200,$D$3)</f>
        <v>80</v>
      </c>
      <c r="D19" s="6">
        <f t="shared" si="0"/>
        <v>0</v>
      </c>
      <c r="E19" s="12">
        <f t="shared" si="1"/>
        <v>1</v>
      </c>
    </row>
    <row r="20" spans="1:5" x14ac:dyDescent="0.25">
      <c r="A20" s="5" t="s">
        <v>41</v>
      </c>
      <c r="B20" s="11">
        <v>45</v>
      </c>
      <c r="C20" s="6">
        <f>-SUMIFS(Movimientos!$K$6:$K$200,Movimientos!$C$6:$C$200,"Gasto",Movimientos!$E$6:$E$200,$A20,Movimientos!$L$6:$L$200,$B$3,Movimientos!$M$6:$M$200,$D$3)</f>
        <v>0</v>
      </c>
      <c r="D20" s="6">
        <f t="shared" si="0"/>
        <v>45</v>
      </c>
      <c r="E20" s="12">
        <f t="shared" si="1"/>
        <v>0</v>
      </c>
    </row>
    <row r="21" spans="1:5" x14ac:dyDescent="0.25">
      <c r="A21" s="5" t="s">
        <v>43</v>
      </c>
      <c r="B21" s="11">
        <v>30</v>
      </c>
      <c r="C21" s="6">
        <f>-SUMIFS(Movimientos!$K$6:$K$200,Movimientos!$C$6:$C$200,"Gasto",Movimientos!$E$6:$E$200,$A21,Movimientos!$L$6:$L$200,$B$3,Movimientos!$M$6:$M$200,$D$3)</f>
        <v>0</v>
      </c>
      <c r="D21" s="6">
        <f t="shared" si="0"/>
        <v>30</v>
      </c>
      <c r="E21" s="12">
        <f t="shared" si="1"/>
        <v>0</v>
      </c>
    </row>
    <row r="22" spans="1:5" x14ac:dyDescent="0.25">
      <c r="A22" s="13" t="s">
        <v>126</v>
      </c>
      <c r="B22" s="14">
        <f>SUM(B10:B21)</f>
        <v>1090</v>
      </c>
      <c r="C22" s="14">
        <f>SUM(C10:C21)</f>
        <v>256.49</v>
      </c>
      <c r="D22" s="14">
        <f>B22-C22</f>
        <v>833.51</v>
      </c>
      <c r="E22" s="15">
        <f>IFERROR(C22/B22,0)</f>
        <v>0.2353119266055046</v>
      </c>
    </row>
    <row r="24" spans="1:5" x14ac:dyDescent="0.25">
      <c r="A24" s="17" t="s">
        <v>28</v>
      </c>
      <c r="B24" s="18"/>
      <c r="C24" s="18"/>
      <c r="D24" s="18"/>
      <c r="E24" s="18"/>
    </row>
    <row r="25" spans="1:5" x14ac:dyDescent="0.25">
      <c r="A25" s="2" t="s">
        <v>19</v>
      </c>
      <c r="B25" s="2" t="s">
        <v>122</v>
      </c>
      <c r="C25" s="2" t="s">
        <v>123</v>
      </c>
      <c r="D25" s="2" t="s">
        <v>124</v>
      </c>
      <c r="E25" s="2" t="s">
        <v>125</v>
      </c>
    </row>
    <row r="26" spans="1:5" x14ac:dyDescent="0.25">
      <c r="A26" s="5" t="s">
        <v>66</v>
      </c>
      <c r="B26" s="11">
        <v>0</v>
      </c>
      <c r="C26" s="6">
        <f>SUMIFS(Movimientos!$K$6:$K$200,Movimientos!$C$6:$C$200,"Ingreso",Movimientos!$E$6:$E$200,$A26,Movimientos!$L$6:$L$200,$B$3,Movimientos!$M$6:$M$200,$D$3)</f>
        <v>980</v>
      </c>
      <c r="D26" s="6">
        <f>$B26-$C26</f>
        <v>-980</v>
      </c>
      <c r="E26" s="12">
        <f>IFERROR($C26/$B26,0)</f>
        <v>0</v>
      </c>
    </row>
    <row r="27" spans="1:5" x14ac:dyDescent="0.25">
      <c r="A27" s="5" t="s">
        <v>87</v>
      </c>
      <c r="B27" s="11">
        <v>0</v>
      </c>
      <c r="C27" s="6">
        <f>SUMIFS(Movimientos!$K$6:$K$200,Movimientos!$C$6:$C$200,"Ingreso",Movimientos!$E$6:$E$200,$A27,Movimientos!$L$6:$L$200,$B$3,Movimientos!$M$6:$M$200,$D$3)</f>
        <v>0</v>
      </c>
      <c r="D27" s="6">
        <f>$B27-$C27</f>
        <v>0</v>
      </c>
      <c r="E27" s="12">
        <f>IFERROR($C27/$B27,0)</f>
        <v>0</v>
      </c>
    </row>
    <row r="28" spans="1:5" x14ac:dyDescent="0.25">
      <c r="A28" s="5" t="s">
        <v>97</v>
      </c>
      <c r="B28" s="11">
        <v>0</v>
      </c>
      <c r="C28" s="6">
        <f>SUMIFS(Movimientos!$K$6:$K$200,Movimientos!$C$6:$C$200,"Ingreso",Movimientos!$E$6:$E$200,$A28,Movimientos!$L$6:$L$200,$B$3,Movimientos!$M$6:$M$200,$D$3)</f>
        <v>6.4</v>
      </c>
      <c r="D28" s="6">
        <f>$B28-$C28</f>
        <v>-6.4</v>
      </c>
      <c r="E28" s="12">
        <f>IFERROR($C28/$B28,0)</f>
        <v>0</v>
      </c>
    </row>
    <row r="29" spans="1:5" x14ac:dyDescent="0.25">
      <c r="A29" s="5" t="s">
        <v>105</v>
      </c>
      <c r="B29" s="11">
        <v>0</v>
      </c>
      <c r="C29" s="6">
        <f>SUMIFS(Movimientos!$K$6:$K$200,Movimientos!$C$6:$C$200,"Ingreso",Movimientos!$E$6:$E$200,$A29,Movimientos!$L$6:$L$200,$B$3,Movimientos!$M$6:$M$200,$D$3)</f>
        <v>0</v>
      </c>
      <c r="D29" s="6">
        <f>$B29-$C29</f>
        <v>0</v>
      </c>
      <c r="E29" s="12">
        <f>IFERROR($C29/$B29,0)</f>
        <v>0</v>
      </c>
    </row>
    <row r="30" spans="1:5" x14ac:dyDescent="0.25">
      <c r="A30" s="5" t="s">
        <v>111</v>
      </c>
      <c r="B30" s="11">
        <v>0</v>
      </c>
      <c r="C30" s="6">
        <f>SUMIFS(Movimientos!$K$6:$K$200,Movimientos!$C$6:$C$200,"Ingreso",Movimientos!$E$6:$E$200,$A30,Movimientos!$L$6:$L$200,$B$3,Movimientos!$M$6:$M$200,$D$3)</f>
        <v>75</v>
      </c>
      <c r="D30" s="6">
        <f>$B30-$C30</f>
        <v>-75</v>
      </c>
      <c r="E30" s="12">
        <f>IFERROR($C30/$B30,0)</f>
        <v>0</v>
      </c>
    </row>
    <row r="31" spans="1:5" x14ac:dyDescent="0.25">
      <c r="A31" s="13" t="s">
        <v>126</v>
      </c>
      <c r="B31" s="14">
        <f>SUM(B26:B30)</f>
        <v>0</v>
      </c>
      <c r="C31" s="14">
        <f>SUM(C26:C30)</f>
        <v>1061.4000000000001</v>
      </c>
      <c r="D31" s="14">
        <f>B31-C31</f>
        <v>-1061.4000000000001</v>
      </c>
      <c r="E31" s="15">
        <f>IFERROR(C31/B31,0)</f>
        <v>0</v>
      </c>
    </row>
  </sheetData>
  <mergeCells count="9">
    <mergeCell ref="G4:H4"/>
    <mergeCell ref="A2:L2"/>
    <mergeCell ref="A24:E24"/>
    <mergeCell ref="G7:H7"/>
    <mergeCell ref="A1:L1"/>
    <mergeCell ref="G5:H5"/>
    <mergeCell ref="G6:H6"/>
    <mergeCell ref="A8:E8"/>
    <mergeCell ref="F3:H3"/>
  </mergeCells>
  <conditionalFormatting sqref="C10:C21">
    <cfRule type="expression" dxfId="0" priority="1">
      <formula>C10&gt;B10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0"/>
  <sheetViews>
    <sheetView showGridLines="0" workbookViewId="0">
      <selection sqref="A1:L1"/>
    </sheetView>
  </sheetViews>
  <sheetFormatPr baseColWidth="10" defaultColWidth="9.140625" defaultRowHeight="15" x14ac:dyDescent="0.25"/>
  <cols>
    <col min="1" max="1" width="26" customWidth="1"/>
    <col min="2" max="2" width="12" customWidth="1"/>
    <col min="3" max="3" width="16" customWidth="1"/>
  </cols>
  <sheetData>
    <row r="1" spans="1:12" ht="32.1" customHeight="1" x14ac:dyDescent="0.25">
      <c r="A1" s="23" t="s">
        <v>127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21.95" customHeight="1" x14ac:dyDescent="0.25">
      <c r="A2" s="22" t="s">
        <v>128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4" spans="1:12" x14ac:dyDescent="0.25">
      <c r="A4" s="17" t="s">
        <v>129</v>
      </c>
      <c r="B4" s="18"/>
      <c r="C4" s="18"/>
    </row>
    <row r="5" spans="1:12" x14ac:dyDescent="0.25">
      <c r="A5" s="4" t="s">
        <v>5</v>
      </c>
      <c r="B5" s="4" t="s">
        <v>7</v>
      </c>
      <c r="C5" s="4" t="s">
        <v>130</v>
      </c>
    </row>
    <row r="6" spans="1:12" x14ac:dyDescent="0.25">
      <c r="A6" s="5" t="s">
        <v>9</v>
      </c>
      <c r="B6" s="5" t="s">
        <v>10</v>
      </c>
      <c r="C6" s="6">
        <f>VLOOKUP(A6,Listas!$A$6:$C$200,3,FALSE)+SUMIFS(Movimientos!$K$6:$K$200,Movimientos!$B$6:$B$200,A6)</f>
        <v>3810.52</v>
      </c>
    </row>
    <row r="7" spans="1:12" x14ac:dyDescent="0.25">
      <c r="A7" s="5" t="s">
        <v>11</v>
      </c>
      <c r="B7" s="5" t="s">
        <v>10</v>
      </c>
      <c r="C7" s="6">
        <f>VLOOKUP(A7,Listas!$A$6:$C$200,3,FALSE)+SUMIFS(Movimientos!$K$6:$K$200,Movimientos!$B$6:$B$200,A7)</f>
        <v>6968.85</v>
      </c>
    </row>
    <row r="8" spans="1:12" x14ac:dyDescent="0.25">
      <c r="A8" s="5" t="s">
        <v>13</v>
      </c>
      <c r="B8" s="5" t="s">
        <v>14</v>
      </c>
      <c r="C8" s="6">
        <f>VLOOKUP(A8,Listas!$A$6:$C$200,3,FALSE)+SUMIFS(Movimientos!$K$6:$K$200,Movimientos!$B$6:$B$200,A8)</f>
        <v>-47.329999999999984</v>
      </c>
    </row>
    <row r="9" spans="1:12" x14ac:dyDescent="0.25">
      <c r="A9" s="5" t="s">
        <v>15</v>
      </c>
      <c r="B9" s="5" t="s">
        <v>10</v>
      </c>
      <c r="C9" s="6">
        <f>VLOOKUP(A9,Listas!$A$6:$C$200,3,FALSE)+SUMIFS(Movimientos!$K$6:$K$200,Movimientos!$B$6:$B$200,A9)</f>
        <v>70.2</v>
      </c>
    </row>
    <row r="11" spans="1:12" x14ac:dyDescent="0.25">
      <c r="A11" s="17" t="s">
        <v>131</v>
      </c>
      <c r="B11" s="18"/>
      <c r="C11" s="18"/>
    </row>
    <row r="12" spans="1:12" x14ac:dyDescent="0.25">
      <c r="A12" s="4" t="s">
        <v>132</v>
      </c>
      <c r="B12" s="4" t="s">
        <v>7</v>
      </c>
      <c r="C12" s="4" t="s">
        <v>133</v>
      </c>
    </row>
    <row r="13" spans="1:12" x14ac:dyDescent="0.25">
      <c r="A13" s="5" t="s">
        <v>134</v>
      </c>
      <c r="B13" s="5" t="s">
        <v>10</v>
      </c>
      <c r="C13" s="11">
        <v>900</v>
      </c>
    </row>
    <row r="14" spans="1:12" x14ac:dyDescent="0.25">
      <c r="A14" s="5" t="s">
        <v>135</v>
      </c>
      <c r="B14" s="5" t="s">
        <v>10</v>
      </c>
      <c r="C14" s="11">
        <v>1500</v>
      </c>
    </row>
    <row r="15" spans="1:12" x14ac:dyDescent="0.25">
      <c r="A15" s="5" t="s">
        <v>136</v>
      </c>
      <c r="B15" s="5" t="s">
        <v>14</v>
      </c>
      <c r="C15" s="11">
        <v>-700</v>
      </c>
    </row>
    <row r="18" spans="1:3" x14ac:dyDescent="0.25">
      <c r="A18" s="28" t="s">
        <v>137</v>
      </c>
      <c r="B18" s="27"/>
      <c r="C18" s="6">
        <f>SUMIF(B6:B16,"Activo",C6:C16)</f>
        <v>13249.570000000002</v>
      </c>
    </row>
    <row r="19" spans="1:3" x14ac:dyDescent="0.25">
      <c r="A19" s="28" t="s">
        <v>138</v>
      </c>
      <c r="B19" s="27"/>
      <c r="C19" s="6">
        <f>SUMIF(B6:B16,"Pasivo",C6:C16)</f>
        <v>-747.32999999999993</v>
      </c>
    </row>
    <row r="20" spans="1:3" x14ac:dyDescent="0.25">
      <c r="A20" s="20" t="s">
        <v>139</v>
      </c>
      <c r="B20" s="27"/>
      <c r="C20" s="16">
        <f>C18+C19</f>
        <v>12502.240000000002</v>
      </c>
    </row>
  </sheetData>
  <mergeCells count="7">
    <mergeCell ref="A2:L2"/>
    <mergeCell ref="A20:B20"/>
    <mergeCell ref="A11:C11"/>
    <mergeCell ref="A19:B19"/>
    <mergeCell ref="A1:L1"/>
    <mergeCell ref="A18:B18"/>
    <mergeCell ref="A4:C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2"/>
  <sheetViews>
    <sheetView showGridLines="0" workbookViewId="0">
      <selection sqref="A1:Q1"/>
    </sheetView>
  </sheetViews>
  <sheetFormatPr baseColWidth="10" defaultColWidth="9.140625" defaultRowHeight="15" x14ac:dyDescent="0.25"/>
  <cols>
    <col min="1" max="1" width="22" customWidth="1"/>
    <col min="2" max="2" width="14" customWidth="1"/>
    <col min="3" max="4" width="16" customWidth="1"/>
    <col min="5" max="5" width="18" customWidth="1"/>
    <col min="7" max="7" width="18" customWidth="1"/>
    <col min="10" max="10" width="24" customWidth="1"/>
    <col min="12" max="12" width="22" customWidth="1"/>
    <col min="14" max="14" width="24" customWidth="1"/>
    <col min="16" max="17" width="8" customWidth="1"/>
  </cols>
  <sheetData>
    <row r="1" spans="1:17" ht="32.1" customHeight="1" x14ac:dyDescent="0.25">
      <c r="A1" s="23" t="s">
        <v>140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ht="21.95" customHeight="1" x14ac:dyDescent="0.25">
      <c r="A2" s="22" t="s">
        <v>141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4" spans="1:17" x14ac:dyDescent="0.25">
      <c r="A4" s="17" t="s">
        <v>142</v>
      </c>
      <c r="B4" s="18"/>
      <c r="C4" s="18"/>
      <c r="D4" s="17" t="s">
        <v>143</v>
      </c>
      <c r="E4" s="18"/>
      <c r="G4" s="17" t="s">
        <v>144</v>
      </c>
      <c r="H4" s="18"/>
      <c r="J4" s="17" t="s">
        <v>145</v>
      </c>
      <c r="K4" s="18"/>
      <c r="L4" s="18"/>
      <c r="M4" s="18"/>
      <c r="N4" s="18"/>
      <c r="P4" s="3" t="s">
        <v>2</v>
      </c>
      <c r="Q4" s="3" t="s">
        <v>3</v>
      </c>
    </row>
    <row r="5" spans="1:17" x14ac:dyDescent="0.25">
      <c r="A5" s="4" t="s">
        <v>146</v>
      </c>
      <c r="B5" s="4" t="s">
        <v>7</v>
      </c>
      <c r="C5" s="4" t="s">
        <v>147</v>
      </c>
      <c r="D5" s="4" t="s">
        <v>7</v>
      </c>
      <c r="E5" s="4" t="s">
        <v>148</v>
      </c>
      <c r="G5" s="4" t="s">
        <v>57</v>
      </c>
      <c r="J5" s="4" t="s">
        <v>29</v>
      </c>
      <c r="L5" s="4" t="s">
        <v>28</v>
      </c>
      <c r="N5" s="4" t="s">
        <v>149</v>
      </c>
      <c r="P5">
        <v>1</v>
      </c>
      <c r="Q5">
        <v>2024</v>
      </c>
    </row>
    <row r="6" spans="1:17" x14ac:dyDescent="0.25">
      <c r="A6" s="9" t="s">
        <v>9</v>
      </c>
      <c r="B6" s="9" t="s">
        <v>10</v>
      </c>
      <c r="C6" s="10">
        <v>1850</v>
      </c>
      <c r="D6" s="5" t="s">
        <v>64</v>
      </c>
      <c r="E6" s="5" t="s">
        <v>83</v>
      </c>
      <c r="G6" s="5" t="s">
        <v>78</v>
      </c>
      <c r="J6" s="5" t="s">
        <v>21</v>
      </c>
      <c r="L6" s="5" t="s">
        <v>66</v>
      </c>
      <c r="N6" s="5" t="s">
        <v>66</v>
      </c>
      <c r="P6">
        <v>2</v>
      </c>
      <c r="Q6">
        <v>2025</v>
      </c>
    </row>
    <row r="7" spans="1:17" x14ac:dyDescent="0.25">
      <c r="A7" s="9" t="s">
        <v>11</v>
      </c>
      <c r="B7" s="9" t="s">
        <v>10</v>
      </c>
      <c r="C7" s="10">
        <v>6200</v>
      </c>
      <c r="D7" s="5" t="s">
        <v>20</v>
      </c>
      <c r="E7" s="5" t="s">
        <v>81</v>
      </c>
      <c r="G7" s="5" t="s">
        <v>72</v>
      </c>
      <c r="J7" s="5" t="s">
        <v>23</v>
      </c>
      <c r="L7" s="5" t="s">
        <v>87</v>
      </c>
      <c r="N7" s="5" t="s">
        <v>87</v>
      </c>
      <c r="P7">
        <v>3</v>
      </c>
      <c r="Q7">
        <v>2026</v>
      </c>
    </row>
    <row r="8" spans="1:17" x14ac:dyDescent="0.25">
      <c r="A8" s="9" t="s">
        <v>13</v>
      </c>
      <c r="B8" s="9" t="s">
        <v>14</v>
      </c>
      <c r="C8" s="10">
        <v>-320</v>
      </c>
      <c r="D8" s="5" t="s">
        <v>68</v>
      </c>
      <c r="G8" s="5" t="s">
        <v>15</v>
      </c>
      <c r="J8" s="5" t="s">
        <v>24</v>
      </c>
      <c r="L8" s="5" t="s">
        <v>97</v>
      </c>
      <c r="N8" s="5" t="s">
        <v>97</v>
      </c>
      <c r="P8">
        <v>4</v>
      </c>
      <c r="Q8">
        <v>2027</v>
      </c>
    </row>
    <row r="9" spans="1:17" x14ac:dyDescent="0.25">
      <c r="A9" s="9" t="s">
        <v>15</v>
      </c>
      <c r="B9" s="9" t="s">
        <v>10</v>
      </c>
      <c r="C9" s="10">
        <v>120</v>
      </c>
      <c r="G9" s="5" t="s">
        <v>68</v>
      </c>
      <c r="J9" s="5" t="s">
        <v>25</v>
      </c>
      <c r="L9" s="5" t="s">
        <v>105</v>
      </c>
      <c r="N9" s="5" t="s">
        <v>105</v>
      </c>
      <c r="P9">
        <v>5</v>
      </c>
      <c r="Q9">
        <v>2028</v>
      </c>
    </row>
    <row r="10" spans="1:17" x14ac:dyDescent="0.25">
      <c r="G10" s="5" t="s">
        <v>74</v>
      </c>
      <c r="J10" s="5" t="s">
        <v>27</v>
      </c>
      <c r="L10" s="5" t="s">
        <v>111</v>
      </c>
      <c r="N10" s="5" t="s">
        <v>111</v>
      </c>
      <c r="P10">
        <v>6</v>
      </c>
      <c r="Q10">
        <v>2029</v>
      </c>
    </row>
    <row r="11" spans="1:17" x14ac:dyDescent="0.25">
      <c r="G11" s="5" t="s">
        <v>96</v>
      </c>
      <c r="J11" s="5" t="s">
        <v>31</v>
      </c>
      <c r="N11" s="5" t="s">
        <v>21</v>
      </c>
      <c r="P11">
        <v>7</v>
      </c>
      <c r="Q11">
        <v>2030</v>
      </c>
    </row>
    <row r="12" spans="1:17" x14ac:dyDescent="0.25">
      <c r="J12" s="5" t="s">
        <v>33</v>
      </c>
      <c r="N12" s="5" t="s">
        <v>23</v>
      </c>
      <c r="P12">
        <v>8</v>
      </c>
    </row>
    <row r="13" spans="1:17" x14ac:dyDescent="0.25">
      <c r="J13" s="5" t="s">
        <v>35</v>
      </c>
      <c r="N13" s="5" t="s">
        <v>24</v>
      </c>
      <c r="P13">
        <v>9</v>
      </c>
    </row>
    <row r="14" spans="1:17" x14ac:dyDescent="0.25">
      <c r="J14" s="5" t="s">
        <v>37</v>
      </c>
      <c r="N14" s="5" t="s">
        <v>25</v>
      </c>
      <c r="P14">
        <v>10</v>
      </c>
    </row>
    <row r="15" spans="1:17" x14ac:dyDescent="0.25">
      <c r="J15" s="5" t="s">
        <v>39</v>
      </c>
      <c r="N15" s="5" t="s">
        <v>27</v>
      </c>
      <c r="P15">
        <v>11</v>
      </c>
    </row>
    <row r="16" spans="1:17" x14ac:dyDescent="0.25">
      <c r="J16" s="5" t="s">
        <v>41</v>
      </c>
      <c r="N16" s="5" t="s">
        <v>31</v>
      </c>
      <c r="P16">
        <v>12</v>
      </c>
    </row>
    <row r="17" spans="10:14" x14ac:dyDescent="0.25">
      <c r="J17" s="5" t="s">
        <v>43</v>
      </c>
      <c r="N17" s="5" t="s">
        <v>33</v>
      </c>
    </row>
    <row r="18" spans="10:14" x14ac:dyDescent="0.25">
      <c r="N18" s="5" t="s">
        <v>35</v>
      </c>
    </row>
    <row r="19" spans="10:14" x14ac:dyDescent="0.25">
      <c r="N19" s="5" t="s">
        <v>37</v>
      </c>
    </row>
    <row r="20" spans="10:14" x14ac:dyDescent="0.25">
      <c r="N20" s="5" t="s">
        <v>39</v>
      </c>
    </row>
    <row r="21" spans="10:14" x14ac:dyDescent="0.25">
      <c r="N21" s="5" t="s">
        <v>41</v>
      </c>
    </row>
    <row r="22" spans="10:14" x14ac:dyDescent="0.25">
      <c r="N22" s="5" t="s">
        <v>43</v>
      </c>
    </row>
  </sheetData>
  <mergeCells count="6">
    <mergeCell ref="A1:Q1"/>
    <mergeCell ref="J4:N4"/>
    <mergeCell ref="G4:H4"/>
    <mergeCell ref="A2:Q2"/>
    <mergeCell ref="D4:E4"/>
    <mergeCell ref="A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9</vt:i4>
      </vt:variant>
    </vt:vector>
  </HeadingPairs>
  <TitlesOfParts>
    <vt:vector size="14" baseType="lpstr">
      <vt:lpstr>Inicio</vt:lpstr>
      <vt:lpstr>Movimientos</vt:lpstr>
      <vt:lpstr>Presupuesto</vt:lpstr>
      <vt:lpstr>Patrimonio</vt:lpstr>
      <vt:lpstr>Listas</vt:lpstr>
      <vt:lpstr>lst_anios</vt:lpstr>
      <vt:lpstr>lst_cat_all</vt:lpstr>
      <vt:lpstr>lst_cat_gasto</vt:lpstr>
      <vt:lpstr>lst_cat_ing</vt:lpstr>
      <vt:lpstr>lst_cuentas</vt:lpstr>
      <vt:lpstr>lst_dir</vt:lpstr>
      <vt:lpstr>lst_meses</vt:lpstr>
      <vt:lpstr>lst_metodos</vt:lpstr>
      <vt:lpstr>lst_tipos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2026-02-12T10:17:09Z</dcterms:modified>
</cp:coreProperties>
</file>