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Users\sergi\Documents\SEO\SEO\AA_Webs\Plantillama\excel\Futbol\"/>
    </mc:Choice>
  </mc:AlternateContent>
  <xr:revisionPtr revIDLastSave="0" documentId="8_{0E5F7EB2-E522-4624-9241-C27DB8C99948}" xr6:coauthVersionLast="47" xr6:coauthVersionMax="47" xr10:uidLastSave="{00000000-0000-0000-0000-000000000000}"/>
  <bookViews>
    <workbookView xWindow="-120" yWindow="-120" windowWidth="29040" windowHeight="15720" activeTab="2" xr2:uid="{00000000-000D-0000-FFFF-FFFF00000000}"/>
  </bookViews>
  <sheets>
    <sheet name="Inicio" sheetId="1" r:id="rId1"/>
    <sheet name="Partidos" sheetId="2" r:id="rId2"/>
    <sheet name="Clasificacion" sheetId="3" r:id="rId3"/>
    <sheet name="Calculos" sheetId="4" state="hidden" r:id="rId4"/>
  </sheets>
  <definedNames>
    <definedName name="_xlnm._FilterDatabase" localSheetId="2" hidden="1">Clasificacion!$A$5:$J$23</definedName>
    <definedName name="_xlnm._FilterDatabase" localSheetId="1" hidden="1">Partidos!$A$4:$G$310</definedName>
  </definedNames>
  <calcPr calcId="191029"/>
  <fileRecoveryPr repair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 i="4" l="1"/>
  <c r="O310" i="2"/>
  <c r="N310" i="2"/>
  <c r="M310" i="2"/>
  <c r="L310" i="2"/>
  <c r="K310" i="2"/>
  <c r="J310" i="2"/>
  <c r="O309" i="2"/>
  <c r="N309" i="2"/>
  <c r="M309" i="2"/>
  <c r="L309" i="2"/>
  <c r="K309" i="2"/>
  <c r="J309" i="2"/>
  <c r="O308" i="2"/>
  <c r="N308" i="2"/>
  <c r="M308" i="2"/>
  <c r="L308" i="2"/>
  <c r="K308" i="2"/>
  <c r="J308" i="2"/>
  <c r="O307" i="2"/>
  <c r="N307" i="2"/>
  <c r="M307" i="2"/>
  <c r="L307" i="2"/>
  <c r="K307" i="2"/>
  <c r="J307" i="2"/>
  <c r="O306" i="2"/>
  <c r="N306" i="2"/>
  <c r="M306" i="2"/>
  <c r="L306" i="2"/>
  <c r="K306" i="2"/>
  <c r="J306" i="2"/>
  <c r="O305" i="2"/>
  <c r="N305" i="2"/>
  <c r="M305" i="2"/>
  <c r="L305" i="2"/>
  <c r="K305" i="2"/>
  <c r="J305" i="2"/>
  <c r="O304" i="2"/>
  <c r="N304" i="2"/>
  <c r="M304" i="2"/>
  <c r="L304" i="2"/>
  <c r="K304" i="2"/>
  <c r="J304" i="2"/>
  <c r="O303" i="2"/>
  <c r="N303" i="2"/>
  <c r="M303" i="2"/>
  <c r="L303" i="2"/>
  <c r="K303" i="2"/>
  <c r="J303" i="2"/>
  <c r="O302" i="2"/>
  <c r="N302" i="2"/>
  <c r="M302" i="2"/>
  <c r="L302" i="2"/>
  <c r="K302" i="2"/>
  <c r="J302" i="2"/>
  <c r="O301" i="2"/>
  <c r="N301" i="2"/>
  <c r="M301" i="2"/>
  <c r="L301" i="2"/>
  <c r="K301" i="2"/>
  <c r="J301" i="2"/>
  <c r="O300" i="2"/>
  <c r="N300" i="2"/>
  <c r="M300" i="2"/>
  <c r="L300" i="2"/>
  <c r="K300" i="2"/>
  <c r="J300" i="2"/>
  <c r="O299" i="2"/>
  <c r="N299" i="2"/>
  <c r="M299" i="2"/>
  <c r="L299" i="2"/>
  <c r="K299" i="2"/>
  <c r="J299" i="2"/>
  <c r="O298" i="2"/>
  <c r="N298" i="2"/>
  <c r="M298" i="2"/>
  <c r="L298" i="2"/>
  <c r="K298" i="2"/>
  <c r="J298" i="2"/>
  <c r="O297" i="2"/>
  <c r="N297" i="2"/>
  <c r="M297" i="2"/>
  <c r="L297" i="2"/>
  <c r="K297" i="2"/>
  <c r="J297" i="2"/>
  <c r="O296" i="2"/>
  <c r="N296" i="2"/>
  <c r="M296" i="2"/>
  <c r="L296" i="2"/>
  <c r="K296" i="2"/>
  <c r="J296" i="2"/>
  <c r="O295" i="2"/>
  <c r="N295" i="2"/>
  <c r="M295" i="2"/>
  <c r="L295" i="2"/>
  <c r="K295" i="2"/>
  <c r="J295" i="2"/>
  <c r="O294" i="2"/>
  <c r="N294" i="2"/>
  <c r="M294" i="2"/>
  <c r="L294" i="2"/>
  <c r="K294" i="2"/>
  <c r="J294" i="2"/>
  <c r="O293" i="2"/>
  <c r="N293" i="2"/>
  <c r="M293" i="2"/>
  <c r="L293" i="2"/>
  <c r="K293" i="2"/>
  <c r="J293" i="2"/>
  <c r="O292" i="2"/>
  <c r="N292" i="2"/>
  <c r="M292" i="2"/>
  <c r="L292" i="2"/>
  <c r="K292" i="2"/>
  <c r="J292" i="2"/>
  <c r="O291" i="2"/>
  <c r="N291" i="2"/>
  <c r="M291" i="2"/>
  <c r="L291" i="2"/>
  <c r="K291" i="2"/>
  <c r="J291" i="2"/>
  <c r="O290" i="2"/>
  <c r="N290" i="2"/>
  <c r="M290" i="2"/>
  <c r="L290" i="2"/>
  <c r="K290" i="2"/>
  <c r="J290" i="2"/>
  <c r="O289" i="2"/>
  <c r="N289" i="2"/>
  <c r="M289" i="2"/>
  <c r="L289" i="2"/>
  <c r="K289" i="2"/>
  <c r="J289" i="2"/>
  <c r="O288" i="2"/>
  <c r="N288" i="2"/>
  <c r="M288" i="2"/>
  <c r="L288" i="2"/>
  <c r="K288" i="2"/>
  <c r="J288" i="2"/>
  <c r="O287" i="2"/>
  <c r="N287" i="2"/>
  <c r="M287" i="2"/>
  <c r="L287" i="2"/>
  <c r="K287" i="2"/>
  <c r="J287" i="2"/>
  <c r="O286" i="2"/>
  <c r="N286" i="2"/>
  <c r="M286" i="2"/>
  <c r="L286" i="2"/>
  <c r="K286" i="2"/>
  <c r="J286" i="2"/>
  <c r="O285" i="2"/>
  <c r="N285" i="2"/>
  <c r="M285" i="2"/>
  <c r="L285" i="2"/>
  <c r="K285" i="2"/>
  <c r="J285" i="2"/>
  <c r="O284" i="2"/>
  <c r="N284" i="2"/>
  <c r="M284" i="2"/>
  <c r="L284" i="2"/>
  <c r="K284" i="2"/>
  <c r="J284" i="2"/>
  <c r="O283" i="2"/>
  <c r="N283" i="2"/>
  <c r="M283" i="2"/>
  <c r="L283" i="2"/>
  <c r="K283" i="2"/>
  <c r="J283" i="2"/>
  <c r="O282" i="2"/>
  <c r="N282" i="2"/>
  <c r="M282" i="2"/>
  <c r="L282" i="2"/>
  <c r="K282" i="2"/>
  <c r="J282" i="2"/>
  <c r="O281" i="2"/>
  <c r="N281" i="2"/>
  <c r="M281" i="2"/>
  <c r="L281" i="2"/>
  <c r="K281" i="2"/>
  <c r="J281" i="2"/>
  <c r="O280" i="2"/>
  <c r="N280" i="2"/>
  <c r="M280" i="2"/>
  <c r="L280" i="2"/>
  <c r="K280" i="2"/>
  <c r="J280" i="2"/>
  <c r="O279" i="2"/>
  <c r="N279" i="2"/>
  <c r="M279" i="2"/>
  <c r="L279" i="2"/>
  <c r="K279" i="2"/>
  <c r="J279" i="2"/>
  <c r="O278" i="2"/>
  <c r="N278" i="2"/>
  <c r="M278" i="2"/>
  <c r="L278" i="2"/>
  <c r="K278" i="2"/>
  <c r="J278" i="2"/>
  <c r="O277" i="2"/>
  <c r="N277" i="2"/>
  <c r="M277" i="2"/>
  <c r="L277" i="2"/>
  <c r="K277" i="2"/>
  <c r="J277" i="2"/>
  <c r="O276" i="2"/>
  <c r="N276" i="2"/>
  <c r="M276" i="2"/>
  <c r="L276" i="2"/>
  <c r="K276" i="2"/>
  <c r="J276" i="2"/>
  <c r="O275" i="2"/>
  <c r="N275" i="2"/>
  <c r="M275" i="2"/>
  <c r="L275" i="2"/>
  <c r="K275" i="2"/>
  <c r="J275" i="2"/>
  <c r="O274" i="2"/>
  <c r="N274" i="2"/>
  <c r="M274" i="2"/>
  <c r="L274" i="2"/>
  <c r="K274" i="2"/>
  <c r="J274" i="2"/>
  <c r="O273" i="2"/>
  <c r="N273" i="2"/>
  <c r="M273" i="2"/>
  <c r="L273" i="2"/>
  <c r="K273" i="2"/>
  <c r="J273" i="2"/>
  <c r="O272" i="2"/>
  <c r="N272" i="2"/>
  <c r="M272" i="2"/>
  <c r="L272" i="2"/>
  <c r="K272" i="2"/>
  <c r="J272" i="2"/>
  <c r="O271" i="2"/>
  <c r="N271" i="2"/>
  <c r="M271" i="2"/>
  <c r="L271" i="2"/>
  <c r="K271" i="2"/>
  <c r="J271" i="2"/>
  <c r="O270" i="2"/>
  <c r="N270" i="2"/>
  <c r="M270" i="2"/>
  <c r="L270" i="2"/>
  <c r="K270" i="2"/>
  <c r="J270" i="2"/>
  <c r="O269" i="2"/>
  <c r="N269" i="2"/>
  <c r="M269" i="2"/>
  <c r="L269" i="2"/>
  <c r="K269" i="2"/>
  <c r="J269" i="2"/>
  <c r="O268" i="2"/>
  <c r="N268" i="2"/>
  <c r="M268" i="2"/>
  <c r="L268" i="2"/>
  <c r="K268" i="2"/>
  <c r="J268" i="2"/>
  <c r="O267" i="2"/>
  <c r="N267" i="2"/>
  <c r="M267" i="2"/>
  <c r="L267" i="2"/>
  <c r="K267" i="2"/>
  <c r="J267" i="2"/>
  <c r="O266" i="2"/>
  <c r="N266" i="2"/>
  <c r="M266" i="2"/>
  <c r="L266" i="2"/>
  <c r="K266" i="2"/>
  <c r="J266" i="2"/>
  <c r="O265" i="2"/>
  <c r="N265" i="2"/>
  <c r="M265" i="2"/>
  <c r="L265" i="2"/>
  <c r="K265" i="2"/>
  <c r="J265" i="2"/>
  <c r="O264" i="2"/>
  <c r="N264" i="2"/>
  <c r="M264" i="2"/>
  <c r="L264" i="2"/>
  <c r="K264" i="2"/>
  <c r="J264" i="2"/>
  <c r="O263" i="2"/>
  <c r="N263" i="2"/>
  <c r="M263" i="2"/>
  <c r="L263" i="2"/>
  <c r="K263" i="2"/>
  <c r="J263" i="2"/>
  <c r="O262" i="2"/>
  <c r="N262" i="2"/>
  <c r="M262" i="2"/>
  <c r="L262" i="2"/>
  <c r="K262" i="2"/>
  <c r="J262" i="2"/>
  <c r="O261" i="2"/>
  <c r="N261" i="2"/>
  <c r="M261" i="2"/>
  <c r="L261" i="2"/>
  <c r="K261" i="2"/>
  <c r="J261" i="2"/>
  <c r="O260" i="2"/>
  <c r="N260" i="2"/>
  <c r="M260" i="2"/>
  <c r="L260" i="2"/>
  <c r="K260" i="2"/>
  <c r="J260" i="2"/>
  <c r="O259" i="2"/>
  <c r="N259" i="2"/>
  <c r="M259" i="2"/>
  <c r="L259" i="2"/>
  <c r="K259" i="2"/>
  <c r="J259" i="2"/>
  <c r="O258" i="2"/>
  <c r="N258" i="2"/>
  <c r="M258" i="2"/>
  <c r="L258" i="2"/>
  <c r="K258" i="2"/>
  <c r="J258" i="2"/>
  <c r="O257" i="2"/>
  <c r="N257" i="2"/>
  <c r="M257" i="2"/>
  <c r="L257" i="2"/>
  <c r="K257" i="2"/>
  <c r="J257" i="2"/>
  <c r="O256" i="2"/>
  <c r="N256" i="2"/>
  <c r="M256" i="2"/>
  <c r="L256" i="2"/>
  <c r="K256" i="2"/>
  <c r="J256" i="2"/>
  <c r="O255" i="2"/>
  <c r="N255" i="2"/>
  <c r="M255" i="2"/>
  <c r="L255" i="2"/>
  <c r="K255" i="2"/>
  <c r="J255" i="2"/>
  <c r="O254" i="2"/>
  <c r="N254" i="2"/>
  <c r="M254" i="2"/>
  <c r="L254" i="2"/>
  <c r="K254" i="2"/>
  <c r="J254" i="2"/>
  <c r="O253" i="2"/>
  <c r="N253" i="2"/>
  <c r="M253" i="2"/>
  <c r="L253" i="2"/>
  <c r="K253" i="2"/>
  <c r="J253" i="2"/>
  <c r="O252" i="2"/>
  <c r="N252" i="2"/>
  <c r="M252" i="2"/>
  <c r="L252" i="2"/>
  <c r="K252" i="2"/>
  <c r="J252" i="2"/>
  <c r="O251" i="2"/>
  <c r="N251" i="2"/>
  <c r="M251" i="2"/>
  <c r="L251" i="2"/>
  <c r="K251" i="2"/>
  <c r="J251" i="2"/>
  <c r="O250" i="2"/>
  <c r="N250" i="2"/>
  <c r="M250" i="2"/>
  <c r="L250" i="2"/>
  <c r="K250" i="2"/>
  <c r="J250" i="2"/>
  <c r="O249" i="2"/>
  <c r="N249" i="2"/>
  <c r="M249" i="2"/>
  <c r="L249" i="2"/>
  <c r="K249" i="2"/>
  <c r="J249" i="2"/>
  <c r="O248" i="2"/>
  <c r="N248" i="2"/>
  <c r="M248" i="2"/>
  <c r="L248" i="2"/>
  <c r="K248" i="2"/>
  <c r="J248" i="2"/>
  <c r="O247" i="2"/>
  <c r="N247" i="2"/>
  <c r="M247" i="2"/>
  <c r="L247" i="2"/>
  <c r="K247" i="2"/>
  <c r="J247" i="2"/>
  <c r="O246" i="2"/>
  <c r="N246" i="2"/>
  <c r="M246" i="2"/>
  <c r="L246" i="2"/>
  <c r="K246" i="2"/>
  <c r="J246" i="2"/>
  <c r="O245" i="2"/>
  <c r="N245" i="2"/>
  <c r="M245" i="2"/>
  <c r="L245" i="2"/>
  <c r="K245" i="2"/>
  <c r="J245" i="2"/>
  <c r="O244" i="2"/>
  <c r="N244" i="2"/>
  <c r="M244" i="2"/>
  <c r="L244" i="2"/>
  <c r="K244" i="2"/>
  <c r="J244" i="2"/>
  <c r="O243" i="2"/>
  <c r="N243" i="2"/>
  <c r="M243" i="2"/>
  <c r="L243" i="2"/>
  <c r="K243" i="2"/>
  <c r="J243" i="2"/>
  <c r="O242" i="2"/>
  <c r="N242" i="2"/>
  <c r="M242" i="2"/>
  <c r="L242" i="2"/>
  <c r="K242" i="2"/>
  <c r="J242" i="2"/>
  <c r="O241" i="2"/>
  <c r="N241" i="2"/>
  <c r="M241" i="2"/>
  <c r="L241" i="2"/>
  <c r="K241" i="2"/>
  <c r="J241" i="2"/>
  <c r="O240" i="2"/>
  <c r="N240" i="2"/>
  <c r="M240" i="2"/>
  <c r="L240" i="2"/>
  <c r="K240" i="2"/>
  <c r="J240" i="2"/>
  <c r="O239" i="2"/>
  <c r="N239" i="2"/>
  <c r="M239" i="2"/>
  <c r="L239" i="2"/>
  <c r="K239" i="2"/>
  <c r="J239" i="2"/>
  <c r="O238" i="2"/>
  <c r="N238" i="2"/>
  <c r="M238" i="2"/>
  <c r="L238" i="2"/>
  <c r="K238" i="2"/>
  <c r="J238" i="2"/>
  <c r="O237" i="2"/>
  <c r="N237" i="2"/>
  <c r="M237" i="2"/>
  <c r="L237" i="2"/>
  <c r="K237" i="2"/>
  <c r="J237" i="2"/>
  <c r="O236" i="2"/>
  <c r="N236" i="2"/>
  <c r="M236" i="2"/>
  <c r="L236" i="2"/>
  <c r="K236" i="2"/>
  <c r="J236" i="2"/>
  <c r="O235" i="2"/>
  <c r="N235" i="2"/>
  <c r="M235" i="2"/>
  <c r="L235" i="2"/>
  <c r="K235" i="2"/>
  <c r="J235" i="2"/>
  <c r="O234" i="2"/>
  <c r="N234" i="2"/>
  <c r="M234" i="2"/>
  <c r="L234" i="2"/>
  <c r="K234" i="2"/>
  <c r="J234" i="2"/>
  <c r="O233" i="2"/>
  <c r="N233" i="2"/>
  <c r="M233" i="2"/>
  <c r="L233" i="2"/>
  <c r="K233" i="2"/>
  <c r="J233" i="2"/>
  <c r="O232" i="2"/>
  <c r="N232" i="2"/>
  <c r="M232" i="2"/>
  <c r="L232" i="2"/>
  <c r="K232" i="2"/>
  <c r="J232" i="2"/>
  <c r="O231" i="2"/>
  <c r="N231" i="2"/>
  <c r="M231" i="2"/>
  <c r="L231" i="2"/>
  <c r="K231" i="2"/>
  <c r="J231" i="2"/>
  <c r="O230" i="2"/>
  <c r="N230" i="2"/>
  <c r="M230" i="2"/>
  <c r="L230" i="2"/>
  <c r="K230" i="2"/>
  <c r="J230" i="2"/>
  <c r="O229" i="2"/>
  <c r="N229" i="2"/>
  <c r="M229" i="2"/>
  <c r="L229" i="2"/>
  <c r="K229" i="2"/>
  <c r="J229" i="2"/>
  <c r="O228" i="2"/>
  <c r="N228" i="2"/>
  <c r="M228" i="2"/>
  <c r="L228" i="2"/>
  <c r="K228" i="2"/>
  <c r="J228" i="2"/>
  <c r="O227" i="2"/>
  <c r="N227" i="2"/>
  <c r="M227" i="2"/>
  <c r="L227" i="2"/>
  <c r="K227" i="2"/>
  <c r="J227" i="2"/>
  <c r="O226" i="2"/>
  <c r="N226" i="2"/>
  <c r="M226" i="2"/>
  <c r="L226" i="2"/>
  <c r="K226" i="2"/>
  <c r="J226" i="2"/>
  <c r="O225" i="2"/>
  <c r="N225" i="2"/>
  <c r="M225" i="2"/>
  <c r="L225" i="2"/>
  <c r="K225" i="2"/>
  <c r="J225" i="2"/>
  <c r="O224" i="2"/>
  <c r="N224" i="2"/>
  <c r="M224" i="2"/>
  <c r="L224" i="2"/>
  <c r="K224" i="2"/>
  <c r="J224" i="2"/>
  <c r="O223" i="2"/>
  <c r="N223" i="2"/>
  <c r="M223" i="2"/>
  <c r="L223" i="2"/>
  <c r="K223" i="2"/>
  <c r="J223" i="2"/>
  <c r="O222" i="2"/>
  <c r="N222" i="2"/>
  <c r="M222" i="2"/>
  <c r="L222" i="2"/>
  <c r="K222" i="2"/>
  <c r="J222" i="2"/>
  <c r="O221" i="2"/>
  <c r="N221" i="2"/>
  <c r="M221" i="2"/>
  <c r="L221" i="2"/>
  <c r="K221" i="2"/>
  <c r="J221" i="2"/>
  <c r="O220" i="2"/>
  <c r="N220" i="2"/>
  <c r="M220" i="2"/>
  <c r="L220" i="2"/>
  <c r="K220" i="2"/>
  <c r="J220" i="2"/>
  <c r="O219" i="2"/>
  <c r="N219" i="2"/>
  <c r="M219" i="2"/>
  <c r="L219" i="2"/>
  <c r="K219" i="2"/>
  <c r="J219" i="2"/>
  <c r="O218" i="2"/>
  <c r="N218" i="2"/>
  <c r="M218" i="2"/>
  <c r="L218" i="2"/>
  <c r="K218" i="2"/>
  <c r="J218" i="2"/>
  <c r="O217" i="2"/>
  <c r="N217" i="2"/>
  <c r="M217" i="2"/>
  <c r="L217" i="2"/>
  <c r="K217" i="2"/>
  <c r="J217" i="2"/>
  <c r="O216" i="2"/>
  <c r="N216" i="2"/>
  <c r="M216" i="2"/>
  <c r="L216" i="2"/>
  <c r="K216" i="2"/>
  <c r="J216" i="2"/>
  <c r="O215" i="2"/>
  <c r="N215" i="2"/>
  <c r="M215" i="2"/>
  <c r="L215" i="2"/>
  <c r="K215" i="2"/>
  <c r="J215" i="2"/>
  <c r="O214" i="2"/>
  <c r="N214" i="2"/>
  <c r="M214" i="2"/>
  <c r="L214" i="2"/>
  <c r="K214" i="2"/>
  <c r="J214" i="2"/>
  <c r="O213" i="2"/>
  <c r="N213" i="2"/>
  <c r="M213" i="2"/>
  <c r="L213" i="2"/>
  <c r="K213" i="2"/>
  <c r="J213" i="2"/>
  <c r="O212" i="2"/>
  <c r="N212" i="2"/>
  <c r="M212" i="2"/>
  <c r="L212" i="2"/>
  <c r="K212" i="2"/>
  <c r="J212" i="2"/>
  <c r="O211" i="2"/>
  <c r="N211" i="2"/>
  <c r="M211" i="2"/>
  <c r="L211" i="2"/>
  <c r="K211" i="2"/>
  <c r="J211" i="2"/>
  <c r="O210" i="2"/>
  <c r="N210" i="2"/>
  <c r="M210" i="2"/>
  <c r="L210" i="2"/>
  <c r="K210" i="2"/>
  <c r="J210" i="2"/>
  <c r="O209" i="2"/>
  <c r="N209" i="2"/>
  <c r="M209" i="2"/>
  <c r="L209" i="2"/>
  <c r="K209" i="2"/>
  <c r="J209" i="2"/>
  <c r="O208" i="2"/>
  <c r="N208" i="2"/>
  <c r="M208" i="2"/>
  <c r="L208" i="2"/>
  <c r="K208" i="2"/>
  <c r="J208" i="2"/>
  <c r="O207" i="2"/>
  <c r="N207" i="2"/>
  <c r="M207" i="2"/>
  <c r="L207" i="2"/>
  <c r="K207" i="2"/>
  <c r="J207" i="2"/>
  <c r="O206" i="2"/>
  <c r="N206" i="2"/>
  <c r="M206" i="2"/>
  <c r="L206" i="2"/>
  <c r="K206" i="2"/>
  <c r="J206" i="2"/>
  <c r="O205" i="2"/>
  <c r="N205" i="2"/>
  <c r="M205" i="2"/>
  <c r="L205" i="2"/>
  <c r="K205" i="2"/>
  <c r="J205" i="2"/>
  <c r="O204" i="2"/>
  <c r="N204" i="2"/>
  <c r="M204" i="2"/>
  <c r="L204" i="2"/>
  <c r="K204" i="2"/>
  <c r="J204" i="2"/>
  <c r="O203" i="2"/>
  <c r="N203" i="2"/>
  <c r="M203" i="2"/>
  <c r="L203" i="2"/>
  <c r="K203" i="2"/>
  <c r="J203" i="2"/>
  <c r="O202" i="2"/>
  <c r="N202" i="2"/>
  <c r="M202" i="2"/>
  <c r="L202" i="2"/>
  <c r="K202" i="2"/>
  <c r="J202" i="2"/>
  <c r="O201" i="2"/>
  <c r="N201" i="2"/>
  <c r="M201" i="2"/>
  <c r="L201" i="2"/>
  <c r="K201" i="2"/>
  <c r="J201" i="2"/>
  <c r="O200" i="2"/>
  <c r="N200" i="2"/>
  <c r="M200" i="2"/>
  <c r="L200" i="2"/>
  <c r="K200" i="2"/>
  <c r="J200" i="2"/>
  <c r="O199" i="2"/>
  <c r="N199" i="2"/>
  <c r="M199" i="2"/>
  <c r="L199" i="2"/>
  <c r="K199" i="2"/>
  <c r="J199" i="2"/>
  <c r="O198" i="2"/>
  <c r="N198" i="2"/>
  <c r="M198" i="2"/>
  <c r="L198" i="2"/>
  <c r="K198" i="2"/>
  <c r="J198" i="2"/>
  <c r="O197" i="2"/>
  <c r="N197" i="2"/>
  <c r="M197" i="2"/>
  <c r="L197" i="2"/>
  <c r="K197" i="2"/>
  <c r="J197" i="2"/>
  <c r="O196" i="2"/>
  <c r="N196" i="2"/>
  <c r="M196" i="2"/>
  <c r="L196" i="2"/>
  <c r="K196" i="2"/>
  <c r="J196" i="2"/>
  <c r="O195" i="2"/>
  <c r="N195" i="2"/>
  <c r="M195" i="2"/>
  <c r="L195" i="2"/>
  <c r="K195" i="2"/>
  <c r="J195" i="2"/>
  <c r="O194" i="2"/>
  <c r="N194" i="2"/>
  <c r="M194" i="2"/>
  <c r="L194" i="2"/>
  <c r="K194" i="2"/>
  <c r="J194" i="2"/>
  <c r="O193" i="2"/>
  <c r="N193" i="2"/>
  <c r="M193" i="2"/>
  <c r="L193" i="2"/>
  <c r="K193" i="2"/>
  <c r="J193" i="2"/>
  <c r="O192" i="2"/>
  <c r="N192" i="2"/>
  <c r="M192" i="2"/>
  <c r="L192" i="2"/>
  <c r="K192" i="2"/>
  <c r="J192" i="2"/>
  <c r="O191" i="2"/>
  <c r="N191" i="2"/>
  <c r="M191" i="2"/>
  <c r="L191" i="2"/>
  <c r="K191" i="2"/>
  <c r="J191" i="2"/>
  <c r="O190" i="2"/>
  <c r="N190" i="2"/>
  <c r="M190" i="2"/>
  <c r="L190" i="2"/>
  <c r="K190" i="2"/>
  <c r="J190" i="2"/>
  <c r="O189" i="2"/>
  <c r="N189" i="2"/>
  <c r="M189" i="2"/>
  <c r="L189" i="2"/>
  <c r="K189" i="2"/>
  <c r="J189" i="2"/>
  <c r="O188" i="2"/>
  <c r="N188" i="2"/>
  <c r="M188" i="2"/>
  <c r="L188" i="2"/>
  <c r="K188" i="2"/>
  <c r="J188" i="2"/>
  <c r="O187" i="2"/>
  <c r="N187" i="2"/>
  <c r="M187" i="2"/>
  <c r="L187" i="2"/>
  <c r="K187" i="2"/>
  <c r="J187" i="2"/>
  <c r="O186" i="2"/>
  <c r="N186" i="2"/>
  <c r="M186" i="2"/>
  <c r="L186" i="2"/>
  <c r="K186" i="2"/>
  <c r="J186" i="2"/>
  <c r="O185" i="2"/>
  <c r="N185" i="2"/>
  <c r="M185" i="2"/>
  <c r="L185" i="2"/>
  <c r="K185" i="2"/>
  <c r="J185" i="2"/>
  <c r="O184" i="2"/>
  <c r="N184" i="2"/>
  <c r="M184" i="2"/>
  <c r="L184" i="2"/>
  <c r="K184" i="2"/>
  <c r="J184" i="2"/>
  <c r="O183" i="2"/>
  <c r="N183" i="2"/>
  <c r="M183" i="2"/>
  <c r="L183" i="2"/>
  <c r="K183" i="2"/>
  <c r="J183" i="2"/>
  <c r="O182" i="2"/>
  <c r="N182" i="2"/>
  <c r="M182" i="2"/>
  <c r="L182" i="2"/>
  <c r="K182" i="2"/>
  <c r="J182" i="2"/>
  <c r="O181" i="2"/>
  <c r="N181" i="2"/>
  <c r="M181" i="2"/>
  <c r="L181" i="2"/>
  <c r="K181" i="2"/>
  <c r="J181" i="2"/>
  <c r="O180" i="2"/>
  <c r="N180" i="2"/>
  <c r="M180" i="2"/>
  <c r="L180" i="2"/>
  <c r="K180" i="2"/>
  <c r="J180" i="2"/>
  <c r="O179" i="2"/>
  <c r="N179" i="2"/>
  <c r="M179" i="2"/>
  <c r="L179" i="2"/>
  <c r="K179" i="2"/>
  <c r="J179" i="2"/>
  <c r="O178" i="2"/>
  <c r="N178" i="2"/>
  <c r="M178" i="2"/>
  <c r="L178" i="2"/>
  <c r="K178" i="2"/>
  <c r="J178" i="2"/>
  <c r="O177" i="2"/>
  <c r="N177" i="2"/>
  <c r="M177" i="2"/>
  <c r="L177" i="2"/>
  <c r="K177" i="2"/>
  <c r="J177" i="2"/>
  <c r="O176" i="2"/>
  <c r="N176" i="2"/>
  <c r="M176" i="2"/>
  <c r="L176" i="2"/>
  <c r="K176" i="2"/>
  <c r="J176" i="2"/>
  <c r="O175" i="2"/>
  <c r="N175" i="2"/>
  <c r="M175" i="2"/>
  <c r="L175" i="2"/>
  <c r="K175" i="2"/>
  <c r="J175" i="2"/>
  <c r="O174" i="2"/>
  <c r="N174" i="2"/>
  <c r="M174" i="2"/>
  <c r="L174" i="2"/>
  <c r="K174" i="2"/>
  <c r="J174" i="2"/>
  <c r="O173" i="2"/>
  <c r="N173" i="2"/>
  <c r="M173" i="2"/>
  <c r="L173" i="2"/>
  <c r="K173" i="2"/>
  <c r="J173" i="2"/>
  <c r="O172" i="2"/>
  <c r="N172" i="2"/>
  <c r="M172" i="2"/>
  <c r="L172" i="2"/>
  <c r="K172" i="2"/>
  <c r="J172" i="2"/>
  <c r="O171" i="2"/>
  <c r="N171" i="2"/>
  <c r="M171" i="2"/>
  <c r="L171" i="2"/>
  <c r="K171" i="2"/>
  <c r="J171" i="2"/>
  <c r="O170" i="2"/>
  <c r="N170" i="2"/>
  <c r="M170" i="2"/>
  <c r="L170" i="2"/>
  <c r="K170" i="2"/>
  <c r="J170" i="2"/>
  <c r="O169" i="2"/>
  <c r="N169" i="2"/>
  <c r="M169" i="2"/>
  <c r="L169" i="2"/>
  <c r="K169" i="2"/>
  <c r="J169" i="2"/>
  <c r="O168" i="2"/>
  <c r="N168" i="2"/>
  <c r="M168" i="2"/>
  <c r="L168" i="2"/>
  <c r="K168" i="2"/>
  <c r="J168" i="2"/>
  <c r="O167" i="2"/>
  <c r="N167" i="2"/>
  <c r="M167" i="2"/>
  <c r="L167" i="2"/>
  <c r="K167" i="2"/>
  <c r="J167" i="2"/>
  <c r="O166" i="2"/>
  <c r="N166" i="2"/>
  <c r="M166" i="2"/>
  <c r="L166" i="2"/>
  <c r="K166" i="2"/>
  <c r="J166" i="2"/>
  <c r="O165" i="2"/>
  <c r="N165" i="2"/>
  <c r="M165" i="2"/>
  <c r="L165" i="2"/>
  <c r="K165" i="2"/>
  <c r="J165" i="2"/>
  <c r="O164" i="2"/>
  <c r="N164" i="2"/>
  <c r="M164" i="2"/>
  <c r="L164" i="2"/>
  <c r="K164" i="2"/>
  <c r="J164" i="2"/>
  <c r="O163" i="2"/>
  <c r="N163" i="2"/>
  <c r="M163" i="2"/>
  <c r="L163" i="2"/>
  <c r="K163" i="2"/>
  <c r="J163" i="2"/>
  <c r="O162" i="2"/>
  <c r="N162" i="2"/>
  <c r="M162" i="2"/>
  <c r="L162" i="2"/>
  <c r="K162" i="2"/>
  <c r="J162" i="2"/>
  <c r="O161" i="2"/>
  <c r="N161" i="2"/>
  <c r="M161" i="2"/>
  <c r="L161" i="2"/>
  <c r="K161" i="2"/>
  <c r="J161" i="2"/>
  <c r="O160" i="2"/>
  <c r="N160" i="2"/>
  <c r="M160" i="2"/>
  <c r="L160" i="2"/>
  <c r="K160" i="2"/>
  <c r="J160" i="2"/>
  <c r="O159" i="2"/>
  <c r="N159" i="2"/>
  <c r="M159" i="2"/>
  <c r="L159" i="2"/>
  <c r="K159" i="2"/>
  <c r="J159" i="2"/>
  <c r="O158" i="2"/>
  <c r="N158" i="2"/>
  <c r="M158" i="2"/>
  <c r="L158" i="2"/>
  <c r="K158" i="2"/>
  <c r="J158" i="2"/>
  <c r="O157" i="2"/>
  <c r="N157" i="2"/>
  <c r="M157" i="2"/>
  <c r="L157" i="2"/>
  <c r="K157" i="2"/>
  <c r="J157" i="2"/>
  <c r="O156" i="2"/>
  <c r="N156" i="2"/>
  <c r="M156" i="2"/>
  <c r="L156" i="2"/>
  <c r="K156" i="2"/>
  <c r="J156" i="2"/>
  <c r="O155" i="2"/>
  <c r="N155" i="2"/>
  <c r="M155" i="2"/>
  <c r="L155" i="2"/>
  <c r="K155" i="2"/>
  <c r="J155" i="2"/>
  <c r="O154" i="2"/>
  <c r="N154" i="2"/>
  <c r="M154" i="2"/>
  <c r="L154" i="2"/>
  <c r="K154" i="2"/>
  <c r="J154" i="2"/>
  <c r="O153" i="2"/>
  <c r="N153" i="2"/>
  <c r="M153" i="2"/>
  <c r="L153" i="2"/>
  <c r="K153" i="2"/>
  <c r="J153" i="2"/>
  <c r="O152" i="2"/>
  <c r="N152" i="2"/>
  <c r="M152" i="2"/>
  <c r="L152" i="2"/>
  <c r="K152" i="2"/>
  <c r="J152" i="2"/>
  <c r="O151" i="2"/>
  <c r="N151" i="2"/>
  <c r="M151" i="2"/>
  <c r="L151" i="2"/>
  <c r="K151" i="2"/>
  <c r="J151" i="2"/>
  <c r="O150" i="2"/>
  <c r="N150" i="2"/>
  <c r="M150" i="2"/>
  <c r="L150" i="2"/>
  <c r="K150" i="2"/>
  <c r="J150" i="2"/>
  <c r="O149" i="2"/>
  <c r="N149" i="2"/>
  <c r="M149" i="2"/>
  <c r="L149" i="2"/>
  <c r="K149" i="2"/>
  <c r="J149" i="2"/>
  <c r="O148" i="2"/>
  <c r="N148" i="2"/>
  <c r="M148" i="2"/>
  <c r="L148" i="2"/>
  <c r="K148" i="2"/>
  <c r="J148" i="2"/>
  <c r="O147" i="2"/>
  <c r="N147" i="2"/>
  <c r="M147" i="2"/>
  <c r="L147" i="2"/>
  <c r="K147" i="2"/>
  <c r="J147" i="2"/>
  <c r="O146" i="2"/>
  <c r="N146" i="2"/>
  <c r="M146" i="2"/>
  <c r="L146" i="2"/>
  <c r="K146" i="2"/>
  <c r="J146" i="2"/>
  <c r="O145" i="2"/>
  <c r="N145" i="2"/>
  <c r="M145" i="2"/>
  <c r="L145" i="2"/>
  <c r="K145" i="2"/>
  <c r="J145" i="2"/>
  <c r="O144" i="2"/>
  <c r="N144" i="2"/>
  <c r="M144" i="2"/>
  <c r="L144" i="2"/>
  <c r="K144" i="2"/>
  <c r="J144" i="2"/>
  <c r="O143" i="2"/>
  <c r="N143" i="2"/>
  <c r="M143" i="2"/>
  <c r="L143" i="2"/>
  <c r="K143" i="2"/>
  <c r="J143" i="2"/>
  <c r="O142" i="2"/>
  <c r="N142" i="2"/>
  <c r="M142" i="2"/>
  <c r="L142" i="2"/>
  <c r="K142" i="2"/>
  <c r="J142" i="2"/>
  <c r="O141" i="2"/>
  <c r="N141" i="2"/>
  <c r="M141" i="2"/>
  <c r="L141" i="2"/>
  <c r="K141" i="2"/>
  <c r="J141" i="2"/>
  <c r="O140" i="2"/>
  <c r="N140" i="2"/>
  <c r="M140" i="2"/>
  <c r="L140" i="2"/>
  <c r="K140" i="2"/>
  <c r="J140" i="2"/>
  <c r="O139" i="2"/>
  <c r="N139" i="2"/>
  <c r="M139" i="2"/>
  <c r="L139" i="2"/>
  <c r="K139" i="2"/>
  <c r="J139" i="2"/>
  <c r="O138" i="2"/>
  <c r="N138" i="2"/>
  <c r="M138" i="2"/>
  <c r="L138" i="2"/>
  <c r="K138" i="2"/>
  <c r="J138" i="2"/>
  <c r="O137" i="2"/>
  <c r="N137" i="2"/>
  <c r="M137" i="2"/>
  <c r="L137" i="2"/>
  <c r="K137" i="2"/>
  <c r="J137" i="2"/>
  <c r="O136" i="2"/>
  <c r="N136" i="2"/>
  <c r="M136" i="2"/>
  <c r="L136" i="2"/>
  <c r="K136" i="2"/>
  <c r="J136" i="2"/>
  <c r="O135" i="2"/>
  <c r="N135" i="2"/>
  <c r="M135" i="2"/>
  <c r="L135" i="2"/>
  <c r="K135" i="2"/>
  <c r="J135" i="2"/>
  <c r="O134" i="2"/>
  <c r="N134" i="2"/>
  <c r="M134" i="2"/>
  <c r="L134" i="2"/>
  <c r="K134" i="2"/>
  <c r="J134" i="2"/>
  <c r="O133" i="2"/>
  <c r="N133" i="2"/>
  <c r="M133" i="2"/>
  <c r="L133" i="2"/>
  <c r="K133" i="2"/>
  <c r="J133" i="2"/>
  <c r="O132" i="2"/>
  <c r="N132" i="2"/>
  <c r="M132" i="2"/>
  <c r="L132" i="2"/>
  <c r="K132" i="2"/>
  <c r="J132" i="2"/>
  <c r="O131" i="2"/>
  <c r="N131" i="2"/>
  <c r="M131" i="2"/>
  <c r="L131" i="2"/>
  <c r="K131" i="2"/>
  <c r="J131" i="2"/>
  <c r="O130" i="2"/>
  <c r="N130" i="2"/>
  <c r="M130" i="2"/>
  <c r="L130" i="2"/>
  <c r="K130" i="2"/>
  <c r="J130" i="2"/>
  <c r="O129" i="2"/>
  <c r="N129" i="2"/>
  <c r="M129" i="2"/>
  <c r="L129" i="2"/>
  <c r="K129" i="2"/>
  <c r="J129" i="2"/>
  <c r="O128" i="2"/>
  <c r="N128" i="2"/>
  <c r="M128" i="2"/>
  <c r="L128" i="2"/>
  <c r="K128" i="2"/>
  <c r="J128" i="2"/>
  <c r="O127" i="2"/>
  <c r="N127" i="2"/>
  <c r="M127" i="2"/>
  <c r="L127" i="2"/>
  <c r="K127" i="2"/>
  <c r="J127" i="2"/>
  <c r="O126" i="2"/>
  <c r="N126" i="2"/>
  <c r="M126" i="2"/>
  <c r="L126" i="2"/>
  <c r="K126" i="2"/>
  <c r="J126" i="2"/>
  <c r="O125" i="2"/>
  <c r="N125" i="2"/>
  <c r="M125" i="2"/>
  <c r="L125" i="2"/>
  <c r="K125" i="2"/>
  <c r="J125" i="2"/>
  <c r="O124" i="2"/>
  <c r="N124" i="2"/>
  <c r="M124" i="2"/>
  <c r="L124" i="2"/>
  <c r="K124" i="2"/>
  <c r="J124" i="2"/>
  <c r="O123" i="2"/>
  <c r="N123" i="2"/>
  <c r="M123" i="2"/>
  <c r="L123" i="2"/>
  <c r="K123" i="2"/>
  <c r="J123" i="2"/>
  <c r="O122" i="2"/>
  <c r="N122" i="2"/>
  <c r="M122" i="2"/>
  <c r="L122" i="2"/>
  <c r="K122" i="2"/>
  <c r="J122" i="2"/>
  <c r="O121" i="2"/>
  <c r="N121" i="2"/>
  <c r="M121" i="2"/>
  <c r="L121" i="2"/>
  <c r="K121" i="2"/>
  <c r="J121" i="2"/>
  <c r="O120" i="2"/>
  <c r="N120" i="2"/>
  <c r="M120" i="2"/>
  <c r="L120" i="2"/>
  <c r="K120" i="2"/>
  <c r="J120" i="2"/>
  <c r="O119" i="2"/>
  <c r="N119" i="2"/>
  <c r="M119" i="2"/>
  <c r="L119" i="2"/>
  <c r="K119" i="2"/>
  <c r="J119" i="2"/>
  <c r="O118" i="2"/>
  <c r="N118" i="2"/>
  <c r="M118" i="2"/>
  <c r="L118" i="2"/>
  <c r="K118" i="2"/>
  <c r="J118" i="2"/>
  <c r="O117" i="2"/>
  <c r="N117" i="2"/>
  <c r="M117" i="2"/>
  <c r="L117" i="2"/>
  <c r="K117" i="2"/>
  <c r="J117" i="2"/>
  <c r="O116" i="2"/>
  <c r="N116" i="2"/>
  <c r="M116" i="2"/>
  <c r="L116" i="2"/>
  <c r="K116" i="2"/>
  <c r="J116" i="2"/>
  <c r="O115" i="2"/>
  <c r="N115" i="2"/>
  <c r="M115" i="2"/>
  <c r="L115" i="2"/>
  <c r="K115" i="2"/>
  <c r="J115" i="2"/>
  <c r="O114" i="2"/>
  <c r="N114" i="2"/>
  <c r="M114" i="2"/>
  <c r="L114" i="2"/>
  <c r="K114" i="2"/>
  <c r="J114" i="2"/>
  <c r="O113" i="2"/>
  <c r="N113" i="2"/>
  <c r="M113" i="2"/>
  <c r="L113" i="2"/>
  <c r="K113" i="2"/>
  <c r="J113" i="2"/>
  <c r="O112" i="2"/>
  <c r="N112" i="2"/>
  <c r="M112" i="2"/>
  <c r="L112" i="2"/>
  <c r="K112" i="2"/>
  <c r="J112" i="2"/>
  <c r="O111" i="2"/>
  <c r="N111" i="2"/>
  <c r="M111" i="2"/>
  <c r="L111" i="2"/>
  <c r="K111" i="2"/>
  <c r="J111" i="2"/>
  <c r="O110" i="2"/>
  <c r="N110" i="2"/>
  <c r="M110" i="2"/>
  <c r="L110" i="2"/>
  <c r="K110" i="2"/>
  <c r="J110" i="2"/>
  <c r="O109" i="2"/>
  <c r="N109" i="2"/>
  <c r="M109" i="2"/>
  <c r="L109" i="2"/>
  <c r="K109" i="2"/>
  <c r="J109" i="2"/>
  <c r="O108" i="2"/>
  <c r="N108" i="2"/>
  <c r="M108" i="2"/>
  <c r="L108" i="2"/>
  <c r="K108" i="2"/>
  <c r="J108" i="2"/>
  <c r="O107" i="2"/>
  <c r="N107" i="2"/>
  <c r="M107" i="2"/>
  <c r="L107" i="2"/>
  <c r="K107" i="2"/>
  <c r="J107" i="2"/>
  <c r="O106" i="2"/>
  <c r="N106" i="2"/>
  <c r="M106" i="2"/>
  <c r="L106" i="2"/>
  <c r="K106" i="2"/>
  <c r="J106" i="2"/>
  <c r="O105" i="2"/>
  <c r="N105" i="2"/>
  <c r="M105" i="2"/>
  <c r="L105" i="2"/>
  <c r="K105" i="2"/>
  <c r="J105" i="2"/>
  <c r="O104" i="2"/>
  <c r="N104" i="2"/>
  <c r="M104" i="2"/>
  <c r="L104" i="2"/>
  <c r="K104" i="2"/>
  <c r="J104" i="2"/>
  <c r="O103" i="2"/>
  <c r="N103" i="2"/>
  <c r="M103" i="2"/>
  <c r="L103" i="2"/>
  <c r="K103" i="2"/>
  <c r="J103" i="2"/>
  <c r="O102" i="2"/>
  <c r="N102" i="2"/>
  <c r="M102" i="2"/>
  <c r="L102" i="2"/>
  <c r="K102" i="2"/>
  <c r="J102" i="2"/>
  <c r="O101" i="2"/>
  <c r="N101" i="2"/>
  <c r="M101" i="2"/>
  <c r="L101" i="2"/>
  <c r="K101" i="2"/>
  <c r="J101" i="2"/>
  <c r="O100" i="2"/>
  <c r="N100" i="2"/>
  <c r="M100" i="2"/>
  <c r="L100" i="2"/>
  <c r="K100" i="2"/>
  <c r="J100" i="2"/>
  <c r="O99" i="2"/>
  <c r="N99" i="2"/>
  <c r="M99" i="2"/>
  <c r="L99" i="2"/>
  <c r="K99" i="2"/>
  <c r="J99" i="2"/>
  <c r="O98" i="2"/>
  <c r="N98" i="2"/>
  <c r="M98" i="2"/>
  <c r="L98" i="2"/>
  <c r="K98" i="2"/>
  <c r="J98" i="2"/>
  <c r="O97" i="2"/>
  <c r="N97" i="2"/>
  <c r="M97" i="2"/>
  <c r="L97" i="2"/>
  <c r="K97" i="2"/>
  <c r="J97" i="2"/>
  <c r="O96" i="2"/>
  <c r="N96" i="2"/>
  <c r="M96" i="2"/>
  <c r="L96" i="2"/>
  <c r="K96" i="2"/>
  <c r="J96" i="2"/>
  <c r="O95" i="2"/>
  <c r="N95" i="2"/>
  <c r="M95" i="2"/>
  <c r="L95" i="2"/>
  <c r="K95" i="2"/>
  <c r="J95" i="2"/>
  <c r="O94" i="2"/>
  <c r="N94" i="2"/>
  <c r="M94" i="2"/>
  <c r="L94" i="2"/>
  <c r="K94" i="2"/>
  <c r="J94" i="2"/>
  <c r="O93" i="2"/>
  <c r="N93" i="2"/>
  <c r="M93" i="2"/>
  <c r="L93" i="2"/>
  <c r="K93" i="2"/>
  <c r="J93" i="2"/>
  <c r="O92" i="2"/>
  <c r="N92" i="2"/>
  <c r="M92" i="2"/>
  <c r="L92" i="2"/>
  <c r="K92" i="2"/>
  <c r="J92" i="2"/>
  <c r="O91" i="2"/>
  <c r="N91" i="2"/>
  <c r="M91" i="2"/>
  <c r="L91" i="2"/>
  <c r="K91" i="2"/>
  <c r="J91" i="2"/>
  <c r="O90" i="2"/>
  <c r="N90" i="2"/>
  <c r="M90" i="2"/>
  <c r="L90" i="2"/>
  <c r="K90" i="2"/>
  <c r="J90" i="2"/>
  <c r="O89" i="2"/>
  <c r="N89" i="2"/>
  <c r="M89" i="2"/>
  <c r="L89" i="2"/>
  <c r="K89" i="2"/>
  <c r="J89" i="2"/>
  <c r="O88" i="2"/>
  <c r="N88" i="2"/>
  <c r="M88" i="2"/>
  <c r="L88" i="2"/>
  <c r="K88" i="2"/>
  <c r="J88" i="2"/>
  <c r="O87" i="2"/>
  <c r="N87" i="2"/>
  <c r="M87" i="2"/>
  <c r="L87" i="2"/>
  <c r="K87" i="2"/>
  <c r="J87" i="2"/>
  <c r="O86" i="2"/>
  <c r="N86" i="2"/>
  <c r="M86" i="2"/>
  <c r="L86" i="2"/>
  <c r="K86" i="2"/>
  <c r="J86" i="2"/>
  <c r="O85" i="2"/>
  <c r="N85" i="2"/>
  <c r="M85" i="2"/>
  <c r="L85" i="2"/>
  <c r="K85" i="2"/>
  <c r="J85" i="2"/>
  <c r="O84" i="2"/>
  <c r="N84" i="2"/>
  <c r="M84" i="2"/>
  <c r="L84" i="2"/>
  <c r="K84" i="2"/>
  <c r="J84" i="2"/>
  <c r="O83" i="2"/>
  <c r="N83" i="2"/>
  <c r="M83" i="2"/>
  <c r="L83" i="2"/>
  <c r="K83" i="2"/>
  <c r="J83" i="2"/>
  <c r="O82" i="2"/>
  <c r="N82" i="2"/>
  <c r="M82" i="2"/>
  <c r="L82" i="2"/>
  <c r="K82" i="2"/>
  <c r="J82" i="2"/>
  <c r="O81" i="2"/>
  <c r="N81" i="2"/>
  <c r="M81" i="2"/>
  <c r="L81" i="2"/>
  <c r="K81" i="2"/>
  <c r="J81" i="2"/>
  <c r="O80" i="2"/>
  <c r="N80" i="2"/>
  <c r="M80" i="2"/>
  <c r="L80" i="2"/>
  <c r="K80" i="2"/>
  <c r="J80" i="2"/>
  <c r="O79" i="2"/>
  <c r="N79" i="2"/>
  <c r="M79" i="2"/>
  <c r="L79" i="2"/>
  <c r="K79" i="2"/>
  <c r="J79" i="2"/>
  <c r="O78" i="2"/>
  <c r="N78" i="2"/>
  <c r="M78" i="2"/>
  <c r="L78" i="2"/>
  <c r="K78" i="2"/>
  <c r="J78" i="2"/>
  <c r="O77" i="2"/>
  <c r="N77" i="2"/>
  <c r="M77" i="2"/>
  <c r="L77" i="2"/>
  <c r="K77" i="2"/>
  <c r="J77" i="2"/>
  <c r="O76" i="2"/>
  <c r="N76" i="2"/>
  <c r="M76" i="2"/>
  <c r="L76" i="2"/>
  <c r="K76" i="2"/>
  <c r="J76" i="2"/>
  <c r="O75" i="2"/>
  <c r="N75" i="2"/>
  <c r="M75" i="2"/>
  <c r="L75" i="2"/>
  <c r="K75" i="2"/>
  <c r="J75" i="2"/>
  <c r="O74" i="2"/>
  <c r="N74" i="2"/>
  <c r="M74" i="2"/>
  <c r="L74" i="2"/>
  <c r="K74" i="2"/>
  <c r="J74" i="2"/>
  <c r="O73" i="2"/>
  <c r="N73" i="2"/>
  <c r="M73" i="2"/>
  <c r="L73" i="2"/>
  <c r="K73" i="2"/>
  <c r="J73" i="2"/>
  <c r="O72" i="2"/>
  <c r="N72" i="2"/>
  <c r="M72" i="2"/>
  <c r="L72" i="2"/>
  <c r="K72" i="2"/>
  <c r="J72" i="2"/>
  <c r="O71" i="2"/>
  <c r="N71" i="2"/>
  <c r="M71" i="2"/>
  <c r="L71" i="2"/>
  <c r="K71" i="2"/>
  <c r="J71" i="2"/>
  <c r="O70" i="2"/>
  <c r="N70" i="2"/>
  <c r="M70" i="2"/>
  <c r="L70" i="2"/>
  <c r="K70" i="2"/>
  <c r="J70" i="2"/>
  <c r="O69" i="2"/>
  <c r="N69" i="2"/>
  <c r="M69" i="2"/>
  <c r="L69" i="2"/>
  <c r="K69" i="2"/>
  <c r="J69" i="2"/>
  <c r="O68" i="2"/>
  <c r="N68" i="2"/>
  <c r="M68" i="2"/>
  <c r="L68" i="2"/>
  <c r="K68" i="2"/>
  <c r="J68" i="2"/>
  <c r="O67" i="2"/>
  <c r="N67" i="2"/>
  <c r="M67" i="2"/>
  <c r="L67" i="2"/>
  <c r="K67" i="2"/>
  <c r="J67" i="2"/>
  <c r="O66" i="2"/>
  <c r="N66" i="2"/>
  <c r="M66" i="2"/>
  <c r="L66" i="2"/>
  <c r="K66" i="2"/>
  <c r="J66" i="2"/>
  <c r="O65" i="2"/>
  <c r="N65" i="2"/>
  <c r="M65" i="2"/>
  <c r="L65" i="2"/>
  <c r="K65" i="2"/>
  <c r="J65" i="2"/>
  <c r="O64" i="2"/>
  <c r="N64" i="2"/>
  <c r="M64" i="2"/>
  <c r="L64" i="2"/>
  <c r="K64" i="2"/>
  <c r="J64" i="2"/>
  <c r="O63" i="2"/>
  <c r="N63" i="2"/>
  <c r="M63" i="2"/>
  <c r="L63" i="2"/>
  <c r="K63" i="2"/>
  <c r="J63" i="2"/>
  <c r="O62" i="2"/>
  <c r="N62" i="2"/>
  <c r="M62" i="2"/>
  <c r="L62" i="2"/>
  <c r="K62" i="2"/>
  <c r="J62" i="2"/>
  <c r="O61" i="2"/>
  <c r="N61" i="2"/>
  <c r="M61" i="2"/>
  <c r="L61" i="2"/>
  <c r="K61" i="2"/>
  <c r="J61" i="2"/>
  <c r="O60" i="2"/>
  <c r="N60" i="2"/>
  <c r="M60" i="2"/>
  <c r="L60" i="2"/>
  <c r="K60" i="2"/>
  <c r="J60" i="2"/>
  <c r="O59" i="2"/>
  <c r="N59" i="2"/>
  <c r="M59" i="2"/>
  <c r="L59" i="2"/>
  <c r="K59" i="2"/>
  <c r="J59" i="2"/>
  <c r="O58" i="2"/>
  <c r="N58" i="2"/>
  <c r="M58" i="2"/>
  <c r="L58" i="2"/>
  <c r="K58" i="2"/>
  <c r="J58" i="2"/>
  <c r="O57" i="2"/>
  <c r="N57" i="2"/>
  <c r="M57" i="2"/>
  <c r="L57" i="2"/>
  <c r="K57" i="2"/>
  <c r="J57" i="2"/>
  <c r="O56" i="2"/>
  <c r="N56" i="2"/>
  <c r="M56" i="2"/>
  <c r="L56" i="2"/>
  <c r="K56" i="2"/>
  <c r="J56" i="2"/>
  <c r="O55" i="2"/>
  <c r="N55" i="2"/>
  <c r="M55" i="2"/>
  <c r="L55" i="2"/>
  <c r="K55" i="2"/>
  <c r="J55" i="2"/>
  <c r="O54" i="2"/>
  <c r="N54" i="2"/>
  <c r="M54" i="2"/>
  <c r="L54" i="2"/>
  <c r="K54" i="2"/>
  <c r="J54" i="2"/>
  <c r="O53" i="2"/>
  <c r="N53" i="2"/>
  <c r="M53" i="2"/>
  <c r="L53" i="2"/>
  <c r="K53" i="2"/>
  <c r="J53" i="2"/>
  <c r="O52" i="2"/>
  <c r="N52" i="2"/>
  <c r="M52" i="2"/>
  <c r="L52" i="2"/>
  <c r="K52" i="2"/>
  <c r="J52" i="2"/>
  <c r="O51" i="2"/>
  <c r="N51" i="2"/>
  <c r="M51" i="2"/>
  <c r="L51" i="2"/>
  <c r="K51" i="2"/>
  <c r="J51" i="2"/>
  <c r="O50" i="2"/>
  <c r="N50" i="2"/>
  <c r="M50" i="2"/>
  <c r="L50" i="2"/>
  <c r="K50" i="2"/>
  <c r="J50" i="2"/>
  <c r="O49" i="2"/>
  <c r="N49" i="2"/>
  <c r="M49" i="2"/>
  <c r="L49" i="2"/>
  <c r="K49" i="2"/>
  <c r="J49" i="2"/>
  <c r="O48" i="2"/>
  <c r="N48" i="2"/>
  <c r="M48" i="2"/>
  <c r="L48" i="2"/>
  <c r="K48" i="2"/>
  <c r="J48" i="2"/>
  <c r="O47" i="2"/>
  <c r="N47" i="2"/>
  <c r="M47" i="2"/>
  <c r="L47" i="2"/>
  <c r="K47" i="2"/>
  <c r="J47" i="2"/>
  <c r="O46" i="2"/>
  <c r="N46" i="2"/>
  <c r="M46" i="2"/>
  <c r="L46" i="2"/>
  <c r="K46" i="2"/>
  <c r="J46" i="2"/>
  <c r="O45" i="2"/>
  <c r="N45" i="2"/>
  <c r="M45" i="2"/>
  <c r="L45" i="2"/>
  <c r="K45" i="2"/>
  <c r="J45" i="2"/>
  <c r="O44" i="2"/>
  <c r="N44" i="2"/>
  <c r="M44" i="2"/>
  <c r="L44" i="2"/>
  <c r="K44" i="2"/>
  <c r="J44" i="2"/>
  <c r="O43" i="2"/>
  <c r="N43" i="2"/>
  <c r="M43" i="2"/>
  <c r="L43" i="2"/>
  <c r="K43" i="2"/>
  <c r="J43" i="2"/>
  <c r="O42" i="2"/>
  <c r="N42" i="2"/>
  <c r="M42" i="2"/>
  <c r="L42" i="2"/>
  <c r="K42" i="2"/>
  <c r="J42" i="2"/>
  <c r="O41" i="2"/>
  <c r="N41" i="2"/>
  <c r="M41" i="2"/>
  <c r="L41" i="2"/>
  <c r="K41" i="2"/>
  <c r="J41" i="2"/>
  <c r="O40" i="2"/>
  <c r="N40" i="2"/>
  <c r="M40" i="2"/>
  <c r="L40" i="2"/>
  <c r="K40" i="2"/>
  <c r="J40" i="2"/>
  <c r="O39" i="2"/>
  <c r="N39" i="2"/>
  <c r="M39" i="2"/>
  <c r="L39" i="2"/>
  <c r="K39" i="2"/>
  <c r="J39" i="2"/>
  <c r="O38" i="2"/>
  <c r="N38" i="2"/>
  <c r="M38" i="2"/>
  <c r="L38" i="2"/>
  <c r="K38" i="2"/>
  <c r="J38" i="2"/>
  <c r="O37" i="2"/>
  <c r="N37" i="2"/>
  <c r="M37" i="2"/>
  <c r="L37" i="2"/>
  <c r="K37" i="2"/>
  <c r="J37" i="2"/>
  <c r="O36" i="2"/>
  <c r="N36" i="2"/>
  <c r="M36" i="2"/>
  <c r="L36" i="2"/>
  <c r="K36" i="2"/>
  <c r="J36" i="2"/>
  <c r="O35" i="2"/>
  <c r="N35" i="2"/>
  <c r="M35" i="2"/>
  <c r="L35" i="2"/>
  <c r="K35" i="2"/>
  <c r="J35" i="2"/>
  <c r="O34" i="2"/>
  <c r="N34" i="2"/>
  <c r="M34" i="2"/>
  <c r="L34" i="2"/>
  <c r="K34" i="2"/>
  <c r="J34" i="2"/>
  <c r="O33" i="2"/>
  <c r="N33" i="2"/>
  <c r="M33" i="2"/>
  <c r="L33" i="2"/>
  <c r="K33" i="2"/>
  <c r="J33" i="2"/>
  <c r="O32" i="2"/>
  <c r="N32" i="2"/>
  <c r="M32" i="2"/>
  <c r="L32" i="2"/>
  <c r="K32" i="2"/>
  <c r="J32" i="2"/>
  <c r="O31" i="2"/>
  <c r="N31" i="2"/>
  <c r="M31" i="2"/>
  <c r="L31" i="2"/>
  <c r="K31" i="2"/>
  <c r="J31" i="2"/>
  <c r="O30" i="2"/>
  <c r="N30" i="2"/>
  <c r="M30" i="2"/>
  <c r="L30" i="2"/>
  <c r="K30" i="2"/>
  <c r="J30" i="2"/>
  <c r="O29" i="2"/>
  <c r="N29" i="2"/>
  <c r="M29" i="2"/>
  <c r="L29" i="2"/>
  <c r="K29" i="2"/>
  <c r="J29" i="2"/>
  <c r="O28" i="2"/>
  <c r="N28" i="2"/>
  <c r="M28" i="2"/>
  <c r="L28" i="2"/>
  <c r="K28" i="2"/>
  <c r="J28" i="2"/>
  <c r="O27" i="2"/>
  <c r="N27" i="2"/>
  <c r="M27" i="2"/>
  <c r="L27" i="2"/>
  <c r="K27" i="2"/>
  <c r="J27" i="2"/>
  <c r="O26" i="2"/>
  <c r="N26" i="2"/>
  <c r="M26" i="2"/>
  <c r="L26" i="2"/>
  <c r="K26" i="2"/>
  <c r="J26" i="2"/>
  <c r="O25" i="2"/>
  <c r="N25" i="2"/>
  <c r="M25" i="2"/>
  <c r="L25" i="2"/>
  <c r="K25" i="2"/>
  <c r="J25" i="2"/>
  <c r="O24" i="2"/>
  <c r="N24" i="2"/>
  <c r="M24" i="2"/>
  <c r="L24" i="2"/>
  <c r="K24" i="2"/>
  <c r="J24" i="2"/>
  <c r="O23" i="2"/>
  <c r="N23" i="2"/>
  <c r="M23" i="2"/>
  <c r="L23" i="2"/>
  <c r="K23" i="2"/>
  <c r="J23" i="2"/>
  <c r="O22" i="2"/>
  <c r="N22" i="2"/>
  <c r="M22" i="2"/>
  <c r="L22" i="2"/>
  <c r="K22" i="2"/>
  <c r="J22" i="2"/>
  <c r="O21" i="2"/>
  <c r="N21" i="2"/>
  <c r="M21" i="2"/>
  <c r="L21" i="2"/>
  <c r="K21" i="2"/>
  <c r="J21" i="2"/>
  <c r="O20" i="2"/>
  <c r="N20" i="2"/>
  <c r="M20" i="2"/>
  <c r="L20" i="2"/>
  <c r="K20" i="2"/>
  <c r="J20" i="2"/>
  <c r="O19" i="2"/>
  <c r="N19" i="2"/>
  <c r="M19" i="2"/>
  <c r="L19" i="2"/>
  <c r="K19" i="2"/>
  <c r="J19" i="2"/>
  <c r="O18" i="2"/>
  <c r="N18" i="2"/>
  <c r="M18" i="2"/>
  <c r="L18" i="2"/>
  <c r="K18" i="2"/>
  <c r="J18" i="2"/>
  <c r="O17" i="2"/>
  <c r="N17" i="2"/>
  <c r="M17" i="2"/>
  <c r="L17" i="2"/>
  <c r="K17" i="2"/>
  <c r="J17" i="2"/>
  <c r="O16" i="2"/>
  <c r="N16" i="2"/>
  <c r="M16" i="2"/>
  <c r="L16" i="2"/>
  <c r="K16" i="2"/>
  <c r="J16" i="2"/>
  <c r="O15" i="2"/>
  <c r="N15" i="2"/>
  <c r="M15" i="2"/>
  <c r="L15" i="2"/>
  <c r="K15" i="2"/>
  <c r="J15" i="2"/>
  <c r="O14" i="2"/>
  <c r="N14" i="2"/>
  <c r="M14" i="2"/>
  <c r="L14" i="2"/>
  <c r="K14" i="2"/>
  <c r="J14" i="2"/>
  <c r="O13" i="2"/>
  <c r="N13" i="2"/>
  <c r="M13" i="2"/>
  <c r="L13" i="2"/>
  <c r="K13" i="2"/>
  <c r="J13" i="2"/>
  <c r="O12" i="2"/>
  <c r="N12" i="2"/>
  <c r="M12" i="2"/>
  <c r="L12" i="2"/>
  <c r="K12" i="2"/>
  <c r="J12" i="2"/>
  <c r="O11" i="2"/>
  <c r="N11" i="2"/>
  <c r="M11" i="2"/>
  <c r="L11" i="2"/>
  <c r="K11" i="2"/>
  <c r="J11" i="2"/>
  <c r="O10" i="2"/>
  <c r="N10" i="2"/>
  <c r="M10" i="2"/>
  <c r="L10" i="2"/>
  <c r="K10" i="2"/>
  <c r="J10" i="2"/>
  <c r="O9" i="2"/>
  <c r="N9" i="2"/>
  <c r="M9" i="2"/>
  <c r="L9" i="2"/>
  <c r="K9" i="2"/>
  <c r="J9" i="2"/>
  <c r="O8" i="2"/>
  <c r="N8" i="2"/>
  <c r="M8" i="2"/>
  <c r="L8" i="2"/>
  <c r="K8" i="2"/>
  <c r="J8" i="2"/>
  <c r="O7" i="2"/>
  <c r="N7" i="2"/>
  <c r="M7" i="2"/>
  <c r="L7" i="2"/>
  <c r="K7" i="2"/>
  <c r="J7" i="2"/>
  <c r="O6" i="2"/>
  <c r="N6" i="2"/>
  <c r="M6" i="2"/>
  <c r="L6" i="2"/>
  <c r="K6" i="2"/>
  <c r="J6" i="2"/>
  <c r="O5" i="2"/>
  <c r="N5" i="2"/>
  <c r="M5" i="2"/>
  <c r="L5" i="2"/>
  <c r="K5" i="2"/>
  <c r="J5" i="2"/>
  <c r="E9" i="1"/>
  <c r="B1" i="4" s="1"/>
  <c r="B28" i="4" l="1"/>
  <c r="A78" i="4" s="1"/>
  <c r="B27" i="4"/>
  <c r="A77" i="4" s="1"/>
  <c r="B26" i="4"/>
  <c r="A76" i="4" s="1"/>
  <c r="B25" i="4"/>
  <c r="A75" i="4" s="1"/>
  <c r="B24" i="4"/>
  <c r="A74" i="4" s="1"/>
  <c r="A22" i="3"/>
  <c r="A20" i="3"/>
  <c r="A18" i="3"/>
  <c r="A16" i="3"/>
  <c r="A14" i="3"/>
  <c r="A12" i="3"/>
  <c r="A10" i="3"/>
  <c r="A8" i="3"/>
  <c r="A6" i="3"/>
  <c r="B23" i="4"/>
  <c r="A73" i="4" s="1"/>
  <c r="B22" i="4"/>
  <c r="A72" i="4" s="1"/>
  <c r="B21" i="4"/>
  <c r="A71" i="4" s="1"/>
  <c r="B20" i="4"/>
  <c r="A70" i="4" s="1"/>
  <c r="B19" i="4"/>
  <c r="A69" i="4" s="1"/>
  <c r="B18" i="4"/>
  <c r="A68" i="4" s="1"/>
  <c r="B17" i="4"/>
  <c r="A67" i="4" s="1"/>
  <c r="B16" i="4"/>
  <c r="A66" i="4" s="1"/>
  <c r="B15" i="4"/>
  <c r="A65" i="4" s="1"/>
  <c r="B14" i="4"/>
  <c r="A64" i="4" s="1"/>
  <c r="A23" i="3"/>
  <c r="A21" i="3"/>
  <c r="A19" i="3"/>
  <c r="A17" i="3"/>
  <c r="A15" i="3"/>
  <c r="A13" i="3"/>
  <c r="A11" i="3"/>
  <c r="A9" i="3"/>
  <c r="A7" i="3"/>
  <c r="B13" i="4"/>
  <c r="A63" i="4" s="1"/>
  <c r="B12" i="4"/>
  <c r="A62" i="4" s="1"/>
  <c r="B11" i="4"/>
  <c r="A61" i="4" s="1"/>
  <c r="G9" i="1"/>
  <c r="B2" i="4" s="1"/>
  <c r="B4" i="4" l="1"/>
  <c r="B5" i="4" s="1"/>
  <c r="B6" i="4"/>
  <c r="J71" i="4"/>
  <c r="I71" i="4"/>
  <c r="H71" i="4"/>
  <c r="G71" i="4"/>
  <c r="F71" i="4"/>
  <c r="E71" i="4"/>
  <c r="D71" i="4"/>
  <c r="C71" i="4"/>
  <c r="B71" i="4"/>
  <c r="J23" i="3"/>
  <c r="I23" i="3"/>
  <c r="H23" i="3"/>
  <c r="G23" i="3"/>
  <c r="F23" i="3"/>
  <c r="E23" i="3"/>
  <c r="D23" i="3"/>
  <c r="C23" i="3"/>
  <c r="B23" i="3"/>
  <c r="E16" i="3"/>
  <c r="D16" i="3"/>
  <c r="C16" i="3"/>
  <c r="B16" i="3"/>
  <c r="J16" i="3"/>
  <c r="I16" i="3"/>
  <c r="H16" i="3"/>
  <c r="G16" i="3"/>
  <c r="F16" i="3"/>
  <c r="J72" i="4"/>
  <c r="I72" i="4"/>
  <c r="H72" i="4"/>
  <c r="G72" i="4"/>
  <c r="F72" i="4"/>
  <c r="E72" i="4"/>
  <c r="D72" i="4"/>
  <c r="C72" i="4"/>
  <c r="B72" i="4"/>
  <c r="E18" i="3"/>
  <c r="D18" i="3"/>
  <c r="C18" i="3"/>
  <c r="B18" i="3"/>
  <c r="J18" i="3"/>
  <c r="I18" i="3"/>
  <c r="H18" i="3"/>
  <c r="G18" i="3"/>
  <c r="F18" i="3"/>
  <c r="J73" i="4"/>
  <c r="I73" i="4"/>
  <c r="H73" i="4"/>
  <c r="G73" i="4"/>
  <c r="F73" i="4"/>
  <c r="E73" i="4"/>
  <c r="D73" i="4"/>
  <c r="C73" i="4"/>
  <c r="B73" i="4"/>
  <c r="J17" i="3"/>
  <c r="I17" i="3"/>
  <c r="H17" i="3"/>
  <c r="G17" i="3"/>
  <c r="F17" i="3"/>
  <c r="E17" i="3"/>
  <c r="D17" i="3"/>
  <c r="C17" i="3"/>
  <c r="B17" i="3"/>
  <c r="J19" i="3"/>
  <c r="I19" i="3"/>
  <c r="H19" i="3"/>
  <c r="G19" i="3"/>
  <c r="F19" i="3"/>
  <c r="E19" i="3"/>
  <c r="D19" i="3"/>
  <c r="C19" i="3"/>
  <c r="B19" i="3"/>
  <c r="E20" i="3"/>
  <c r="D20" i="3"/>
  <c r="C20" i="3"/>
  <c r="B20" i="3"/>
  <c r="J20" i="3"/>
  <c r="I20" i="3"/>
  <c r="H20" i="3"/>
  <c r="G20" i="3"/>
  <c r="F20" i="3"/>
  <c r="J21" i="3"/>
  <c r="I21" i="3"/>
  <c r="H21" i="3"/>
  <c r="G21" i="3"/>
  <c r="F21" i="3"/>
  <c r="E21" i="3"/>
  <c r="D21" i="3"/>
  <c r="C21" i="3"/>
  <c r="B21" i="3"/>
  <c r="E22" i="3"/>
  <c r="D22" i="3"/>
  <c r="C22" i="3"/>
  <c r="B22" i="3"/>
  <c r="J22" i="3"/>
  <c r="I22" i="3"/>
  <c r="H22" i="3"/>
  <c r="G22" i="3"/>
  <c r="F22" i="3"/>
  <c r="J74" i="4"/>
  <c r="I74" i="4"/>
  <c r="H74" i="4"/>
  <c r="G74" i="4"/>
  <c r="F74" i="4"/>
  <c r="E74" i="4"/>
  <c r="D74" i="4"/>
  <c r="C74" i="4"/>
  <c r="B74" i="4"/>
  <c r="J75" i="4"/>
  <c r="I75" i="4"/>
  <c r="H75" i="4"/>
  <c r="G75" i="4"/>
  <c r="F75" i="4"/>
  <c r="E75" i="4"/>
  <c r="D75" i="4"/>
  <c r="C75" i="4"/>
  <c r="B75" i="4"/>
  <c r="J76" i="4"/>
  <c r="I76" i="4"/>
  <c r="H76" i="4"/>
  <c r="G76" i="4"/>
  <c r="F76" i="4"/>
  <c r="E76" i="4"/>
  <c r="D76" i="4"/>
  <c r="C76" i="4"/>
  <c r="B76" i="4"/>
  <c r="J77" i="4"/>
  <c r="I77" i="4"/>
  <c r="H77" i="4"/>
  <c r="G77" i="4"/>
  <c r="F77" i="4"/>
  <c r="E77" i="4"/>
  <c r="D77" i="4"/>
  <c r="C77" i="4"/>
  <c r="B77" i="4"/>
  <c r="J78" i="4"/>
  <c r="I78" i="4"/>
  <c r="H78" i="4"/>
  <c r="G78" i="4"/>
  <c r="F78" i="4"/>
  <c r="E78" i="4"/>
  <c r="D78" i="4"/>
  <c r="C78" i="4"/>
  <c r="B78" i="4"/>
  <c r="B7" i="4" l="1"/>
  <c r="A310" i="2" l="1"/>
  <c r="A296" i="2"/>
  <c r="A276" i="2"/>
  <c r="A256" i="2"/>
  <c r="A236" i="2"/>
  <c r="A216" i="2"/>
  <c r="A196" i="2"/>
  <c r="A176" i="2"/>
  <c r="A299" i="2"/>
  <c r="A279" i="2"/>
  <c r="A259" i="2"/>
  <c r="A239" i="2"/>
  <c r="A219" i="2"/>
  <c r="A294" i="2"/>
  <c r="A274" i="2"/>
  <c r="A254" i="2"/>
  <c r="A234" i="2"/>
  <c r="A214" i="2"/>
  <c r="A194" i="2"/>
  <c r="A174" i="2"/>
  <c r="A154" i="2"/>
  <c r="A134" i="2"/>
  <c r="A307" i="2"/>
  <c r="A287" i="2"/>
  <c r="A267" i="2"/>
  <c r="A247" i="2"/>
  <c r="A227" i="2"/>
  <c r="A295" i="2"/>
  <c r="A288" i="2"/>
  <c r="A257" i="2"/>
  <c r="A226" i="2"/>
  <c r="A199" i="2"/>
  <c r="A186" i="2"/>
  <c r="A162" i="2"/>
  <c r="A143" i="2"/>
  <c r="A104" i="2"/>
  <c r="A84" i="2"/>
  <c r="A64" i="2"/>
  <c r="A44" i="2"/>
  <c r="A269" i="2"/>
  <c r="A262" i="2"/>
  <c r="A250" i="2"/>
  <c r="A238" i="2"/>
  <c r="A231" i="2"/>
  <c r="A173" i="2"/>
  <c r="A124" i="2"/>
  <c r="A107" i="2"/>
  <c r="A87" i="2"/>
  <c r="A67" i="2"/>
  <c r="A47" i="2"/>
  <c r="A305" i="2"/>
  <c r="A300" i="2"/>
  <c r="A293" i="2"/>
  <c r="A281" i="2"/>
  <c r="A212" i="2"/>
  <c r="A207" i="2"/>
  <c r="A181" i="2"/>
  <c r="A165" i="2"/>
  <c r="A146" i="2"/>
  <c r="A135" i="2"/>
  <c r="A110" i="2"/>
  <c r="A90" i="2"/>
  <c r="A243" i="2"/>
  <c r="A224" i="2"/>
  <c r="A202" i="2"/>
  <c r="A189" i="2"/>
  <c r="A157" i="2"/>
  <c r="A127" i="2"/>
  <c r="A113" i="2"/>
  <c r="A93" i="2"/>
  <c r="A73" i="2"/>
  <c r="A53" i="2"/>
  <c r="A286" i="2"/>
  <c r="A255" i="2"/>
  <c r="A248" i="2"/>
  <c r="A217" i="2"/>
  <c r="A298" i="2"/>
  <c r="A291" i="2"/>
  <c r="A229" i="2"/>
  <c r="A222" i="2"/>
  <c r="A210" i="2"/>
  <c r="A197" i="2"/>
  <c r="A184" i="2"/>
  <c r="A160" i="2"/>
  <c r="A308" i="2"/>
  <c r="A277" i="2"/>
  <c r="A246" i="2"/>
  <c r="A215" i="2"/>
  <c r="A200" i="2"/>
  <c r="A187" i="2"/>
  <c r="A144" i="2"/>
  <c r="A125" i="2"/>
  <c r="A108" i="2"/>
  <c r="A88" i="2"/>
  <c r="A68" i="2"/>
  <c r="A48" i="2"/>
  <c r="A301" i="2"/>
  <c r="A232" i="2"/>
  <c r="A225" i="2"/>
  <c r="A220" i="2"/>
  <c r="A213" i="2"/>
  <c r="A195" i="2"/>
  <c r="A302" i="2"/>
  <c r="A290" i="2"/>
  <c r="A278" i="2"/>
  <c r="A271" i="2"/>
  <c r="A209" i="2"/>
  <c r="A183" i="2"/>
  <c r="A167" i="2"/>
  <c r="A245" i="2"/>
  <c r="A203" i="2"/>
  <c r="A201" i="2"/>
  <c r="A150" i="2"/>
  <c r="A122" i="2"/>
  <c r="A92" i="2"/>
  <c r="A76" i="2"/>
  <c r="A52" i="2"/>
  <c r="A45" i="2"/>
  <c r="A28" i="2"/>
  <c r="A8" i="2"/>
  <c r="A11" i="2"/>
  <c r="A284" i="2"/>
  <c r="A282" i="2"/>
  <c r="A280" i="2"/>
  <c r="A192" i="2"/>
  <c r="A188" i="2"/>
  <c r="A171" i="2"/>
  <c r="A148" i="2"/>
  <c r="A133" i="2"/>
  <c r="A115" i="2"/>
  <c r="A83" i="2"/>
  <c r="A31" i="2"/>
  <c r="A190" i="2"/>
  <c r="A106" i="2"/>
  <c r="A62" i="2"/>
  <c r="A57" i="2"/>
  <c r="A50" i="2"/>
  <c r="A34" i="2"/>
  <c r="A14" i="2"/>
  <c r="A37" i="2"/>
  <c r="A17" i="2"/>
  <c r="A258" i="2"/>
  <c r="A179" i="2"/>
  <c r="A169" i="2"/>
  <c r="A81" i="2"/>
  <c r="A69" i="2"/>
  <c r="A304" i="2"/>
  <c r="A260" i="2"/>
  <c r="A218" i="2"/>
  <c r="A163" i="2"/>
  <c r="A97" i="2"/>
  <c r="A306" i="2"/>
  <c r="A297" i="2"/>
  <c r="A249" i="2"/>
  <c r="A240" i="2"/>
  <c r="A211" i="2"/>
  <c r="A177" i="2"/>
  <c r="A175" i="2"/>
  <c r="A159" i="2"/>
  <c r="A155" i="2"/>
  <c r="A131" i="2"/>
  <c r="A120" i="2"/>
  <c r="A102" i="2"/>
  <c r="A79" i="2"/>
  <c r="A275" i="2"/>
  <c r="A264" i="2"/>
  <c r="A151" i="2"/>
  <c r="A149" i="2"/>
  <c r="A116" i="2"/>
  <c r="A72" i="2"/>
  <c r="A65" i="2"/>
  <c r="A32" i="2"/>
  <c r="A12" i="2"/>
  <c r="A309" i="2"/>
  <c r="A289" i="2"/>
  <c r="A261" i="2"/>
  <c r="A252" i="2"/>
  <c r="A139" i="2"/>
  <c r="A303" i="2"/>
  <c r="A168" i="2"/>
  <c r="A156" i="2"/>
  <c r="A142" i="2"/>
  <c r="A111" i="2"/>
  <c r="A55" i="2"/>
  <c r="A24" i="2"/>
  <c r="A6" i="2"/>
  <c r="A15" i="2"/>
  <c r="A180" i="2"/>
  <c r="A75" i="2"/>
  <c r="A230" i="2"/>
  <c r="A98" i="2"/>
  <c r="A193" i="2"/>
  <c r="A38" i="2"/>
  <c r="A20" i="2"/>
  <c r="A235" i="2"/>
  <c r="A130" i="2"/>
  <c r="A27" i="2"/>
  <c r="A292" i="2"/>
  <c r="A233" i="2"/>
  <c r="A205" i="2"/>
  <c r="A198" i="2"/>
  <c r="A158" i="2"/>
  <c r="A94" i="2"/>
  <c r="A59" i="2"/>
  <c r="A29" i="2"/>
  <c r="A22" i="2"/>
  <c r="A251" i="2"/>
  <c r="A221" i="2"/>
  <c r="A137" i="2"/>
  <c r="A126" i="2"/>
  <c r="A96" i="2"/>
  <c r="A71" i="2"/>
  <c r="A63" i="2"/>
  <c r="A61" i="2"/>
  <c r="A51" i="2"/>
  <c r="A266" i="2"/>
  <c r="A228" i="2"/>
  <c r="A178" i="2"/>
  <c r="A153" i="2"/>
  <c r="A128" i="2"/>
  <c r="A49" i="2"/>
  <c r="A43" i="2"/>
  <c r="A13" i="2"/>
  <c r="A119" i="2"/>
  <c r="A223" i="2"/>
  <c r="A185" i="2"/>
  <c r="A170" i="2"/>
  <c r="A117" i="2"/>
  <c r="A77" i="2"/>
  <c r="A36" i="2"/>
  <c r="A253" i="2"/>
  <c r="A100" i="2"/>
  <c r="A85" i="2"/>
  <c r="A285" i="2"/>
  <c r="A244" i="2"/>
  <c r="A208" i="2"/>
  <c r="A191" i="2"/>
  <c r="A166" i="2"/>
  <c r="A147" i="2"/>
  <c r="A103" i="2"/>
  <c r="A86" i="2"/>
  <c r="A42" i="2"/>
  <c r="A10" i="2"/>
  <c r="A161" i="2"/>
  <c r="A33" i="2"/>
  <c r="A105" i="2"/>
  <c r="A40" i="2"/>
  <c r="A272" i="2"/>
  <c r="A241" i="2"/>
  <c r="A109" i="2"/>
  <c r="A9" i="2"/>
  <c r="A41" i="2"/>
  <c r="A273" i="2"/>
  <c r="A112" i="2"/>
  <c r="A60" i="2"/>
  <c r="A26" i="2"/>
  <c r="A21" i="2"/>
  <c r="A283" i="2"/>
  <c r="A74" i="2"/>
  <c r="A54" i="2"/>
  <c r="A172" i="2"/>
  <c r="A58" i="2"/>
  <c r="A5" i="2"/>
  <c r="A7" i="2"/>
  <c r="A82" i="2"/>
  <c r="A140" i="2"/>
  <c r="A118" i="2"/>
  <c r="A136" i="2"/>
  <c r="A91" i="2"/>
  <c r="A138" i="2"/>
  <c r="A35" i="2"/>
  <c r="A129" i="2"/>
  <c r="A242" i="2"/>
  <c r="A121" i="2"/>
  <c r="A152" i="2"/>
  <c r="A270" i="2"/>
  <c r="A70" i="2"/>
  <c r="A19" i="2"/>
  <c r="A114" i="2"/>
  <c r="A99" i="2"/>
  <c r="A78" i="2"/>
  <c r="A141" i="2"/>
  <c r="A80" i="2"/>
  <c r="A23" i="2"/>
  <c r="A16" i="2"/>
  <c r="A237" i="2"/>
  <c r="A204" i="2"/>
  <c r="A132" i="2"/>
  <c r="A263" i="2"/>
  <c r="A101" i="2"/>
  <c r="A30" i="2"/>
  <c r="A25" i="2"/>
  <c r="A206" i="2"/>
  <c r="A95" i="2"/>
  <c r="A18" i="2"/>
  <c r="A265" i="2"/>
  <c r="A145" i="2"/>
  <c r="A56" i="2"/>
  <c r="A46" i="2"/>
  <c r="A39" i="2"/>
  <c r="A268" i="2"/>
  <c r="A182" i="2"/>
  <c r="A164" i="2"/>
  <c r="A123" i="2"/>
  <c r="A89" i="2"/>
  <c r="A66" i="2"/>
  <c r="G155" i="2" l="1"/>
  <c r="B155" i="2"/>
  <c r="F155" i="2"/>
  <c r="C155" i="2"/>
  <c r="C74" i="2"/>
  <c r="B74" i="2"/>
  <c r="G74" i="2"/>
  <c r="F74" i="2"/>
  <c r="G153" i="2"/>
  <c r="F153" i="2"/>
  <c r="C153" i="2"/>
  <c r="B153" i="2"/>
  <c r="C233" i="2"/>
  <c r="B233" i="2"/>
  <c r="F233" i="2"/>
  <c r="G233" i="2"/>
  <c r="F303" i="2"/>
  <c r="G303" i="2"/>
  <c r="C303" i="2"/>
  <c r="B303" i="2"/>
  <c r="B159" i="2"/>
  <c r="G159" i="2"/>
  <c r="F159" i="2"/>
  <c r="C159" i="2"/>
  <c r="C14" i="2"/>
  <c r="B14" i="2"/>
  <c r="G14" i="2"/>
  <c r="F14" i="2"/>
  <c r="F28" i="2"/>
  <c r="B28" i="2"/>
  <c r="G28" i="2"/>
  <c r="C28" i="2"/>
  <c r="F225" i="2"/>
  <c r="C225" i="2"/>
  <c r="G225" i="2"/>
  <c r="B225" i="2"/>
  <c r="G229" i="2"/>
  <c r="F229" i="2"/>
  <c r="C229" i="2"/>
  <c r="B229" i="2"/>
  <c r="G146" i="2"/>
  <c r="C146" i="2"/>
  <c r="B146" i="2"/>
  <c r="F146" i="2"/>
  <c r="C44" i="2"/>
  <c r="B44" i="2"/>
  <c r="G44" i="2"/>
  <c r="F44" i="2"/>
  <c r="C194" i="2"/>
  <c r="B194" i="2"/>
  <c r="G194" i="2"/>
  <c r="F194" i="2"/>
  <c r="G56" i="2"/>
  <c r="F56" i="2"/>
  <c r="B56" i="2"/>
  <c r="C56" i="2"/>
  <c r="G19" i="2"/>
  <c r="C19" i="2"/>
  <c r="F19" i="2"/>
  <c r="B19" i="2"/>
  <c r="F283" i="2"/>
  <c r="C283" i="2"/>
  <c r="B283" i="2"/>
  <c r="G283" i="2"/>
  <c r="G166" i="2"/>
  <c r="B166" i="2"/>
  <c r="C166" i="2"/>
  <c r="F166" i="2"/>
  <c r="C178" i="2"/>
  <c r="G178" i="2"/>
  <c r="F178" i="2"/>
  <c r="B178" i="2"/>
  <c r="G292" i="2"/>
  <c r="F292" i="2"/>
  <c r="C292" i="2"/>
  <c r="B292" i="2"/>
  <c r="F139" i="2"/>
  <c r="G139" i="2"/>
  <c r="C139" i="2"/>
  <c r="B139" i="2"/>
  <c r="G175" i="2"/>
  <c r="F175" i="2"/>
  <c r="C175" i="2"/>
  <c r="B175" i="2"/>
  <c r="C34" i="2"/>
  <c r="B34" i="2"/>
  <c r="F34" i="2"/>
  <c r="G34" i="2"/>
  <c r="G45" i="2"/>
  <c r="F45" i="2"/>
  <c r="C45" i="2"/>
  <c r="B45" i="2"/>
  <c r="C232" i="2"/>
  <c r="F232" i="2"/>
  <c r="G232" i="2"/>
  <c r="B232" i="2"/>
  <c r="G291" i="2"/>
  <c r="F291" i="2"/>
  <c r="C291" i="2"/>
  <c r="B291" i="2"/>
  <c r="C165" i="2"/>
  <c r="B165" i="2"/>
  <c r="G165" i="2"/>
  <c r="F165" i="2"/>
  <c r="B64" i="2"/>
  <c r="C64" i="2"/>
  <c r="F64" i="2"/>
  <c r="G64" i="2"/>
  <c r="C214" i="2"/>
  <c r="F214" i="2"/>
  <c r="B214" i="2"/>
  <c r="G214" i="2"/>
  <c r="G99" i="2"/>
  <c r="F99" i="2"/>
  <c r="C99" i="2"/>
  <c r="B99" i="2"/>
  <c r="F37" i="2"/>
  <c r="C37" i="2"/>
  <c r="B37" i="2"/>
  <c r="G37" i="2"/>
  <c r="C301" i="2"/>
  <c r="G301" i="2"/>
  <c r="F301" i="2"/>
  <c r="B301" i="2"/>
  <c r="G130" i="2"/>
  <c r="F130" i="2"/>
  <c r="C130" i="2"/>
  <c r="B130" i="2"/>
  <c r="C18" i="2"/>
  <c r="B18" i="2"/>
  <c r="G18" i="2"/>
  <c r="F18" i="2"/>
  <c r="C240" i="2"/>
  <c r="B240" i="2"/>
  <c r="G240" i="2"/>
  <c r="F240" i="2"/>
  <c r="G121" i="2"/>
  <c r="C121" i="2"/>
  <c r="B121" i="2"/>
  <c r="F121" i="2"/>
  <c r="G122" i="2"/>
  <c r="F122" i="2"/>
  <c r="C122" i="2"/>
  <c r="B122" i="2"/>
  <c r="C38" i="2"/>
  <c r="G38" i="2"/>
  <c r="F38" i="2"/>
  <c r="B38" i="2"/>
  <c r="F201" i="2"/>
  <c r="B201" i="2"/>
  <c r="C201" i="2"/>
  <c r="G201" i="2"/>
  <c r="C30" i="2"/>
  <c r="G30" i="2"/>
  <c r="F30" i="2"/>
  <c r="B30" i="2"/>
  <c r="B35" i="2"/>
  <c r="F35" i="2"/>
  <c r="C35" i="2"/>
  <c r="G35" i="2"/>
  <c r="G9" i="2"/>
  <c r="B9" i="2"/>
  <c r="F9" i="2"/>
  <c r="C9" i="2"/>
  <c r="C253" i="2"/>
  <c r="G253" i="2"/>
  <c r="F253" i="2"/>
  <c r="B253" i="2"/>
  <c r="G96" i="2"/>
  <c r="F96" i="2"/>
  <c r="C96" i="2"/>
  <c r="B96" i="2"/>
  <c r="G98" i="2"/>
  <c r="B98" i="2"/>
  <c r="F98" i="2"/>
  <c r="C98" i="2"/>
  <c r="G65" i="2"/>
  <c r="C65" i="2"/>
  <c r="B65" i="2"/>
  <c r="F65" i="2"/>
  <c r="F97" i="2"/>
  <c r="G97" i="2"/>
  <c r="C97" i="2"/>
  <c r="B97" i="2"/>
  <c r="B83" i="2"/>
  <c r="C83" i="2"/>
  <c r="G83" i="2"/>
  <c r="F83" i="2"/>
  <c r="F203" i="2"/>
  <c r="G203" i="2"/>
  <c r="B203" i="2"/>
  <c r="C203" i="2"/>
  <c r="F144" i="2"/>
  <c r="G144" i="2"/>
  <c r="C144" i="2"/>
  <c r="B144" i="2"/>
  <c r="F73" i="2"/>
  <c r="C73" i="2"/>
  <c r="G73" i="2"/>
  <c r="B73" i="2"/>
  <c r="F305" i="2"/>
  <c r="C305" i="2"/>
  <c r="G305" i="2"/>
  <c r="B305" i="2"/>
  <c r="G226" i="2"/>
  <c r="F226" i="2"/>
  <c r="B226" i="2"/>
  <c r="C226" i="2"/>
  <c r="B259" i="2"/>
  <c r="G259" i="2"/>
  <c r="F259" i="2"/>
  <c r="C259" i="2"/>
  <c r="C54" i="2"/>
  <c r="B54" i="2"/>
  <c r="G54" i="2"/>
  <c r="F54" i="2"/>
  <c r="F8" i="2"/>
  <c r="C8" i="2"/>
  <c r="B8" i="2"/>
  <c r="G8" i="2"/>
  <c r="C114" i="2"/>
  <c r="F114" i="2"/>
  <c r="G114" i="2"/>
  <c r="B114" i="2"/>
  <c r="G228" i="2"/>
  <c r="F228" i="2"/>
  <c r="C228" i="2"/>
  <c r="B228" i="2"/>
  <c r="G52" i="2"/>
  <c r="F52" i="2"/>
  <c r="C52" i="2"/>
  <c r="B52" i="2"/>
  <c r="G26" i="2"/>
  <c r="F26" i="2"/>
  <c r="C26" i="2"/>
  <c r="B26" i="2"/>
  <c r="G104" i="2"/>
  <c r="F104" i="2"/>
  <c r="C104" i="2"/>
  <c r="B104" i="2"/>
  <c r="G289" i="2"/>
  <c r="B289" i="2"/>
  <c r="F289" i="2"/>
  <c r="C289" i="2"/>
  <c r="G248" i="2"/>
  <c r="F248" i="2"/>
  <c r="C248" i="2"/>
  <c r="B248" i="2"/>
  <c r="F285" i="2"/>
  <c r="C285" i="2"/>
  <c r="G285" i="2"/>
  <c r="B285" i="2"/>
  <c r="G88" i="2"/>
  <c r="F88" i="2"/>
  <c r="B88" i="2"/>
  <c r="C88" i="2"/>
  <c r="B297" i="2"/>
  <c r="G297" i="2"/>
  <c r="F297" i="2"/>
  <c r="C297" i="2"/>
  <c r="G286" i="2"/>
  <c r="F286" i="2"/>
  <c r="C286" i="2"/>
  <c r="B286" i="2"/>
  <c r="F41" i="2"/>
  <c r="G41" i="2"/>
  <c r="C41" i="2"/>
  <c r="B41" i="2"/>
  <c r="F53" i="2"/>
  <c r="C53" i="2"/>
  <c r="G53" i="2"/>
  <c r="B53" i="2"/>
  <c r="G109" i="2"/>
  <c r="B109" i="2"/>
  <c r="F109" i="2"/>
  <c r="C109" i="2"/>
  <c r="F163" i="2"/>
  <c r="C163" i="2"/>
  <c r="G163" i="2"/>
  <c r="B163" i="2"/>
  <c r="B279" i="2"/>
  <c r="G279" i="2"/>
  <c r="F279" i="2"/>
  <c r="C279" i="2"/>
  <c r="F263" i="2"/>
  <c r="G263" i="2"/>
  <c r="B263" i="2"/>
  <c r="C263" i="2"/>
  <c r="B91" i="2"/>
  <c r="G91" i="2"/>
  <c r="F91" i="2"/>
  <c r="C91" i="2"/>
  <c r="G241" i="2"/>
  <c r="F241" i="2"/>
  <c r="C241" i="2"/>
  <c r="B241" i="2"/>
  <c r="F77" i="2"/>
  <c r="C77" i="2"/>
  <c r="G77" i="2"/>
  <c r="B77" i="2"/>
  <c r="B137" i="2"/>
  <c r="C137" i="2"/>
  <c r="G137" i="2"/>
  <c r="F137" i="2"/>
  <c r="G75" i="2"/>
  <c r="F75" i="2"/>
  <c r="C75" i="2"/>
  <c r="B75" i="2"/>
  <c r="G116" i="2"/>
  <c r="F116" i="2"/>
  <c r="C116" i="2"/>
  <c r="B116" i="2"/>
  <c r="F218" i="2"/>
  <c r="G218" i="2"/>
  <c r="C218" i="2"/>
  <c r="B218" i="2"/>
  <c r="G133" i="2"/>
  <c r="B133" i="2"/>
  <c r="C133" i="2"/>
  <c r="F133" i="2"/>
  <c r="G167" i="2"/>
  <c r="F167" i="2"/>
  <c r="C167" i="2"/>
  <c r="B167" i="2"/>
  <c r="C200" i="2"/>
  <c r="G200" i="2"/>
  <c r="B200" i="2"/>
  <c r="F200" i="2"/>
  <c r="F113" i="2"/>
  <c r="C113" i="2"/>
  <c r="B113" i="2"/>
  <c r="G113" i="2"/>
  <c r="B67" i="2"/>
  <c r="F67" i="2"/>
  <c r="G67" i="2"/>
  <c r="C67" i="2"/>
  <c r="G288" i="2"/>
  <c r="F288" i="2"/>
  <c r="C288" i="2"/>
  <c r="B288" i="2"/>
  <c r="B299" i="2"/>
  <c r="G299" i="2"/>
  <c r="F299" i="2"/>
  <c r="C299" i="2"/>
  <c r="G174" i="2"/>
  <c r="B174" i="2"/>
  <c r="C174" i="2"/>
  <c r="F174" i="2"/>
  <c r="B191" i="2"/>
  <c r="F191" i="2"/>
  <c r="G191" i="2"/>
  <c r="C191" i="2"/>
  <c r="F265" i="2"/>
  <c r="C265" i="2"/>
  <c r="G265" i="2"/>
  <c r="B265" i="2"/>
  <c r="B217" i="2"/>
  <c r="G217" i="2"/>
  <c r="F217" i="2"/>
  <c r="C217" i="2"/>
  <c r="F62" i="2"/>
  <c r="C62" i="2"/>
  <c r="B62" i="2"/>
  <c r="G62" i="2"/>
  <c r="F61" i="2"/>
  <c r="C61" i="2"/>
  <c r="B61" i="2"/>
  <c r="G61" i="2"/>
  <c r="G206" i="2"/>
  <c r="F206" i="2"/>
  <c r="C206" i="2"/>
  <c r="B206" i="2"/>
  <c r="F108" i="2"/>
  <c r="G108" i="2"/>
  <c r="B108" i="2"/>
  <c r="C108" i="2"/>
  <c r="G193" i="2"/>
  <c r="B193" i="2"/>
  <c r="F193" i="2"/>
  <c r="C193" i="2"/>
  <c r="G101" i="2"/>
  <c r="C101" i="2"/>
  <c r="F101" i="2"/>
  <c r="B101" i="2"/>
  <c r="B115" i="2"/>
  <c r="G115" i="2"/>
  <c r="F115" i="2"/>
  <c r="C115" i="2"/>
  <c r="G215" i="2"/>
  <c r="F215" i="2"/>
  <c r="C215" i="2"/>
  <c r="B215" i="2"/>
  <c r="F209" i="2"/>
  <c r="C209" i="2"/>
  <c r="B209" i="2"/>
  <c r="G209" i="2"/>
  <c r="F69" i="2"/>
  <c r="C69" i="2"/>
  <c r="B69" i="2"/>
  <c r="G69" i="2"/>
  <c r="G188" i="2"/>
  <c r="B188" i="2"/>
  <c r="C188" i="2"/>
  <c r="F188" i="2"/>
  <c r="G271" i="2"/>
  <c r="F271" i="2"/>
  <c r="C271" i="2"/>
  <c r="B271" i="2"/>
  <c r="B277" i="2"/>
  <c r="G277" i="2"/>
  <c r="F277" i="2"/>
  <c r="C277" i="2"/>
  <c r="F189" i="2"/>
  <c r="C189" i="2"/>
  <c r="B189" i="2"/>
  <c r="G189" i="2"/>
  <c r="B124" i="2"/>
  <c r="C124" i="2"/>
  <c r="G124" i="2"/>
  <c r="F124" i="2"/>
  <c r="G247" i="2"/>
  <c r="F247" i="2"/>
  <c r="C247" i="2"/>
  <c r="B247" i="2"/>
  <c r="F216" i="2"/>
  <c r="C216" i="2"/>
  <c r="B216" i="2"/>
  <c r="G216" i="2"/>
  <c r="G168" i="2"/>
  <c r="F168" i="2"/>
  <c r="C168" i="2"/>
  <c r="B168" i="2"/>
  <c r="C145" i="2"/>
  <c r="G145" i="2"/>
  <c r="F145" i="2"/>
  <c r="B145" i="2"/>
  <c r="C50" i="2"/>
  <c r="B50" i="2"/>
  <c r="G50" i="2"/>
  <c r="F50" i="2"/>
  <c r="F57" i="2"/>
  <c r="C57" i="2"/>
  <c r="B57" i="2"/>
  <c r="G57" i="2"/>
  <c r="G152" i="2"/>
  <c r="F152" i="2"/>
  <c r="B152" i="2"/>
  <c r="C152" i="2"/>
  <c r="F92" i="2"/>
  <c r="C92" i="2"/>
  <c r="B92" i="2"/>
  <c r="G92" i="2"/>
  <c r="C106" i="2"/>
  <c r="B106" i="2"/>
  <c r="G106" i="2"/>
  <c r="F106" i="2"/>
  <c r="C12" i="2"/>
  <c r="B12" i="2"/>
  <c r="G12" i="2"/>
  <c r="F12" i="2"/>
  <c r="G32" i="2"/>
  <c r="F32" i="2"/>
  <c r="B32" i="2"/>
  <c r="C32" i="2"/>
  <c r="G138" i="2"/>
  <c r="F138" i="2"/>
  <c r="C138" i="2"/>
  <c r="B138" i="2"/>
  <c r="F245" i="2"/>
  <c r="C245" i="2"/>
  <c r="B245" i="2"/>
  <c r="G245" i="2"/>
  <c r="F183" i="2"/>
  <c r="G183" i="2"/>
  <c r="B183" i="2"/>
  <c r="C183" i="2"/>
  <c r="C204" i="2"/>
  <c r="F204" i="2"/>
  <c r="B204" i="2"/>
  <c r="G204" i="2"/>
  <c r="G171" i="2"/>
  <c r="F171" i="2"/>
  <c r="B171" i="2"/>
  <c r="C171" i="2"/>
  <c r="F223" i="2"/>
  <c r="B223" i="2"/>
  <c r="G223" i="2"/>
  <c r="C223" i="2"/>
  <c r="G192" i="2"/>
  <c r="F192" i="2"/>
  <c r="C192" i="2"/>
  <c r="B192" i="2"/>
  <c r="F278" i="2"/>
  <c r="G278" i="2"/>
  <c r="C278" i="2"/>
  <c r="B278" i="2"/>
  <c r="G308" i="2"/>
  <c r="F308" i="2"/>
  <c r="C308" i="2"/>
  <c r="B308" i="2"/>
  <c r="C202" i="2"/>
  <c r="G202" i="2"/>
  <c r="F202" i="2"/>
  <c r="B202" i="2"/>
  <c r="B173" i="2"/>
  <c r="G173" i="2"/>
  <c r="F173" i="2"/>
  <c r="C173" i="2"/>
  <c r="G267" i="2"/>
  <c r="F267" i="2"/>
  <c r="C267" i="2"/>
  <c r="B267" i="2"/>
  <c r="F236" i="2"/>
  <c r="G236" i="2"/>
  <c r="C236" i="2"/>
  <c r="B236" i="2"/>
  <c r="F205" i="2"/>
  <c r="G205" i="2"/>
  <c r="C205" i="2"/>
  <c r="B205" i="2"/>
  <c r="C220" i="2"/>
  <c r="F220" i="2"/>
  <c r="G220" i="2"/>
  <c r="B220" i="2"/>
  <c r="C147" i="2"/>
  <c r="G147" i="2"/>
  <c r="F147" i="2"/>
  <c r="B147" i="2"/>
  <c r="B252" i="2"/>
  <c r="F252" i="2"/>
  <c r="G252" i="2"/>
  <c r="C252" i="2"/>
  <c r="C181" i="2"/>
  <c r="B181" i="2"/>
  <c r="G181" i="2"/>
  <c r="F181" i="2"/>
  <c r="G266" i="2"/>
  <c r="B266" i="2"/>
  <c r="F266" i="2"/>
  <c r="C266" i="2"/>
  <c r="G76" i="2"/>
  <c r="F76" i="2"/>
  <c r="B76" i="2"/>
  <c r="C76" i="2"/>
  <c r="G60" i="2"/>
  <c r="F60" i="2"/>
  <c r="C60" i="2"/>
  <c r="B60" i="2"/>
  <c r="F274" i="2"/>
  <c r="C274" i="2"/>
  <c r="B274" i="2"/>
  <c r="G274" i="2"/>
  <c r="G20" i="2"/>
  <c r="F20" i="2"/>
  <c r="C20" i="2"/>
  <c r="B20" i="2"/>
  <c r="C281" i="2"/>
  <c r="B281" i="2"/>
  <c r="G281" i="2"/>
  <c r="F281" i="2"/>
  <c r="G85" i="2"/>
  <c r="F85" i="2"/>
  <c r="B85" i="2"/>
  <c r="C85" i="2"/>
  <c r="C293" i="2"/>
  <c r="F293" i="2"/>
  <c r="B293" i="2"/>
  <c r="G293" i="2"/>
  <c r="B71" i="2"/>
  <c r="G71" i="2"/>
  <c r="F71" i="2"/>
  <c r="C71" i="2"/>
  <c r="B199" i="2"/>
  <c r="G199" i="2"/>
  <c r="F199" i="2"/>
  <c r="C199" i="2"/>
  <c r="B230" i="2"/>
  <c r="G230" i="2"/>
  <c r="C230" i="2"/>
  <c r="F230" i="2"/>
  <c r="B257" i="2"/>
  <c r="G257" i="2"/>
  <c r="F257" i="2"/>
  <c r="C257" i="2"/>
  <c r="F117" i="2"/>
  <c r="C117" i="2"/>
  <c r="G117" i="2"/>
  <c r="B117" i="2"/>
  <c r="G149" i="2"/>
  <c r="F149" i="2"/>
  <c r="C149" i="2"/>
  <c r="B149" i="2"/>
  <c r="B87" i="2"/>
  <c r="G87" i="2"/>
  <c r="F87" i="2"/>
  <c r="C87" i="2"/>
  <c r="G40" i="2"/>
  <c r="F40" i="2"/>
  <c r="C40" i="2"/>
  <c r="B40" i="2"/>
  <c r="B15" i="2"/>
  <c r="C15" i="2"/>
  <c r="G15" i="2"/>
  <c r="F15" i="2"/>
  <c r="G246" i="2"/>
  <c r="F246" i="2"/>
  <c r="B246" i="2"/>
  <c r="C246" i="2"/>
  <c r="B157" i="2"/>
  <c r="G157" i="2"/>
  <c r="F157" i="2"/>
  <c r="C157" i="2"/>
  <c r="F66" i="2"/>
  <c r="G66" i="2"/>
  <c r="C66" i="2"/>
  <c r="B66" i="2"/>
  <c r="C22" i="2"/>
  <c r="B22" i="2"/>
  <c r="F22" i="2"/>
  <c r="G22" i="2"/>
  <c r="G82" i="2"/>
  <c r="F82" i="2"/>
  <c r="C82" i="2"/>
  <c r="B82" i="2"/>
  <c r="F81" i="2"/>
  <c r="C81" i="2"/>
  <c r="B81" i="2"/>
  <c r="G81" i="2"/>
  <c r="F123" i="2"/>
  <c r="G123" i="2"/>
  <c r="C123" i="2"/>
  <c r="B123" i="2"/>
  <c r="G23" i="2"/>
  <c r="F23" i="2"/>
  <c r="C23" i="2"/>
  <c r="B23" i="2"/>
  <c r="G7" i="2"/>
  <c r="F7" i="2"/>
  <c r="C7" i="2"/>
  <c r="B7" i="2"/>
  <c r="F161" i="2"/>
  <c r="G161" i="2"/>
  <c r="C161" i="2"/>
  <c r="B161" i="2"/>
  <c r="G119" i="2"/>
  <c r="F119" i="2"/>
  <c r="C119" i="2"/>
  <c r="B119" i="2"/>
  <c r="G59" i="2"/>
  <c r="C59" i="2"/>
  <c r="F59" i="2"/>
  <c r="B59" i="2"/>
  <c r="B55" i="2"/>
  <c r="G55" i="2"/>
  <c r="F55" i="2"/>
  <c r="C55" i="2"/>
  <c r="G79" i="2"/>
  <c r="C79" i="2"/>
  <c r="B79" i="2"/>
  <c r="F79" i="2"/>
  <c r="F169" i="2"/>
  <c r="B169" i="2"/>
  <c r="G169" i="2"/>
  <c r="C169" i="2"/>
  <c r="C280" i="2"/>
  <c r="B280" i="2"/>
  <c r="F280" i="2"/>
  <c r="G280" i="2"/>
  <c r="B290" i="2"/>
  <c r="C290" i="2"/>
  <c r="F290" i="2"/>
  <c r="G290" i="2"/>
  <c r="C160" i="2"/>
  <c r="G160" i="2"/>
  <c r="F160" i="2"/>
  <c r="B160" i="2"/>
  <c r="F224" i="2"/>
  <c r="C224" i="2"/>
  <c r="B224" i="2"/>
  <c r="G224" i="2"/>
  <c r="G231" i="2"/>
  <c r="B231" i="2"/>
  <c r="F231" i="2"/>
  <c r="C231" i="2"/>
  <c r="F287" i="2"/>
  <c r="C287" i="2"/>
  <c r="B287" i="2"/>
  <c r="G287" i="2"/>
  <c r="F256" i="2"/>
  <c r="C256" i="2"/>
  <c r="G256" i="2"/>
  <c r="B256" i="2"/>
  <c r="G39" i="2"/>
  <c r="B39" i="2"/>
  <c r="C39" i="2"/>
  <c r="F39" i="2"/>
  <c r="B269" i="2"/>
  <c r="G269" i="2"/>
  <c r="F269" i="2"/>
  <c r="C269" i="2"/>
  <c r="C70" i="2"/>
  <c r="B70" i="2"/>
  <c r="G70" i="2"/>
  <c r="F70" i="2"/>
  <c r="B177" i="2"/>
  <c r="G177" i="2"/>
  <c r="C177" i="2"/>
  <c r="F177" i="2"/>
  <c r="G298" i="2"/>
  <c r="F298" i="2"/>
  <c r="C298" i="2"/>
  <c r="B298" i="2"/>
  <c r="B270" i="2"/>
  <c r="C270" i="2"/>
  <c r="F270" i="2"/>
  <c r="G270" i="2"/>
  <c r="G211" i="2"/>
  <c r="F211" i="2"/>
  <c r="C211" i="2"/>
  <c r="B211" i="2"/>
  <c r="C207" i="2"/>
  <c r="B207" i="2"/>
  <c r="F207" i="2"/>
  <c r="G207" i="2"/>
  <c r="F235" i="2"/>
  <c r="G235" i="2"/>
  <c r="C235" i="2"/>
  <c r="B235" i="2"/>
  <c r="F143" i="2"/>
  <c r="C143" i="2"/>
  <c r="B143" i="2"/>
  <c r="G143" i="2"/>
  <c r="F249" i="2"/>
  <c r="G249" i="2"/>
  <c r="C249" i="2"/>
  <c r="B249" i="2"/>
  <c r="F294" i="2"/>
  <c r="B294" i="2"/>
  <c r="G294" i="2"/>
  <c r="C294" i="2"/>
  <c r="C273" i="2"/>
  <c r="G273" i="2"/>
  <c r="F273" i="2"/>
  <c r="B273" i="2"/>
  <c r="G150" i="2"/>
  <c r="F150" i="2"/>
  <c r="C150" i="2"/>
  <c r="B150" i="2"/>
  <c r="C25" i="2"/>
  <c r="B25" i="2"/>
  <c r="G25" i="2"/>
  <c r="F25" i="2"/>
  <c r="B31" i="2"/>
  <c r="C31" i="2"/>
  <c r="F31" i="2"/>
  <c r="G31" i="2"/>
  <c r="B239" i="2"/>
  <c r="G239" i="2"/>
  <c r="C239" i="2"/>
  <c r="F239" i="2"/>
  <c r="G126" i="2"/>
  <c r="C126" i="2"/>
  <c r="F126" i="2"/>
  <c r="B126" i="2"/>
  <c r="G187" i="2"/>
  <c r="F187" i="2"/>
  <c r="C187" i="2"/>
  <c r="B187" i="2"/>
  <c r="G132" i="2"/>
  <c r="C132" i="2"/>
  <c r="B132" i="2"/>
  <c r="F132" i="2"/>
  <c r="B221" i="2"/>
  <c r="G221" i="2"/>
  <c r="F221" i="2"/>
  <c r="C221" i="2"/>
  <c r="B148" i="2"/>
  <c r="G148" i="2"/>
  <c r="C148" i="2"/>
  <c r="F148" i="2"/>
  <c r="F295" i="2"/>
  <c r="G295" i="2"/>
  <c r="C295" i="2"/>
  <c r="B295" i="2"/>
  <c r="C170" i="2"/>
  <c r="G170" i="2"/>
  <c r="F170" i="2"/>
  <c r="B170" i="2"/>
  <c r="G304" i="2"/>
  <c r="F304" i="2"/>
  <c r="C304" i="2"/>
  <c r="B304" i="2"/>
  <c r="B107" i="2"/>
  <c r="G107" i="2"/>
  <c r="C107" i="2"/>
  <c r="F107" i="2"/>
  <c r="B237" i="2"/>
  <c r="F237" i="2"/>
  <c r="C237" i="2"/>
  <c r="G237" i="2"/>
  <c r="G6" i="2"/>
  <c r="F6" i="2"/>
  <c r="B6" i="2"/>
  <c r="C6" i="2"/>
  <c r="C33" i="2"/>
  <c r="B33" i="2"/>
  <c r="G33" i="2"/>
  <c r="F33" i="2"/>
  <c r="G275" i="2"/>
  <c r="C275" i="2"/>
  <c r="F275" i="2"/>
  <c r="B275" i="2"/>
  <c r="G80" i="2"/>
  <c r="F80" i="2"/>
  <c r="C80" i="2"/>
  <c r="B80" i="2"/>
  <c r="B5" i="2"/>
  <c r="G5" i="2"/>
  <c r="F5" i="2"/>
  <c r="C5" i="2"/>
  <c r="F10" i="2"/>
  <c r="G10" i="2"/>
  <c r="C10" i="2"/>
  <c r="B10" i="2"/>
  <c r="G13" i="2"/>
  <c r="B13" i="2"/>
  <c r="F13" i="2"/>
  <c r="C13" i="2"/>
  <c r="C94" i="2"/>
  <c r="F94" i="2"/>
  <c r="B94" i="2"/>
  <c r="G94" i="2"/>
  <c r="B111" i="2"/>
  <c r="G111" i="2"/>
  <c r="F111" i="2"/>
  <c r="C111" i="2"/>
  <c r="G102" i="2"/>
  <c r="F102" i="2"/>
  <c r="C102" i="2"/>
  <c r="B102" i="2"/>
  <c r="B179" i="2"/>
  <c r="G179" i="2"/>
  <c r="F179" i="2"/>
  <c r="C179" i="2"/>
  <c r="C282" i="2"/>
  <c r="B282" i="2"/>
  <c r="F282" i="2"/>
  <c r="G282" i="2"/>
  <c r="C302" i="2"/>
  <c r="B302" i="2"/>
  <c r="G302" i="2"/>
  <c r="F302" i="2"/>
  <c r="G184" i="2"/>
  <c r="F184" i="2"/>
  <c r="C184" i="2"/>
  <c r="B184" i="2"/>
  <c r="F243" i="2"/>
  <c r="G243" i="2"/>
  <c r="C243" i="2"/>
  <c r="B243" i="2"/>
  <c r="B238" i="2"/>
  <c r="G238" i="2"/>
  <c r="F238" i="2"/>
  <c r="C238" i="2"/>
  <c r="B307" i="2"/>
  <c r="G307" i="2"/>
  <c r="F307" i="2"/>
  <c r="C307" i="2"/>
  <c r="F276" i="2"/>
  <c r="G276" i="2"/>
  <c r="B276" i="2"/>
  <c r="C276" i="2"/>
  <c r="G103" i="2"/>
  <c r="F103" i="2"/>
  <c r="C103" i="2"/>
  <c r="B103" i="2"/>
  <c r="C135" i="2"/>
  <c r="B135" i="2"/>
  <c r="G135" i="2"/>
  <c r="F135" i="2"/>
  <c r="B46" i="2"/>
  <c r="C46" i="2"/>
  <c r="F46" i="2"/>
  <c r="G46" i="2"/>
  <c r="F27" i="2"/>
  <c r="G27" i="2"/>
  <c r="C27" i="2"/>
  <c r="B27" i="2"/>
  <c r="C84" i="2"/>
  <c r="G84" i="2"/>
  <c r="B84" i="2"/>
  <c r="F84" i="2"/>
  <c r="G261" i="2"/>
  <c r="F261" i="2"/>
  <c r="C261" i="2"/>
  <c r="B261" i="2"/>
  <c r="F254" i="2"/>
  <c r="G254" i="2"/>
  <c r="B254" i="2"/>
  <c r="C254" i="2"/>
  <c r="F244" i="2"/>
  <c r="B244" i="2"/>
  <c r="G244" i="2"/>
  <c r="C244" i="2"/>
  <c r="F68" i="2"/>
  <c r="C68" i="2"/>
  <c r="B68" i="2"/>
  <c r="G68" i="2"/>
  <c r="G112" i="2"/>
  <c r="F112" i="2"/>
  <c r="C112" i="2"/>
  <c r="B112" i="2"/>
  <c r="F162" i="2"/>
  <c r="B162" i="2"/>
  <c r="G162" i="2"/>
  <c r="C162" i="2"/>
  <c r="C242" i="2"/>
  <c r="B242" i="2"/>
  <c r="G242" i="2"/>
  <c r="F242" i="2"/>
  <c r="F190" i="2"/>
  <c r="B190" i="2"/>
  <c r="G190" i="2"/>
  <c r="C190" i="2"/>
  <c r="B219" i="2"/>
  <c r="G219" i="2"/>
  <c r="C219" i="2"/>
  <c r="F219" i="2"/>
  <c r="G129" i="2"/>
  <c r="F129" i="2"/>
  <c r="C129" i="2"/>
  <c r="B129" i="2"/>
  <c r="G306" i="2"/>
  <c r="C306" i="2"/>
  <c r="F306" i="2"/>
  <c r="B306" i="2"/>
  <c r="C125" i="2"/>
  <c r="G125" i="2"/>
  <c r="F125" i="2"/>
  <c r="B125" i="2"/>
  <c r="G36" i="2"/>
  <c r="F36" i="2"/>
  <c r="C36" i="2"/>
  <c r="B36" i="2"/>
  <c r="B47" i="2"/>
  <c r="G47" i="2"/>
  <c r="F47" i="2"/>
  <c r="C47" i="2"/>
  <c r="B136" i="2"/>
  <c r="C136" i="2"/>
  <c r="G136" i="2"/>
  <c r="F136" i="2"/>
  <c r="C180" i="2"/>
  <c r="G180" i="2"/>
  <c r="F180" i="2"/>
  <c r="B180" i="2"/>
  <c r="F127" i="2"/>
  <c r="C127" i="2"/>
  <c r="B127" i="2"/>
  <c r="G127" i="2"/>
  <c r="G118" i="2"/>
  <c r="F118" i="2"/>
  <c r="C118" i="2"/>
  <c r="B118" i="2"/>
  <c r="G151" i="2"/>
  <c r="F151" i="2"/>
  <c r="B151" i="2"/>
  <c r="C151" i="2"/>
  <c r="B196" i="2"/>
  <c r="G196" i="2"/>
  <c r="F196" i="2"/>
  <c r="C196" i="2"/>
  <c r="C140" i="2"/>
  <c r="G140" i="2"/>
  <c r="F140" i="2"/>
  <c r="B140" i="2"/>
  <c r="F185" i="2"/>
  <c r="C185" i="2"/>
  <c r="B185" i="2"/>
  <c r="G185" i="2"/>
  <c r="G89" i="2"/>
  <c r="F89" i="2"/>
  <c r="C89" i="2"/>
  <c r="B89" i="2"/>
  <c r="G29" i="2"/>
  <c r="C29" i="2"/>
  <c r="B29" i="2"/>
  <c r="F29" i="2"/>
  <c r="C182" i="2"/>
  <c r="B182" i="2"/>
  <c r="G182" i="2"/>
  <c r="F182" i="2"/>
  <c r="G141" i="2"/>
  <c r="F141" i="2"/>
  <c r="B141" i="2"/>
  <c r="C141" i="2"/>
  <c r="C58" i="2"/>
  <c r="B58" i="2"/>
  <c r="G58" i="2"/>
  <c r="F58" i="2"/>
  <c r="G42" i="2"/>
  <c r="F42" i="2"/>
  <c r="C42" i="2"/>
  <c r="B42" i="2"/>
  <c r="G43" i="2"/>
  <c r="F43" i="2"/>
  <c r="C43" i="2"/>
  <c r="B43" i="2"/>
  <c r="F158" i="2"/>
  <c r="B158" i="2"/>
  <c r="G158" i="2"/>
  <c r="C158" i="2"/>
  <c r="G142" i="2"/>
  <c r="F142" i="2"/>
  <c r="C142" i="2"/>
  <c r="B142" i="2"/>
  <c r="G120" i="2"/>
  <c r="F120" i="2"/>
  <c r="C120" i="2"/>
  <c r="B120" i="2"/>
  <c r="G258" i="2"/>
  <c r="B258" i="2"/>
  <c r="F258" i="2"/>
  <c r="C258" i="2"/>
  <c r="G284" i="2"/>
  <c r="F284" i="2"/>
  <c r="C284" i="2"/>
  <c r="B284" i="2"/>
  <c r="C195" i="2"/>
  <c r="G195" i="2"/>
  <c r="F195" i="2"/>
  <c r="B195" i="2"/>
  <c r="B197" i="2"/>
  <c r="G197" i="2"/>
  <c r="F197" i="2"/>
  <c r="C197" i="2"/>
  <c r="C90" i="2"/>
  <c r="B90" i="2"/>
  <c r="G90" i="2"/>
  <c r="F90" i="2"/>
  <c r="B250" i="2"/>
  <c r="C250" i="2"/>
  <c r="F250" i="2"/>
  <c r="G250" i="2"/>
  <c r="G134" i="2"/>
  <c r="F134" i="2"/>
  <c r="C134" i="2"/>
  <c r="B134" i="2"/>
  <c r="F296" i="2"/>
  <c r="G296" i="2"/>
  <c r="C296" i="2"/>
  <c r="B296" i="2"/>
  <c r="C128" i="2"/>
  <c r="B128" i="2"/>
  <c r="G128" i="2"/>
  <c r="F128" i="2"/>
  <c r="C222" i="2"/>
  <c r="B222" i="2"/>
  <c r="G222" i="2"/>
  <c r="F222" i="2"/>
  <c r="F21" i="2"/>
  <c r="C21" i="2"/>
  <c r="G21" i="2"/>
  <c r="B21" i="2"/>
  <c r="G234" i="2"/>
  <c r="F234" i="2"/>
  <c r="C234" i="2"/>
  <c r="B234" i="2"/>
  <c r="G208" i="2"/>
  <c r="B208" i="2"/>
  <c r="F208" i="2"/>
  <c r="C208" i="2"/>
  <c r="G48" i="2"/>
  <c r="F48" i="2"/>
  <c r="B48" i="2"/>
  <c r="C48" i="2"/>
  <c r="B51" i="2"/>
  <c r="G51" i="2"/>
  <c r="F51" i="2"/>
  <c r="C51" i="2"/>
  <c r="C212" i="2"/>
  <c r="B212" i="2"/>
  <c r="G212" i="2"/>
  <c r="F212" i="2"/>
  <c r="G95" i="2"/>
  <c r="F95" i="2"/>
  <c r="C95" i="2"/>
  <c r="B95" i="2"/>
  <c r="B309" i="2"/>
  <c r="G309" i="2"/>
  <c r="F309" i="2"/>
  <c r="C309" i="2"/>
  <c r="G255" i="2"/>
  <c r="F255" i="2"/>
  <c r="C255" i="2"/>
  <c r="B255" i="2"/>
  <c r="G63" i="2"/>
  <c r="F63" i="2"/>
  <c r="C63" i="2"/>
  <c r="B63" i="2"/>
  <c r="G186" i="2"/>
  <c r="F186" i="2"/>
  <c r="C186" i="2"/>
  <c r="B186" i="2"/>
  <c r="G100" i="2"/>
  <c r="C100" i="2"/>
  <c r="F100" i="2"/>
  <c r="B100" i="2"/>
  <c r="C300" i="2"/>
  <c r="F300" i="2"/>
  <c r="B300" i="2"/>
  <c r="G300" i="2"/>
  <c r="G72" i="2"/>
  <c r="B72" i="2"/>
  <c r="F72" i="2"/>
  <c r="C72" i="2"/>
  <c r="F93" i="2"/>
  <c r="C93" i="2"/>
  <c r="B93" i="2"/>
  <c r="G93" i="2"/>
  <c r="G272" i="2"/>
  <c r="F272" i="2"/>
  <c r="C272" i="2"/>
  <c r="B272" i="2"/>
  <c r="C260" i="2"/>
  <c r="G260" i="2"/>
  <c r="F260" i="2"/>
  <c r="B260" i="2"/>
  <c r="G176" i="2"/>
  <c r="F176" i="2"/>
  <c r="C176" i="2"/>
  <c r="B176" i="2"/>
  <c r="G251" i="2"/>
  <c r="B251" i="2"/>
  <c r="F251" i="2"/>
  <c r="C251" i="2"/>
  <c r="G227" i="2"/>
  <c r="B227" i="2"/>
  <c r="F227" i="2"/>
  <c r="C227" i="2"/>
  <c r="G105" i="2"/>
  <c r="B105" i="2"/>
  <c r="C105" i="2"/>
  <c r="F105" i="2"/>
  <c r="C264" i="2"/>
  <c r="G264" i="2"/>
  <c r="B264" i="2"/>
  <c r="F264" i="2"/>
  <c r="G16" i="2"/>
  <c r="F16" i="2"/>
  <c r="B16" i="2"/>
  <c r="C16" i="2"/>
  <c r="G24" i="2"/>
  <c r="F24" i="2"/>
  <c r="B24" i="2"/>
  <c r="C24" i="2"/>
  <c r="G164" i="2"/>
  <c r="F164" i="2"/>
  <c r="C164" i="2"/>
  <c r="B164" i="2"/>
  <c r="G268" i="2"/>
  <c r="F268" i="2"/>
  <c r="C268" i="2"/>
  <c r="B268" i="2"/>
  <c r="C78" i="2"/>
  <c r="G78" i="2"/>
  <c r="F78" i="2"/>
  <c r="B78" i="2"/>
  <c r="F172" i="2"/>
  <c r="B172" i="2"/>
  <c r="C172" i="2"/>
  <c r="G172" i="2"/>
  <c r="G86" i="2"/>
  <c r="F86" i="2"/>
  <c r="C86" i="2"/>
  <c r="B86" i="2"/>
  <c r="G49" i="2"/>
  <c r="F49" i="2"/>
  <c r="C49" i="2"/>
  <c r="B49" i="2"/>
  <c r="F198" i="2"/>
  <c r="B198" i="2"/>
  <c r="G198" i="2"/>
  <c r="C198" i="2"/>
  <c r="F156" i="2"/>
  <c r="C156" i="2"/>
  <c r="B156" i="2"/>
  <c r="G156" i="2"/>
  <c r="G131" i="2"/>
  <c r="F131" i="2"/>
  <c r="C131" i="2"/>
  <c r="B131" i="2"/>
  <c r="F17" i="2"/>
  <c r="C17" i="2"/>
  <c r="B17" i="2"/>
  <c r="G17" i="2"/>
  <c r="B11" i="2"/>
  <c r="F11" i="2"/>
  <c r="G11" i="2"/>
  <c r="C11" i="2"/>
  <c r="C213" i="2"/>
  <c r="F213" i="2"/>
  <c r="B213" i="2"/>
  <c r="G213" i="2"/>
  <c r="B210" i="2"/>
  <c r="G210" i="2"/>
  <c r="F210" i="2"/>
  <c r="C210" i="2"/>
  <c r="C110" i="2"/>
  <c r="B110" i="2"/>
  <c r="G110" i="2"/>
  <c r="F110" i="2"/>
  <c r="C262" i="2"/>
  <c r="B262" i="2"/>
  <c r="F262" i="2"/>
  <c r="G262" i="2"/>
  <c r="C154" i="2"/>
  <c r="B154" i="2"/>
  <c r="F154" i="2"/>
  <c r="G154" i="2"/>
  <c r="G310" i="2"/>
  <c r="F310" i="2"/>
  <c r="C310" i="2"/>
  <c r="B310" i="2"/>
  <c r="I266" i="2" l="1"/>
  <c r="H266" i="2"/>
  <c r="I193" i="2"/>
  <c r="H193" i="2"/>
  <c r="I217" i="2"/>
  <c r="H217" i="2"/>
  <c r="I297" i="2"/>
  <c r="H297" i="2"/>
  <c r="I49" i="2"/>
  <c r="H49" i="2"/>
  <c r="H164" i="2"/>
  <c r="I164" i="2"/>
  <c r="H63" i="2"/>
  <c r="I63" i="2"/>
  <c r="I120" i="2"/>
  <c r="H120" i="2"/>
  <c r="I243" i="2"/>
  <c r="H243" i="2"/>
  <c r="I102" i="2"/>
  <c r="H102" i="2"/>
  <c r="I237" i="2"/>
  <c r="H237" i="2"/>
  <c r="I148" i="2"/>
  <c r="H148" i="2"/>
  <c r="I239" i="2"/>
  <c r="H239" i="2"/>
  <c r="H211" i="2"/>
  <c r="I211" i="2"/>
  <c r="H7" i="2"/>
  <c r="I7" i="2"/>
  <c r="H40" i="2"/>
  <c r="I40" i="2"/>
  <c r="I230" i="2"/>
  <c r="H230" i="2"/>
  <c r="I205" i="2"/>
  <c r="H205" i="2"/>
  <c r="I308" i="2"/>
  <c r="H308" i="2"/>
  <c r="H288" i="2"/>
  <c r="I288" i="2"/>
  <c r="I133" i="2"/>
  <c r="H133" i="2"/>
  <c r="H104" i="2"/>
  <c r="I104" i="2"/>
  <c r="I35" i="2"/>
  <c r="H35" i="2"/>
  <c r="H291" i="2"/>
  <c r="I291" i="2"/>
  <c r="I139" i="2"/>
  <c r="H139" i="2"/>
  <c r="H229" i="2"/>
  <c r="I229" i="2"/>
  <c r="I303" i="2"/>
  <c r="H303" i="2"/>
  <c r="I93" i="2"/>
  <c r="H93" i="2"/>
  <c r="H185" i="2"/>
  <c r="I185" i="2"/>
  <c r="I127" i="2"/>
  <c r="H127" i="2"/>
  <c r="I224" i="2"/>
  <c r="H224" i="2"/>
  <c r="H79" i="2"/>
  <c r="I79" i="2"/>
  <c r="H124" i="2"/>
  <c r="I124" i="2"/>
  <c r="I69" i="2"/>
  <c r="H69" i="2"/>
  <c r="I77" i="2"/>
  <c r="H77" i="2"/>
  <c r="I163" i="2"/>
  <c r="H163" i="2"/>
  <c r="I8" i="2"/>
  <c r="H8" i="2"/>
  <c r="I73" i="2"/>
  <c r="H73" i="2"/>
  <c r="I65" i="2"/>
  <c r="H65" i="2"/>
  <c r="H121" i="2"/>
  <c r="I121" i="2"/>
  <c r="I37" i="2"/>
  <c r="H37" i="2"/>
  <c r="H19" i="2"/>
  <c r="I19" i="2"/>
  <c r="I111" i="2"/>
  <c r="H111" i="2"/>
  <c r="I98" i="2"/>
  <c r="H98" i="2"/>
  <c r="I5" i="2"/>
  <c r="H5" i="2"/>
  <c r="B63" i="4"/>
  <c r="F62" i="4"/>
  <c r="G65" i="4"/>
  <c r="F65" i="4"/>
  <c r="H65" i="4" s="1"/>
  <c r="D62" i="4"/>
  <c r="C68" i="4"/>
  <c r="F67" i="4"/>
  <c r="H67" i="4" s="1"/>
  <c r="E67" i="4"/>
  <c r="B69" i="4"/>
  <c r="G70" i="4"/>
  <c r="E65" i="4"/>
  <c r="C62" i="4"/>
  <c r="G61" i="4"/>
  <c r="D61" i="4"/>
  <c r="F66" i="4"/>
  <c r="H66" i="4" s="1"/>
  <c r="G67" i="4"/>
  <c r="C61" i="4"/>
  <c r="B61" i="4"/>
  <c r="D66" i="4"/>
  <c r="C66" i="4"/>
  <c r="E64" i="4"/>
  <c r="F70" i="4"/>
  <c r="H70" i="4" s="1"/>
  <c r="D65" i="4"/>
  <c r="B62" i="4"/>
  <c r="E70" i="4"/>
  <c r="C65" i="4"/>
  <c r="I69" i="4"/>
  <c r="J69" i="4" s="1"/>
  <c r="D69" i="4"/>
  <c r="D67" i="4"/>
  <c r="B66" i="4"/>
  <c r="G68" i="4"/>
  <c r="F68" i="4"/>
  <c r="H68" i="4" s="1"/>
  <c r="D70" i="4"/>
  <c r="B65" i="4"/>
  <c r="F61" i="4"/>
  <c r="E69" i="4"/>
  <c r="C69" i="4"/>
  <c r="F63" i="4"/>
  <c r="E68" i="4"/>
  <c r="C70" i="4"/>
  <c r="D68" i="4"/>
  <c r="B70" i="4"/>
  <c r="E66" i="4"/>
  <c r="I63" i="4"/>
  <c r="F64" i="4"/>
  <c r="H64" i="4" s="1"/>
  <c r="C67" i="4"/>
  <c r="B68" i="4"/>
  <c r="G69" i="4"/>
  <c r="E61" i="4"/>
  <c r="G66" i="4"/>
  <c r="F69" i="4"/>
  <c r="H69" i="4" s="1"/>
  <c r="G64" i="4"/>
  <c r="D64" i="4"/>
  <c r="B67" i="4"/>
  <c r="E63" i="4"/>
  <c r="E62" i="4"/>
  <c r="G63" i="4"/>
  <c r="C64" i="4"/>
  <c r="D63" i="4"/>
  <c r="B64" i="4"/>
  <c r="C63" i="4"/>
  <c r="G62" i="4"/>
  <c r="H22" i="2"/>
  <c r="I22" i="2"/>
  <c r="I24" i="2"/>
  <c r="H24" i="2"/>
  <c r="I141" i="2"/>
  <c r="H141" i="2"/>
  <c r="H56" i="2"/>
  <c r="I56" i="2"/>
  <c r="I255" i="2"/>
  <c r="H255" i="2"/>
  <c r="H103" i="2"/>
  <c r="I103" i="2"/>
  <c r="I20" i="2"/>
  <c r="H20" i="2"/>
  <c r="I70" i="4" s="1"/>
  <c r="J70" i="4" s="1"/>
  <c r="H306" i="2"/>
  <c r="I306" i="2"/>
  <c r="H31" i="2"/>
  <c r="I31" i="2"/>
  <c r="H189" i="2"/>
  <c r="I189" i="2"/>
  <c r="I265" i="2"/>
  <c r="H265" i="2"/>
  <c r="I145" i="2"/>
  <c r="H145" i="2"/>
  <c r="I232" i="2"/>
  <c r="H232" i="2"/>
  <c r="I172" i="2"/>
  <c r="H172" i="2"/>
  <c r="I192" i="2"/>
  <c r="H192" i="2"/>
  <c r="H116" i="2"/>
  <c r="I116" i="2"/>
  <c r="I245" i="2"/>
  <c r="H245" i="2"/>
  <c r="I92" i="2"/>
  <c r="H92" i="2"/>
  <c r="I113" i="2"/>
  <c r="H113" i="2"/>
  <c r="I53" i="2"/>
  <c r="H53" i="2"/>
  <c r="I285" i="2"/>
  <c r="H285" i="2"/>
  <c r="I110" i="2"/>
  <c r="H110" i="2"/>
  <c r="I300" i="2"/>
  <c r="H300" i="2"/>
  <c r="I195" i="2"/>
  <c r="H195" i="2"/>
  <c r="I182" i="2"/>
  <c r="H182" i="2"/>
  <c r="I84" i="2"/>
  <c r="H84" i="2"/>
  <c r="H302" i="2"/>
  <c r="I302" i="2"/>
  <c r="I94" i="2"/>
  <c r="H94" i="2"/>
  <c r="H25" i="2"/>
  <c r="I25" i="2"/>
  <c r="I18" i="2"/>
  <c r="H18" i="2"/>
  <c r="I68" i="4" s="1"/>
  <c r="J68" i="4" s="1"/>
  <c r="I214" i="2"/>
  <c r="H214" i="2"/>
  <c r="H178" i="2"/>
  <c r="I178" i="2"/>
  <c r="I194" i="2"/>
  <c r="H194" i="2"/>
  <c r="H269" i="2"/>
  <c r="I269" i="2"/>
  <c r="I50" i="2"/>
  <c r="H50" i="2"/>
  <c r="H48" i="2"/>
  <c r="I48" i="2"/>
  <c r="I162" i="2"/>
  <c r="H162" i="2"/>
  <c r="I199" i="2"/>
  <c r="H199" i="2"/>
  <c r="I86" i="2"/>
  <c r="H86" i="2"/>
  <c r="I278" i="2"/>
  <c r="H278" i="2"/>
  <c r="I54" i="2"/>
  <c r="H54" i="2"/>
  <c r="I252" i="2"/>
  <c r="H252" i="2"/>
  <c r="H191" i="2"/>
  <c r="I191" i="2"/>
  <c r="I123" i="2"/>
  <c r="H123" i="2"/>
  <c r="I168" i="2"/>
  <c r="H168" i="2"/>
  <c r="I307" i="2"/>
  <c r="H307" i="2"/>
  <c r="I223" i="2"/>
  <c r="H223" i="2"/>
  <c r="I115" i="2"/>
  <c r="H115" i="2"/>
  <c r="I226" i="2"/>
  <c r="H226" i="2"/>
  <c r="I95" i="2"/>
  <c r="H95" i="2"/>
  <c r="I234" i="2"/>
  <c r="H234" i="2"/>
  <c r="H134" i="2"/>
  <c r="I134" i="2"/>
  <c r="I284" i="2"/>
  <c r="H284" i="2"/>
  <c r="H43" i="2"/>
  <c r="I43" i="2"/>
  <c r="I219" i="2"/>
  <c r="H219" i="2"/>
  <c r="H27" i="2"/>
  <c r="I27" i="2"/>
  <c r="I187" i="2"/>
  <c r="H187" i="2"/>
  <c r="I150" i="2"/>
  <c r="H150" i="2"/>
  <c r="I235" i="2"/>
  <c r="H235" i="2"/>
  <c r="I177" i="2"/>
  <c r="H177" i="2"/>
  <c r="H119" i="2"/>
  <c r="I119" i="2"/>
  <c r="I60" i="2"/>
  <c r="H60" i="2"/>
  <c r="I138" i="2"/>
  <c r="H138" i="2"/>
  <c r="H271" i="2"/>
  <c r="I271" i="2"/>
  <c r="I174" i="2"/>
  <c r="H174" i="2"/>
  <c r="H75" i="2"/>
  <c r="I75" i="2"/>
  <c r="I41" i="2"/>
  <c r="H41" i="2"/>
  <c r="I248" i="2"/>
  <c r="H248" i="2"/>
  <c r="I228" i="2"/>
  <c r="H228" i="2"/>
  <c r="H130" i="2"/>
  <c r="I130" i="2"/>
  <c r="H166" i="2"/>
  <c r="I166" i="2"/>
  <c r="I39" i="2"/>
  <c r="H39" i="2"/>
  <c r="I30" i="2"/>
  <c r="H30" i="2"/>
  <c r="I276" i="2"/>
  <c r="H276" i="2"/>
  <c r="H129" i="2"/>
  <c r="I129" i="2"/>
  <c r="I201" i="2"/>
  <c r="H201" i="2"/>
  <c r="H59" i="2"/>
  <c r="I59" i="2"/>
  <c r="H68" i="2"/>
  <c r="I68" i="2"/>
  <c r="H287" i="2"/>
  <c r="I287" i="2"/>
  <c r="I81" i="2"/>
  <c r="H81" i="2"/>
  <c r="I117" i="2"/>
  <c r="H117" i="2"/>
  <c r="I216" i="2"/>
  <c r="H216" i="2"/>
  <c r="I61" i="2"/>
  <c r="H61" i="2"/>
  <c r="H83" i="2"/>
  <c r="I83" i="2"/>
  <c r="H64" i="2"/>
  <c r="I64" i="2"/>
  <c r="I11" i="2"/>
  <c r="H11" i="2"/>
  <c r="I61" i="4" s="1"/>
  <c r="I58" i="2"/>
  <c r="H58" i="2"/>
  <c r="H242" i="2"/>
  <c r="I242" i="2"/>
  <c r="I204" i="2"/>
  <c r="H204" i="2"/>
  <c r="I197" i="2"/>
  <c r="H197" i="2"/>
  <c r="I67" i="2"/>
  <c r="H67" i="2"/>
  <c r="I144" i="2"/>
  <c r="H144" i="2"/>
  <c r="H262" i="2"/>
  <c r="I262" i="2"/>
  <c r="H180" i="2"/>
  <c r="I180" i="2"/>
  <c r="I240" i="2"/>
  <c r="H240" i="2"/>
  <c r="I16" i="2"/>
  <c r="H16" i="2"/>
  <c r="I66" i="4" s="1"/>
  <c r="J66" i="4" s="1"/>
  <c r="I28" i="2"/>
  <c r="H28" i="2"/>
  <c r="H304" i="2"/>
  <c r="I304" i="2"/>
  <c r="H149" i="2"/>
  <c r="I149" i="2"/>
  <c r="H206" i="2"/>
  <c r="I206" i="2"/>
  <c r="I96" i="2"/>
  <c r="H96" i="2"/>
  <c r="I151" i="2"/>
  <c r="H151" i="2"/>
  <c r="I246" i="2"/>
  <c r="H246" i="2"/>
  <c r="I173" i="2"/>
  <c r="H173" i="2"/>
  <c r="I263" i="2"/>
  <c r="H263" i="2"/>
  <c r="I29" i="2"/>
  <c r="H29" i="2"/>
  <c r="I78" i="2"/>
  <c r="H78" i="2"/>
  <c r="I264" i="2"/>
  <c r="H264" i="2"/>
  <c r="I260" i="2"/>
  <c r="H260" i="2"/>
  <c r="H282" i="2"/>
  <c r="I282" i="2"/>
  <c r="H33" i="2"/>
  <c r="I33" i="2"/>
  <c r="I170" i="2"/>
  <c r="H170" i="2"/>
  <c r="H280" i="2"/>
  <c r="I280" i="2"/>
  <c r="I293" i="2"/>
  <c r="H293" i="2"/>
  <c r="H147" i="2"/>
  <c r="I147" i="2"/>
  <c r="I200" i="2"/>
  <c r="H200" i="2"/>
  <c r="I253" i="2"/>
  <c r="H253" i="2"/>
  <c r="H38" i="2"/>
  <c r="I38" i="2"/>
  <c r="I34" i="2"/>
  <c r="H34" i="2"/>
  <c r="H44" i="2"/>
  <c r="I44" i="2"/>
  <c r="H14" i="2"/>
  <c r="I64" i="4" s="1"/>
  <c r="J64" i="4" s="1"/>
  <c r="I14" i="2"/>
  <c r="I74" i="2"/>
  <c r="H74" i="2"/>
  <c r="I227" i="2"/>
  <c r="H227" i="2"/>
  <c r="I254" i="2"/>
  <c r="H254" i="2"/>
  <c r="I154" i="2"/>
  <c r="H154" i="2"/>
  <c r="H135" i="2"/>
  <c r="I135" i="2"/>
  <c r="H281" i="2"/>
  <c r="I281" i="2"/>
  <c r="H184" i="2"/>
  <c r="I184" i="2"/>
  <c r="I140" i="2"/>
  <c r="H140" i="2"/>
  <c r="I296" i="2"/>
  <c r="H296" i="2"/>
  <c r="I290" i="2"/>
  <c r="H290" i="2"/>
  <c r="H47" i="2"/>
  <c r="I47" i="2"/>
  <c r="I6" i="2"/>
  <c r="H6" i="2"/>
  <c r="H231" i="2"/>
  <c r="I231" i="2"/>
  <c r="H169" i="2"/>
  <c r="I169" i="2"/>
  <c r="I257" i="2"/>
  <c r="H257" i="2"/>
  <c r="I85" i="2"/>
  <c r="H85" i="2"/>
  <c r="H76" i="2"/>
  <c r="I76" i="2"/>
  <c r="I171" i="2"/>
  <c r="H171" i="2"/>
  <c r="I32" i="2"/>
  <c r="H32" i="2"/>
  <c r="H299" i="2"/>
  <c r="I299" i="2"/>
  <c r="I279" i="2"/>
  <c r="H279" i="2"/>
  <c r="H289" i="2"/>
  <c r="I289" i="2"/>
  <c r="I9" i="2"/>
  <c r="H9" i="2"/>
  <c r="I159" i="2"/>
  <c r="H159" i="2"/>
  <c r="I155" i="2"/>
  <c r="H155" i="2"/>
  <c r="H90" i="2"/>
  <c r="I90" i="2"/>
  <c r="I125" i="2"/>
  <c r="H125" i="2"/>
  <c r="H251" i="2"/>
  <c r="I251" i="2"/>
  <c r="I183" i="2"/>
  <c r="H183" i="2"/>
  <c r="I88" i="2"/>
  <c r="H88" i="2"/>
  <c r="H142" i="2"/>
  <c r="I142" i="2"/>
  <c r="I261" i="2"/>
  <c r="H261" i="2"/>
  <c r="H249" i="2"/>
  <c r="I249" i="2"/>
  <c r="H218" i="2"/>
  <c r="I218" i="2"/>
  <c r="I292" i="2"/>
  <c r="H292" i="2"/>
  <c r="I225" i="2"/>
  <c r="H225" i="2"/>
  <c r="I208" i="2"/>
  <c r="H208" i="2"/>
  <c r="I196" i="2"/>
  <c r="H196" i="2"/>
  <c r="I91" i="2"/>
  <c r="H91" i="2"/>
  <c r="H259" i="2"/>
  <c r="I259" i="2"/>
  <c r="I176" i="2"/>
  <c r="H176" i="2"/>
  <c r="H298" i="2"/>
  <c r="I298" i="2"/>
  <c r="H267" i="2"/>
  <c r="I267" i="2"/>
  <c r="I136" i="2"/>
  <c r="H136" i="2"/>
  <c r="I132" i="2"/>
  <c r="H132" i="2"/>
  <c r="H198" i="2"/>
  <c r="I198" i="2"/>
  <c r="I190" i="2"/>
  <c r="H190" i="2"/>
  <c r="I238" i="2"/>
  <c r="H238" i="2"/>
  <c r="I310" i="2"/>
  <c r="H310" i="2"/>
  <c r="I268" i="2"/>
  <c r="H268" i="2"/>
  <c r="I105" i="2"/>
  <c r="H105" i="2"/>
  <c r="I272" i="2"/>
  <c r="H272" i="2"/>
  <c r="H186" i="2"/>
  <c r="I186" i="2"/>
  <c r="H42" i="2"/>
  <c r="I42" i="2"/>
  <c r="I89" i="2"/>
  <c r="H89" i="2"/>
  <c r="I118" i="2"/>
  <c r="H118" i="2"/>
  <c r="H36" i="2"/>
  <c r="I36" i="2"/>
  <c r="I10" i="2"/>
  <c r="H10" i="2"/>
  <c r="I295" i="2"/>
  <c r="H295" i="2"/>
  <c r="H161" i="2"/>
  <c r="I161" i="2"/>
  <c r="I82" i="2"/>
  <c r="H82" i="2"/>
  <c r="H247" i="2"/>
  <c r="I247" i="2"/>
  <c r="I188" i="2"/>
  <c r="H188" i="2"/>
  <c r="H167" i="2"/>
  <c r="I167" i="2"/>
  <c r="H286" i="2"/>
  <c r="I286" i="2"/>
  <c r="H97" i="2"/>
  <c r="I97" i="2"/>
  <c r="I122" i="2"/>
  <c r="H122" i="2"/>
  <c r="I175" i="2"/>
  <c r="H175" i="2"/>
  <c r="I294" i="2"/>
  <c r="H294" i="2"/>
  <c r="I12" i="2"/>
  <c r="H12" i="2"/>
  <c r="I62" i="4" s="1"/>
  <c r="I72" i="2"/>
  <c r="H72" i="2"/>
  <c r="I221" i="2"/>
  <c r="H221" i="2"/>
  <c r="H87" i="2"/>
  <c r="I87" i="2"/>
  <c r="I108" i="2"/>
  <c r="H108" i="2"/>
  <c r="H109" i="2"/>
  <c r="I109" i="2"/>
  <c r="H107" i="2"/>
  <c r="I107" i="2"/>
  <c r="I66" i="2"/>
  <c r="H66" i="2"/>
  <c r="I26" i="2"/>
  <c r="H26" i="2"/>
  <c r="H99" i="2"/>
  <c r="I99" i="2"/>
  <c r="I128" i="2"/>
  <c r="H128" i="2"/>
  <c r="H181" i="2"/>
  <c r="I181" i="2"/>
  <c r="I106" i="2"/>
  <c r="H106" i="2"/>
  <c r="I71" i="2"/>
  <c r="H71" i="2"/>
  <c r="I277" i="2"/>
  <c r="H277" i="2"/>
  <c r="I203" i="2"/>
  <c r="H203" i="2"/>
  <c r="I131" i="2"/>
  <c r="H131" i="2"/>
  <c r="I215" i="2"/>
  <c r="H215" i="2"/>
  <c r="I45" i="2"/>
  <c r="H45" i="2"/>
  <c r="H256" i="2"/>
  <c r="I256" i="2"/>
  <c r="I274" i="2"/>
  <c r="H274" i="2"/>
  <c r="I210" i="2"/>
  <c r="H210" i="2"/>
  <c r="H13" i="2"/>
  <c r="I13" i="2"/>
  <c r="I156" i="2"/>
  <c r="H156" i="2"/>
  <c r="I258" i="2"/>
  <c r="H258" i="2"/>
  <c r="I21" i="2"/>
  <c r="H21" i="2"/>
  <c r="H250" i="2"/>
  <c r="I250" i="2"/>
  <c r="I46" i="2"/>
  <c r="H46" i="2"/>
  <c r="H126" i="2"/>
  <c r="I126" i="2"/>
  <c r="I15" i="2"/>
  <c r="H15" i="2"/>
  <c r="I65" i="4" s="1"/>
  <c r="J65" i="4" s="1"/>
  <c r="I57" i="2"/>
  <c r="H57" i="2"/>
  <c r="I101" i="2"/>
  <c r="H101" i="2"/>
  <c r="I62" i="2"/>
  <c r="H62" i="2"/>
  <c r="H137" i="2"/>
  <c r="I137" i="2"/>
  <c r="I305" i="2"/>
  <c r="H305" i="2"/>
  <c r="I283" i="2"/>
  <c r="H283" i="2"/>
  <c r="H146" i="2"/>
  <c r="I146" i="2"/>
  <c r="I51" i="2"/>
  <c r="H51" i="2"/>
  <c r="H222" i="2"/>
  <c r="I222" i="2"/>
  <c r="H55" i="2"/>
  <c r="I55" i="2"/>
  <c r="H80" i="2"/>
  <c r="I80" i="2"/>
  <c r="H23" i="2"/>
  <c r="I23" i="2"/>
  <c r="H236" i="2"/>
  <c r="I236" i="2"/>
  <c r="I241" i="2"/>
  <c r="H241" i="2"/>
  <c r="H17" i="2"/>
  <c r="I67" i="4" s="1"/>
  <c r="J67" i="4" s="1"/>
  <c r="I17" i="2"/>
  <c r="I270" i="2"/>
  <c r="H270" i="2"/>
  <c r="H209" i="2"/>
  <c r="I209" i="2"/>
  <c r="I160" i="2"/>
  <c r="H160" i="2"/>
  <c r="I233" i="2"/>
  <c r="H233" i="2"/>
  <c r="H309" i="2"/>
  <c r="I309" i="2"/>
  <c r="I158" i="2"/>
  <c r="H158" i="2"/>
  <c r="I157" i="2"/>
  <c r="H157" i="2"/>
  <c r="I112" i="2"/>
  <c r="H112" i="2"/>
  <c r="H52" i="2"/>
  <c r="I52" i="2"/>
  <c r="I153" i="2"/>
  <c r="H153" i="2"/>
  <c r="I275" i="2"/>
  <c r="H275" i="2"/>
  <c r="I143" i="2"/>
  <c r="H143" i="2"/>
  <c r="I152" i="2"/>
  <c r="H152" i="2"/>
  <c r="I100" i="2"/>
  <c r="H100" i="2"/>
  <c r="I244" i="2"/>
  <c r="H244" i="2"/>
  <c r="I179" i="2"/>
  <c r="H179" i="2"/>
  <c r="I213" i="2"/>
  <c r="H213" i="2"/>
  <c r="I212" i="2"/>
  <c r="H212" i="2"/>
  <c r="H273" i="2"/>
  <c r="I273" i="2"/>
  <c r="H207" i="2"/>
  <c r="I207" i="2"/>
  <c r="I70" i="2"/>
  <c r="H70" i="2"/>
  <c r="I220" i="2"/>
  <c r="H220" i="2"/>
  <c r="H202" i="2"/>
  <c r="I202" i="2"/>
  <c r="I114" i="2"/>
  <c r="H114" i="2"/>
  <c r="I301" i="2"/>
  <c r="H301" i="2"/>
  <c r="H165" i="2"/>
  <c r="I165" i="2"/>
  <c r="H63" i="4" l="1"/>
  <c r="J63" i="4" s="1"/>
  <c r="H62" i="4"/>
  <c r="J62" i="4" s="1"/>
  <c r="H3" i="3"/>
  <c r="H61" i="4"/>
  <c r="J61" i="4" s="1"/>
  <c r="E3" i="3"/>
  <c r="B3" i="3" l="1"/>
  <c r="H14" i="3"/>
  <c r="D6" i="3"/>
  <c r="G13" i="3"/>
  <c r="G10" i="3"/>
  <c r="H12" i="3"/>
  <c r="G14" i="3"/>
  <c r="C6" i="3"/>
  <c r="F13" i="3"/>
  <c r="F10" i="3"/>
  <c r="B9" i="3"/>
  <c r="F14" i="3"/>
  <c r="B6" i="3"/>
  <c r="E13" i="3"/>
  <c r="J11" i="3"/>
  <c r="F12" i="3"/>
  <c r="I11" i="3"/>
  <c r="F7" i="3"/>
  <c r="B8" i="3"/>
  <c r="E10" i="3"/>
  <c r="B10" i="3"/>
  <c r="J6" i="3"/>
  <c r="D13" i="3"/>
  <c r="G8" i="3"/>
  <c r="E9" i="3"/>
  <c r="E14" i="3"/>
  <c r="D10" i="3"/>
  <c r="F15" i="3"/>
  <c r="C12" i="3"/>
  <c r="I6" i="3"/>
  <c r="C13" i="3"/>
  <c r="J7" i="3"/>
  <c r="H11" i="3"/>
  <c r="H6" i="3"/>
  <c r="B13" i="3"/>
  <c r="I7" i="3"/>
  <c r="G11" i="3"/>
  <c r="E8" i="3"/>
  <c r="D11" i="3"/>
  <c r="J8" i="3"/>
  <c r="G9" i="3"/>
  <c r="B7" i="3"/>
  <c r="D9" i="3"/>
  <c r="G6" i="3"/>
  <c r="H7" i="3"/>
  <c r="F11" i="3"/>
  <c r="D8" i="3"/>
  <c r="J15" i="3"/>
  <c r="H15" i="3"/>
  <c r="D14" i="3"/>
  <c r="D12" i="3"/>
  <c r="F6" i="3"/>
  <c r="G7" i="3"/>
  <c r="E11" i="3"/>
  <c r="C8" i="3"/>
  <c r="J9" i="3"/>
  <c r="I9" i="3"/>
  <c r="E7" i="3"/>
  <c r="C11" i="3"/>
  <c r="I8" i="3"/>
  <c r="C7" i="3"/>
  <c r="H8" i="3"/>
  <c r="F9" i="3"/>
  <c r="G15" i="3"/>
  <c r="C9" i="3"/>
  <c r="E15" i="3"/>
  <c r="H9" i="3"/>
  <c r="D7" i="3"/>
  <c r="B11" i="3"/>
  <c r="I15" i="3"/>
  <c r="F8" i="3"/>
  <c r="E12" i="3"/>
  <c r="C10" i="3"/>
  <c r="B14" i="3"/>
  <c r="J13" i="3"/>
  <c r="J10" i="3"/>
  <c r="D15" i="3"/>
  <c r="B12" i="3"/>
  <c r="E6" i="3"/>
  <c r="H13" i="3"/>
  <c r="I12" i="3"/>
  <c r="J14" i="3"/>
  <c r="I13" i="3"/>
  <c r="I10" i="3"/>
  <c r="C15" i="3"/>
  <c r="J12" i="3"/>
  <c r="I14" i="3"/>
  <c r="H10" i="3"/>
  <c r="B15" i="3"/>
  <c r="G12" i="3"/>
  <c r="C14" i="3"/>
</calcChain>
</file>

<file path=xl/sharedStrings.xml><?xml version="1.0" encoding="utf-8"?>
<sst xmlns="http://schemas.openxmlformats.org/spreadsheetml/2006/main" count="77" uniqueCount="65">
  <si>
    <t>Plantillas Excel futbol gratis — Gestor de liga</t>
  </si>
  <si>
    <t>Configuracion</t>
  </si>
  <si>
    <t>Nombre de la liga</t>
  </si>
  <si>
    <t>Liga amateur de invierno</t>
  </si>
  <si>
    <t>Temporada</t>
  </si>
  <si>
    <t>2026</t>
  </si>
  <si>
    <t>Tipo</t>
  </si>
  <si>
    <t>Ida y vuelta</t>
  </si>
  <si>
    <t>Fecha inicio</t>
  </si>
  <si>
    <t>Dias entre jornadas</t>
  </si>
  <si>
    <t>Puntos (V / E / D)</t>
  </si>
  <si>
    <t>Equipos (3 a 18)</t>
  </si>
  <si>
    <t>#</t>
  </si>
  <si>
    <t>Equipo</t>
  </si>
  <si>
    <t>Equipos detectados</t>
  </si>
  <si>
    <t>Equipos (con descanso)</t>
  </si>
  <si>
    <t>Atletico Bahia</t>
  </si>
  <si>
    <t>Deportivo Alboran</t>
  </si>
  <si>
    <t>Racing del Prado</t>
  </si>
  <si>
    <t>Union Sierra</t>
  </si>
  <si>
    <t>Sporting Marea</t>
  </si>
  <si>
    <t>Real Mirador</t>
  </si>
  <si>
    <t>CD Aurora</t>
  </si>
  <si>
    <t>Inter Laguna</t>
  </si>
  <si>
    <t>Juventud Central</t>
  </si>
  <si>
    <t>Velez Sur</t>
  </si>
  <si>
    <t>Uso rapido: escribe los equipos sin dejar huecos; elige 'Solo ida' o 'Ida y vuelta'; introduce resultados en la pestaña Partidos; la Clasificacion se actualiza sola. Con numero impar de equipos, se añade automaticamente 'Descansa'.</t>
  </si>
  <si>
    <t>Partidos y resultados</t>
  </si>
  <si>
    <t>Jornada</t>
  </si>
  <si>
    <t>Fecha</t>
  </si>
  <si>
    <t>Local</t>
  </si>
  <si>
    <t>Goles L</t>
  </si>
  <si>
    <t>Goles V</t>
  </si>
  <si>
    <t>Visitante</t>
  </si>
  <si>
    <t>Estado</t>
  </si>
  <si>
    <t>Pts L</t>
  </si>
  <si>
    <t>Pts V</t>
  </si>
  <si>
    <t>WL</t>
  </si>
  <si>
    <t>DL</t>
  </si>
  <si>
    <t>LL</t>
  </si>
  <si>
    <t>WV</t>
  </si>
  <si>
    <t>DV</t>
  </si>
  <si>
    <t>LV</t>
  </si>
  <si>
    <t>Lider</t>
  </si>
  <si>
    <t>Partidos jugados</t>
  </si>
  <si>
    <t>Goles totales</t>
  </si>
  <si>
    <t>Pos</t>
  </si>
  <si>
    <t>PJ</t>
  </si>
  <si>
    <t>PG</t>
  </si>
  <si>
    <t>PE</t>
  </si>
  <si>
    <t>PP</t>
  </si>
  <si>
    <t>GF</t>
  </si>
  <si>
    <t>GC</t>
  </si>
  <si>
    <t>DG</t>
  </si>
  <si>
    <t>Pts</t>
  </si>
  <si>
    <t>N</t>
  </si>
  <si>
    <t>N_even</t>
  </si>
  <si>
    <t>Legs</t>
  </si>
  <si>
    <t>Rounds_1leg</t>
  </si>
  <si>
    <t>Total_rounds</t>
  </si>
  <si>
    <t>Matches_per_round</t>
  </si>
  <si>
    <t>Total_matches</t>
  </si>
  <si>
    <t>ID</t>
  </si>
  <si>
    <t>Key</t>
  </si>
  <si>
    <t>Clasificacion Liga de Fútbol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</si>
</sst>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6"/>
      <color rgb="FFFFFFFF"/>
      <name val="Calibri"/>
    </font>
    <font>
      <b/>
      <sz val="12"/>
      <color rgb="FFFFFFFF"/>
      <name val="Calibri"/>
    </font>
    <font>
      <b/>
      <sz val="11"/>
      <color rgb="FF000000"/>
      <name val="Calibri"/>
    </font>
    <font>
      <sz val="11"/>
      <color rgb="FF121528"/>
      <name val="Calibri"/>
    </font>
    <font>
      <b/>
      <sz val="11"/>
      <color rgb="FFFFFFFF"/>
      <name val="Calibri"/>
    </font>
    <font>
      <sz val="11"/>
      <color rgb="FF000000"/>
      <name val="Calibri"/>
    </font>
  </fonts>
  <fills count="5">
    <fill>
      <patternFill patternType="none"/>
    </fill>
    <fill>
      <patternFill patternType="gray125"/>
    </fill>
    <fill>
      <patternFill patternType="solid">
        <fgColor rgb="FF121528"/>
      </patternFill>
    </fill>
    <fill>
      <patternFill patternType="solid">
        <fgColor rgb="FFEEECE1"/>
      </patternFill>
    </fill>
    <fill>
      <patternFill patternType="solid">
        <fgColor rgb="FFFFFFFF"/>
      </patternFill>
    </fill>
  </fills>
  <borders count="4">
    <border>
      <left/>
      <right/>
      <top/>
      <bottom/>
      <diagonal/>
    </border>
    <border>
      <left style="thin">
        <color rgb="FFBFC5CC"/>
      </left>
      <right style="thin">
        <color rgb="FFBFC5CC"/>
      </right>
      <top style="thin">
        <color rgb="FFBFC5CC"/>
      </top>
      <bottom style="thin">
        <color rgb="FFBFC5CC"/>
      </bottom>
      <diagonal/>
    </border>
    <border>
      <left/>
      <right style="thin">
        <color rgb="FFBFC5CC"/>
      </right>
      <top/>
      <bottom/>
      <diagonal/>
    </border>
    <border>
      <left style="thin">
        <color rgb="FFBFC5CC"/>
      </left>
      <right/>
      <top/>
      <bottom/>
      <diagonal/>
    </border>
  </borders>
  <cellStyleXfs count="1">
    <xf numFmtId="0" fontId="0" fillId="0" borderId="0"/>
  </cellStyleXfs>
  <cellXfs count="24">
    <xf numFmtId="0" fontId="0" fillId="0" borderId="0" xfId="0"/>
    <xf numFmtId="0" fontId="0" fillId="0" borderId="1" xfId="0" applyBorder="1"/>
    <xf numFmtId="0" fontId="3" fillId="0" borderId="1" xfId="0" applyFont="1" applyBorder="1" applyAlignment="1">
      <alignment horizontal="left" vertical="center" wrapText="1"/>
    </xf>
    <xf numFmtId="0" fontId="4" fillId="3" borderId="1" xfId="0" applyFont="1" applyFill="1" applyBorder="1" applyAlignment="1">
      <alignment horizontal="left" vertical="center" wrapText="1"/>
    </xf>
    <xf numFmtId="0" fontId="4" fillId="3" borderId="1" xfId="0" applyFont="1" applyFill="1" applyBorder="1" applyAlignment="1">
      <alignment horizontal="center" vertical="center" wrapText="1"/>
    </xf>
    <xf numFmtId="14" fontId="4" fillId="3" borderId="1" xfId="0" applyNumberFormat="1" applyFont="1" applyFill="1" applyBorder="1" applyAlignment="1">
      <alignment horizontal="center" vertical="center" wrapText="1"/>
    </xf>
    <xf numFmtId="1" fontId="4" fillId="3"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0" fillId="0" borderId="1" xfId="0" applyBorder="1" applyAlignment="1">
      <alignment horizontal="center" vertical="center" wrapText="1"/>
    </xf>
    <xf numFmtId="0" fontId="6" fillId="0" borderId="1" xfId="0" applyFont="1" applyBorder="1" applyAlignment="1">
      <alignment horizontal="center" vertical="center" wrapText="1"/>
    </xf>
    <xf numFmtId="14" fontId="6" fillId="0" borderId="1" xfId="0" applyNumberFormat="1" applyFont="1" applyBorder="1" applyAlignment="1">
      <alignment horizontal="center" vertical="center" wrapText="1"/>
    </xf>
    <xf numFmtId="0" fontId="6" fillId="0" borderId="1" xfId="0" applyFont="1" applyBorder="1" applyAlignment="1">
      <alignment horizontal="left" vertical="center" wrapText="1"/>
    </xf>
    <xf numFmtId="0" fontId="3" fillId="0" borderId="0" xfId="0" applyFont="1" applyAlignment="1">
      <alignment horizontal="left" vertical="center" wrapText="1"/>
    </xf>
    <xf numFmtId="0" fontId="3" fillId="0" borderId="0" xfId="0" applyFont="1"/>
    <xf numFmtId="0" fontId="3" fillId="0" borderId="0" xfId="0" applyFont="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left" vertical="center" wrapText="1"/>
    </xf>
    <xf numFmtId="0" fontId="6" fillId="4" borderId="1" xfId="0" applyFont="1" applyFill="1" applyBorder="1" applyAlignment="1">
      <alignment horizontal="left" vertical="top" wrapText="1"/>
    </xf>
    <xf numFmtId="0" fontId="0" fillId="0" borderId="0" xfId="0"/>
    <xf numFmtId="0" fontId="1" fillId="2" borderId="1" xfId="0" applyFont="1" applyFill="1" applyBorder="1" applyAlignment="1">
      <alignment horizontal="left" vertical="center"/>
    </xf>
    <xf numFmtId="0" fontId="0" fillId="0" borderId="1" xfId="0" applyBorder="1"/>
    <xf numFmtId="0" fontId="3" fillId="0" borderId="0" xfId="0" applyFont="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cellXfs>
  <cellStyles count="1">
    <cellStyle name="Normal" xfId="0" builtinId="0"/>
  </cellStyles>
  <dxfs count="1">
    <dxf>
      <font>
        <b/>
        <sz val="11"/>
        <color rgb="FFC62828"/>
        <name val="Calibri"/>
      </font>
      <fill>
        <patternFill patternType="solid">
          <fgColor rgb="FFFDECEA"/>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title>
      <c:tx>
        <c:rich>
          <a:bodyPr/>
          <a:lstStyle/>
          <a:p>
            <a:pPr>
              <a:defRPr/>
            </a:pPr>
            <a:r>
              <a:rPr lang="es-ES"/>
              <a:t>Puntos</a:t>
            </a:r>
          </a:p>
        </c:rich>
      </c:tx>
      <c:overlay val="1"/>
    </c:title>
    <c:autoTitleDeleted val="0"/>
    <c:plotArea>
      <c:layout/>
      <c:barChart>
        <c:barDir val="col"/>
        <c:grouping val="clustered"/>
        <c:varyColors val="1"/>
        <c:ser>
          <c:idx val="0"/>
          <c:order val="0"/>
          <c:tx>
            <c:strRef>
              <c:f>Clasificacion!$J$5</c:f>
              <c:strCache>
                <c:ptCount val="1"/>
                <c:pt idx="0">
                  <c:v>Pts</c:v>
                </c:pt>
              </c:strCache>
            </c:strRef>
          </c:tx>
          <c:spPr>
            <a:ln>
              <a:prstDash val="solid"/>
            </a:ln>
          </c:spPr>
          <c:invertIfNegative val="1"/>
          <c:cat>
            <c:strRef>
              <c:f>Clasificacion!$B$6:$B$15</c:f>
              <c:strCache>
                <c:ptCount val="10"/>
                <c:pt idx="0">
                  <c:v>Juventud Central</c:v>
                </c:pt>
                <c:pt idx="1">
                  <c:v>CD Aurora</c:v>
                </c:pt>
                <c:pt idx="2">
                  <c:v>Union Sierra</c:v>
                </c:pt>
                <c:pt idx="3">
                  <c:v>Racing del Prado</c:v>
                </c:pt>
                <c:pt idx="4">
                  <c:v>Deportivo Alboran</c:v>
                </c:pt>
                <c:pt idx="5">
                  <c:v>Atletico Bahia</c:v>
                </c:pt>
                <c:pt idx="6">
                  <c:v>Inter Laguna</c:v>
                </c:pt>
                <c:pt idx="7">
                  <c:v>Sporting Marea</c:v>
                </c:pt>
                <c:pt idx="8">
                  <c:v>Real Mirador</c:v>
                </c:pt>
                <c:pt idx="9">
                  <c:v>Velez Sur</c:v>
                </c:pt>
              </c:strCache>
            </c:strRef>
          </c:cat>
          <c:val>
            <c:numRef>
              <c:f>Clasificacion!$J$6:$J$15</c:f>
              <c:numCache>
                <c:formatCode>General</c:formatCode>
                <c:ptCount val="10"/>
                <c:pt idx="0">
                  <c:v>3</c:v>
                </c:pt>
                <c:pt idx="1">
                  <c:v>3</c:v>
                </c:pt>
                <c:pt idx="2">
                  <c:v>3</c:v>
                </c:pt>
                <c:pt idx="3">
                  <c:v>3</c:v>
                </c:pt>
                <c:pt idx="4">
                  <c:v>3</c:v>
                </c:pt>
                <c:pt idx="5">
                  <c:v>3</c:v>
                </c:pt>
                <c:pt idx="6">
                  <c:v>3</c:v>
                </c:pt>
                <c:pt idx="7">
                  <c:v>3</c:v>
                </c:pt>
                <c:pt idx="8">
                  <c:v>2</c:v>
                </c:pt>
                <c:pt idx="9">
                  <c:v>0</c:v>
                </c:pt>
              </c:numCache>
            </c:numRef>
          </c:val>
          <c:extLst>
            <c:ext xmlns:c16="http://schemas.microsoft.com/office/drawing/2014/chart" uri="{C3380CC4-5D6E-409C-BE32-E72D297353CC}">
              <c16:uniqueId val="{00000000-38F8-4B0F-98D9-F59CD0C6ABA3}"/>
            </c:ext>
          </c:extLst>
        </c:ser>
        <c:dLbls>
          <c:showLegendKey val="0"/>
          <c:showVal val="0"/>
          <c:showCatName val="0"/>
          <c:showSerName val="0"/>
          <c:showPercent val="0"/>
          <c:showBubbleSize val="0"/>
        </c:dLbls>
        <c:gapWidth val="150"/>
        <c:axId val="10"/>
        <c:axId val="100"/>
      </c:barChart>
      <c:catAx>
        <c:axId val="10"/>
        <c:scaling>
          <c:orientation val="minMax"/>
        </c:scaling>
        <c:delete val="1"/>
        <c:axPos val="b"/>
        <c:title>
          <c:tx>
            <c:rich>
              <a:bodyPr/>
              <a:lstStyle/>
              <a:p>
                <a:pPr>
                  <a:defRPr/>
                </a:pPr>
                <a:r>
                  <a:rPr lang="es-ES"/>
                  <a:t>Equipo</a:t>
                </a:r>
              </a:p>
            </c:rich>
          </c:tx>
          <c:overlay val="1"/>
        </c:title>
        <c:numFmt formatCode="General" sourceLinked="1"/>
        <c:majorTickMark val="none"/>
        <c:minorTickMark val="none"/>
        <c:tickLblPos val="nextTo"/>
        <c:crossAx val="100"/>
        <c:crosses val="autoZero"/>
        <c:auto val="1"/>
        <c:lblAlgn val="ctr"/>
        <c:lblOffset val="100"/>
        <c:noMultiLvlLbl val="1"/>
      </c:catAx>
      <c:valAx>
        <c:axId val="100"/>
        <c:scaling>
          <c:orientation val="minMax"/>
        </c:scaling>
        <c:delete val="1"/>
        <c:axPos val="l"/>
        <c:majorGridlines/>
        <c:title>
          <c:tx>
            <c:rich>
              <a:bodyPr/>
              <a:lstStyle/>
              <a:p>
                <a:pPr>
                  <a:defRPr/>
                </a:pPr>
                <a:r>
                  <a:rPr lang="es-ES"/>
                  <a:t>Pts</a:t>
                </a:r>
              </a:p>
            </c:rich>
          </c:tx>
          <c:overlay val="1"/>
        </c:title>
        <c:numFmt formatCode="General" sourceLinked="1"/>
        <c:majorTickMark val="none"/>
        <c:minorTickMark val="none"/>
        <c:tickLblPos val="nextTo"/>
        <c:crossAx val="10"/>
        <c:crosses val="autoZero"/>
        <c:crossBetween val="between"/>
      </c:valAx>
      <c:spPr>
        <a:solidFill>
          <a:schemeClr val="accent3">
            <a:lumMod val="20000"/>
            <a:lumOff val="80000"/>
          </a:schemeClr>
        </a:solidFill>
      </c:spPr>
    </c:plotArea>
    <c:legend>
      <c:legendPos val="r"/>
      <c:overlay val="0"/>
    </c:legend>
    <c:plotVisOnly val="1"/>
    <c:dispBlanksAs val="gap"/>
    <c:showDLblsOverMax val="1"/>
  </c:chart>
  <c:spPr>
    <a:solidFill>
      <a:schemeClr val="accent3">
        <a:lumMod val="20000"/>
        <a:lumOff val="80000"/>
      </a:schemeClr>
    </a:solidFill>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10</xdr:col>
      <xdr:colOff>247650</xdr:colOff>
      <xdr:row>5</xdr:row>
      <xdr:rowOff>123825</xdr:rowOff>
    </xdr:from>
    <xdr:ext cx="6480000" cy="3240000"/>
    <xdr:graphicFrame macro="">
      <xdr:nvGraphicFramePr>
        <xdr:cNvPr id="2" name="Chart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1"/>
  <sheetViews>
    <sheetView showGridLines="0" workbookViewId="0">
      <selection activeCell="E16" sqref="E16"/>
    </sheetView>
  </sheetViews>
  <sheetFormatPr baseColWidth="10" defaultColWidth="9.140625" defaultRowHeight="15" x14ac:dyDescent="0.25"/>
  <cols>
    <col min="1" max="1" width="52.42578125" customWidth="1"/>
    <col min="2" max="2" width="23.140625" bestFit="1" customWidth="1"/>
    <col min="3" max="3" width="2" customWidth="1"/>
    <col min="4" max="4" width="18.42578125" bestFit="1" customWidth="1"/>
    <col min="5" max="5" width="10.7109375" bestFit="1" customWidth="1"/>
    <col min="6" max="6" width="12.28515625" bestFit="1" customWidth="1"/>
    <col min="7" max="7" width="3" bestFit="1" customWidth="1"/>
    <col min="8" max="8" width="14" customWidth="1"/>
  </cols>
  <sheetData>
    <row r="1" spans="1:8" ht="27.95" customHeight="1" x14ac:dyDescent="0.25">
      <c r="A1" s="19" t="s">
        <v>0</v>
      </c>
      <c r="B1" s="20"/>
      <c r="C1" s="20"/>
      <c r="D1" s="20"/>
      <c r="E1" s="20"/>
      <c r="F1" s="20"/>
      <c r="G1" s="20"/>
      <c r="H1" s="20"/>
    </row>
    <row r="3" spans="1:8" ht="20.100000000000001" customHeight="1" x14ac:dyDescent="0.25">
      <c r="A3" s="16" t="s">
        <v>1</v>
      </c>
      <c r="B3" s="16"/>
      <c r="C3" s="16"/>
      <c r="D3" s="16"/>
      <c r="E3" s="16"/>
      <c r="F3" s="16"/>
      <c r="G3" s="16"/>
      <c r="H3" s="16"/>
    </row>
    <row r="4" spans="1:8" x14ac:dyDescent="0.25">
      <c r="A4" s="2" t="s">
        <v>2</v>
      </c>
      <c r="B4" s="3" t="s">
        <v>3</v>
      </c>
      <c r="C4" s="1"/>
      <c r="D4" s="2" t="s">
        <v>4</v>
      </c>
      <c r="E4" s="4" t="s">
        <v>5</v>
      </c>
      <c r="F4" s="1"/>
      <c r="G4" s="1"/>
      <c r="H4" s="1"/>
    </row>
    <row r="5" spans="1:8" x14ac:dyDescent="0.25">
      <c r="A5" s="2" t="s">
        <v>6</v>
      </c>
      <c r="B5" s="3" t="s">
        <v>7</v>
      </c>
      <c r="C5" s="1"/>
      <c r="D5" s="2" t="s">
        <v>8</v>
      </c>
      <c r="E5" s="5">
        <v>46082</v>
      </c>
      <c r="F5" s="1"/>
      <c r="G5" s="1"/>
      <c r="H5" s="1"/>
    </row>
    <row r="6" spans="1:8" x14ac:dyDescent="0.25">
      <c r="A6" s="2" t="s">
        <v>9</v>
      </c>
      <c r="B6" s="6">
        <v>7</v>
      </c>
      <c r="C6" s="1"/>
      <c r="D6" s="2" t="s">
        <v>10</v>
      </c>
      <c r="E6" s="4">
        <v>3</v>
      </c>
      <c r="F6" s="4">
        <v>1</v>
      </c>
      <c r="G6" s="4">
        <v>0</v>
      </c>
      <c r="H6" s="1"/>
    </row>
    <row r="8" spans="1:8" ht="20.100000000000001" customHeight="1" x14ac:dyDescent="0.25">
      <c r="A8" s="16" t="s">
        <v>11</v>
      </c>
      <c r="B8" s="16"/>
      <c r="C8" s="16"/>
      <c r="D8" s="16"/>
      <c r="E8" s="16"/>
      <c r="F8" s="16"/>
      <c r="G8" s="16"/>
      <c r="H8" s="16"/>
    </row>
    <row r="9" spans="1:8" ht="30" x14ac:dyDescent="0.25">
      <c r="A9" s="7" t="s">
        <v>12</v>
      </c>
      <c r="B9" s="7" t="s">
        <v>13</v>
      </c>
      <c r="C9" s="1"/>
      <c r="D9" s="7" t="s">
        <v>14</v>
      </c>
      <c r="E9" s="4">
        <f>COUNTIF(B10:B27,"&lt;&gt;")</f>
        <v>10</v>
      </c>
      <c r="F9" s="7" t="s">
        <v>15</v>
      </c>
      <c r="G9" s="4">
        <f>IF(MOD(E9,2)=1,E9+1,E9)</f>
        <v>10</v>
      </c>
      <c r="H9" s="1"/>
    </row>
    <row r="10" spans="1:8" x14ac:dyDescent="0.25">
      <c r="A10" s="8">
        <v>1</v>
      </c>
      <c r="B10" s="3" t="s">
        <v>16</v>
      </c>
      <c r="C10" s="1"/>
      <c r="D10" s="1"/>
      <c r="E10" s="1"/>
      <c r="F10" s="1"/>
      <c r="G10" s="1"/>
      <c r="H10" s="1"/>
    </row>
    <row r="11" spans="1:8" x14ac:dyDescent="0.25">
      <c r="A11" s="8">
        <v>2</v>
      </c>
      <c r="B11" s="3" t="s">
        <v>17</v>
      </c>
      <c r="C11" s="1"/>
      <c r="D11" s="1"/>
      <c r="E11" s="1"/>
      <c r="F11" s="1"/>
      <c r="G11" s="1"/>
      <c r="H11" s="1"/>
    </row>
    <row r="12" spans="1:8" x14ac:dyDescent="0.25">
      <c r="A12" s="8">
        <v>3</v>
      </c>
      <c r="B12" s="3" t="s">
        <v>18</v>
      </c>
      <c r="C12" s="1"/>
      <c r="D12" s="1"/>
      <c r="E12" s="1"/>
      <c r="F12" s="1"/>
      <c r="G12" s="1"/>
      <c r="H12" s="1"/>
    </row>
    <row r="13" spans="1:8" x14ac:dyDescent="0.25">
      <c r="A13" s="8">
        <v>4</v>
      </c>
      <c r="B13" s="3" t="s">
        <v>19</v>
      </c>
      <c r="C13" s="1"/>
      <c r="D13" s="1"/>
      <c r="E13" s="1"/>
      <c r="F13" s="1"/>
      <c r="G13" s="1"/>
      <c r="H13" s="1"/>
    </row>
    <row r="14" spans="1:8" x14ac:dyDescent="0.25">
      <c r="A14" s="8">
        <v>5</v>
      </c>
      <c r="B14" s="3" t="s">
        <v>20</v>
      </c>
      <c r="C14" s="1"/>
      <c r="D14" s="1"/>
      <c r="E14" s="1"/>
      <c r="F14" s="1"/>
      <c r="G14" s="1"/>
      <c r="H14" s="1"/>
    </row>
    <row r="15" spans="1:8" x14ac:dyDescent="0.25">
      <c r="A15" s="8">
        <v>6</v>
      </c>
      <c r="B15" s="3" t="s">
        <v>21</v>
      </c>
      <c r="C15" s="1"/>
      <c r="D15" s="1"/>
      <c r="E15" s="1"/>
      <c r="F15" s="1"/>
      <c r="G15" s="1"/>
      <c r="H15" s="1"/>
    </row>
    <row r="16" spans="1:8" x14ac:dyDescent="0.25">
      <c r="A16" s="8">
        <v>7</v>
      </c>
      <c r="B16" s="3" t="s">
        <v>22</v>
      </c>
      <c r="C16" s="1"/>
      <c r="D16" s="1"/>
      <c r="E16" s="1"/>
      <c r="F16" s="1"/>
      <c r="G16" s="1"/>
      <c r="H16" s="1"/>
    </row>
    <row r="17" spans="1:8" x14ac:dyDescent="0.25">
      <c r="A17" s="8">
        <v>8</v>
      </c>
      <c r="B17" s="3" t="s">
        <v>23</v>
      </c>
      <c r="C17" s="1"/>
      <c r="D17" s="1"/>
      <c r="E17" s="1"/>
      <c r="F17" s="1"/>
      <c r="G17" s="1"/>
      <c r="H17" s="1"/>
    </row>
    <row r="18" spans="1:8" x14ac:dyDescent="0.25">
      <c r="A18" s="8">
        <v>9</v>
      </c>
      <c r="B18" s="3" t="s">
        <v>24</v>
      </c>
      <c r="C18" s="1"/>
      <c r="D18" s="1"/>
      <c r="E18" s="1"/>
      <c r="F18" s="1"/>
      <c r="G18" s="1"/>
      <c r="H18" s="1"/>
    </row>
    <row r="19" spans="1:8" x14ac:dyDescent="0.25">
      <c r="A19" s="8">
        <v>10</v>
      </c>
      <c r="B19" s="3" t="s">
        <v>25</v>
      </c>
      <c r="C19" s="1"/>
      <c r="D19" s="1"/>
      <c r="E19" s="1"/>
      <c r="F19" s="1"/>
      <c r="G19" s="1"/>
      <c r="H19" s="1"/>
    </row>
    <row r="20" spans="1:8" x14ac:dyDescent="0.25">
      <c r="A20" s="8">
        <v>11</v>
      </c>
      <c r="B20" s="3"/>
      <c r="C20" s="1"/>
      <c r="D20" s="1"/>
      <c r="E20" s="1"/>
      <c r="F20" s="1"/>
      <c r="G20" s="1"/>
      <c r="H20" s="1"/>
    </row>
    <row r="21" spans="1:8" x14ac:dyDescent="0.25">
      <c r="A21" s="8">
        <v>12</v>
      </c>
      <c r="B21" s="3"/>
      <c r="C21" s="1"/>
      <c r="D21" s="1"/>
      <c r="E21" s="1"/>
      <c r="F21" s="1"/>
      <c r="G21" s="1"/>
      <c r="H21" s="1"/>
    </row>
    <row r="22" spans="1:8" x14ac:dyDescent="0.25">
      <c r="A22" s="8">
        <v>13</v>
      </c>
      <c r="B22" s="3"/>
      <c r="C22" s="1"/>
      <c r="D22" s="1"/>
      <c r="E22" s="1"/>
      <c r="F22" s="1"/>
      <c r="G22" s="1"/>
      <c r="H22" s="1"/>
    </row>
    <row r="23" spans="1:8" x14ac:dyDescent="0.25">
      <c r="A23" s="8">
        <v>14</v>
      </c>
      <c r="B23" s="3"/>
      <c r="C23" s="1"/>
      <c r="D23" s="1"/>
      <c r="E23" s="1"/>
      <c r="F23" s="1"/>
      <c r="G23" s="1"/>
      <c r="H23" s="1"/>
    </row>
    <row r="24" spans="1:8" x14ac:dyDescent="0.25">
      <c r="A24" s="8">
        <v>15</v>
      </c>
      <c r="B24" s="3"/>
      <c r="C24" s="1"/>
      <c r="D24" s="1"/>
      <c r="E24" s="1"/>
      <c r="F24" s="1"/>
      <c r="G24" s="1"/>
      <c r="H24" s="1"/>
    </row>
    <row r="25" spans="1:8" x14ac:dyDescent="0.25">
      <c r="A25" s="8">
        <v>16</v>
      </c>
      <c r="B25" s="3"/>
      <c r="C25" s="1"/>
      <c r="D25" s="1"/>
      <c r="E25" s="1"/>
      <c r="F25" s="1"/>
      <c r="G25" s="1"/>
      <c r="H25" s="1"/>
    </row>
    <row r="26" spans="1:8" x14ac:dyDescent="0.25">
      <c r="A26" s="8">
        <v>17</v>
      </c>
      <c r="B26" s="3"/>
      <c r="C26" s="1"/>
      <c r="D26" s="1"/>
      <c r="E26" s="1"/>
      <c r="F26" s="1"/>
      <c r="G26" s="1"/>
      <c r="H26" s="1"/>
    </row>
    <row r="27" spans="1:8" x14ac:dyDescent="0.25">
      <c r="A27" s="8">
        <v>18</v>
      </c>
      <c r="B27" s="3"/>
      <c r="C27" s="1"/>
      <c r="D27" s="1"/>
      <c r="E27" s="1"/>
      <c r="F27" s="1"/>
      <c r="G27" s="1"/>
      <c r="H27" s="1"/>
    </row>
    <row r="29" spans="1:8" ht="45.95" customHeight="1" x14ac:dyDescent="0.25">
      <c r="A29" s="17" t="s">
        <v>26</v>
      </c>
      <c r="B29" s="18"/>
      <c r="C29" s="18"/>
      <c r="D29" s="18"/>
      <c r="E29" s="18"/>
      <c r="F29" s="18"/>
      <c r="G29" s="18"/>
      <c r="H29" s="18"/>
    </row>
    <row r="30" spans="1:8" ht="15" customHeight="1" x14ac:dyDescent="0.25">
      <c r="A30" s="18"/>
      <c r="B30" s="18"/>
      <c r="C30" s="18"/>
      <c r="D30" s="18"/>
      <c r="E30" s="18"/>
      <c r="F30" s="18"/>
      <c r="G30" s="18"/>
      <c r="H30" s="18"/>
    </row>
    <row r="31" spans="1:8" ht="15" customHeight="1" x14ac:dyDescent="0.25">
      <c r="A31" s="18"/>
      <c r="B31" s="18"/>
      <c r="C31" s="18"/>
      <c r="D31" s="18"/>
      <c r="E31" s="18"/>
      <c r="F31" s="18"/>
      <c r="G31" s="18"/>
      <c r="H31" s="18"/>
    </row>
  </sheetData>
  <mergeCells count="4">
    <mergeCell ref="A8:H8"/>
    <mergeCell ref="A3:H3"/>
    <mergeCell ref="A29:H31"/>
    <mergeCell ref="A1:H1"/>
  </mergeCells>
  <conditionalFormatting sqref="E9">
    <cfRule type="expression" dxfId="0" priority="1" stopIfTrue="1">
      <formula>E9&lt;3</formula>
    </cfRule>
  </conditionalFormatting>
  <dataValidations count="1">
    <dataValidation type="list" sqref="B5" xr:uid="{00000000-0002-0000-0000-000000000000}">
      <formula1>"Solo ida,Ida y vuelta"</formula1>
    </dataValidation>
  </dataValidation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310"/>
  <sheetViews>
    <sheetView showGridLines="0" workbookViewId="0">
      <pane ySplit="4" topLeftCell="A5" activePane="bottomLeft" state="frozen"/>
      <selection pane="bottomLeft" sqref="A1:G1"/>
    </sheetView>
  </sheetViews>
  <sheetFormatPr baseColWidth="10" defaultColWidth="9.140625" defaultRowHeight="15" x14ac:dyDescent="0.25"/>
  <cols>
    <col min="1" max="1" width="9" customWidth="1"/>
    <col min="2" max="2" width="12" customWidth="1"/>
    <col min="3" max="3" width="26" customWidth="1"/>
    <col min="4" max="5" width="9" customWidth="1"/>
    <col min="6" max="6" width="26" customWidth="1"/>
    <col min="7" max="7" width="12" customWidth="1"/>
    <col min="8" max="9" width="12" hidden="1" customWidth="1"/>
    <col min="10" max="15" width="10" hidden="1" customWidth="1"/>
  </cols>
  <sheetData>
    <row r="1" spans="1:15" ht="27.95" customHeight="1" x14ac:dyDescent="0.25">
      <c r="A1" s="19" t="s">
        <v>27</v>
      </c>
      <c r="B1" s="20"/>
      <c r="C1" s="20"/>
      <c r="D1" s="20"/>
      <c r="E1" s="20"/>
      <c r="F1" s="20"/>
      <c r="G1" s="20"/>
    </row>
    <row r="4" spans="1:15" x14ac:dyDescent="0.25">
      <c r="A4" s="7" t="s">
        <v>28</v>
      </c>
      <c r="B4" s="7" t="s">
        <v>29</v>
      </c>
      <c r="C4" s="7" t="s">
        <v>30</v>
      </c>
      <c r="D4" s="7" t="s">
        <v>31</v>
      </c>
      <c r="E4" s="7" t="s">
        <v>32</v>
      </c>
      <c r="F4" s="7" t="s">
        <v>33</v>
      </c>
      <c r="G4" s="7" t="s">
        <v>34</v>
      </c>
      <c r="H4" s="7" t="s">
        <v>35</v>
      </c>
      <c r="I4" s="7" t="s">
        <v>36</v>
      </c>
      <c r="J4" s="7" t="s">
        <v>37</v>
      </c>
      <c r="K4" s="7" t="s">
        <v>38</v>
      </c>
      <c r="L4" s="7" t="s">
        <v>39</v>
      </c>
      <c r="M4" s="7" t="s">
        <v>40</v>
      </c>
      <c r="N4" s="7" t="s">
        <v>41</v>
      </c>
      <c r="O4" s="7" t="s">
        <v>42</v>
      </c>
    </row>
    <row r="5" spans="1:15" x14ac:dyDescent="0.25">
      <c r="A5" s="9">
        <f>IF(OR(Calculos!$B$7=0,1&gt;Calculos!$B$7),"",INT((1-1)/Calculos!$B$6)+1)</f>
        <v>1</v>
      </c>
      <c r="B5" s="10">
        <f>IF(A5="","",Inicio!$E$5+(A5-1)*Inicio!$B$6)</f>
        <v>46082</v>
      </c>
      <c r="C5" s="11" t="e">
        <f>IF(A5="","",INDEX(Calculos!$B$11:$B$28,IF(A5&gt;Calculos!$B$4,IF(MOD(IF(A5&lt;=Calculos!$B$4,A5,A5-Calculos!$B$4)+MOD(1-1,Calculos!$B$6)+1,2)=0,INDEX(Calculos!$B$36:$S$52,IF(A5&lt;=Calculos!$B$4,A5,A5-Calculos!$B$4),MOD(1-1,Calculos!$B$6)+1),INDEX(Calculos!$B$36:$S$52,IF(A5&lt;=Calculos!$B$4,A5,A5-Calculos!$B$4),Calculos!$B$2+1-MOD(1-1,Calculos!$B$6)+1)),IF(MOD(IF(A5&lt;=Calculos!$B$4,A5,A5-Calculos!$B$4)+MOD(1-1,Calculos!$B$6)+1,2)=0,INDEX(Calculos!$B$36:$S$52,IF(A5&lt;=Calculos!$B$4,A5,A5-Calculos!$B$4),Calculos!$B$2+1-MOD(1-1,Calculos!$B$6)+1),INDEX(Calculos!$B$36:$S$52,IF(A5&lt;=Calculos!$B$4,A5,A5-Calculos!$B$4),MOD(1-1,Calculos!$B$6)+1)))))</f>
        <v>#VALUE!</v>
      </c>
      <c r="D5" s="4">
        <v>2</v>
      </c>
      <c r="E5" s="4">
        <v>1</v>
      </c>
      <c r="F5" s="11" t="e">
        <f>IF(A5="","",INDEX(Calculos!$B$11:$B$28,IF(A5&gt;Calculos!$B$4,IF(MOD(IF(A5&lt;=Calculos!$B$4,A5,A5-Calculos!$B$4)+MOD(1-1,Calculos!$B$6)+1,2)=0,INDEX(Calculos!$B$36:$S$52,IF(A5&lt;=Calculos!$B$4,A5,A5-Calculos!$B$4),Calculos!$B$2+1-MOD(1-1,Calculos!$B$6)+1),INDEX(Calculos!$B$36:$S$52,IF(A5&lt;=Calculos!$B$4,A5,A5-Calculos!$B$4),MOD(1-1,Calculos!$B$6)+1)),IF(MOD(IF(A5&lt;=Calculos!$B$4,A5,A5-Calculos!$B$4)+MOD(1-1,Calculos!$B$6)+1,2)=0,INDEX(Calculos!$B$36:$S$52,IF(A5&lt;=Calculos!$B$4,A5,A5-Calculos!$B$4),MOD(1-1,Calculos!$B$6)+1),INDEX(Calculos!$B$36:$S$52,IF(A5&lt;=Calculos!$B$4,A5,A5-Calculos!$B$4),Calculos!$B$2+1-MOD(1-1,Calculos!$B$6)+1)))))</f>
        <v>#VALUE!</v>
      </c>
      <c r="G5" s="9" t="str">
        <f t="shared" ref="G5:G68" si="0">IF(A5="","",IF(AND(ISNUMBER(D5),ISNUMBER(E5)),"Jugado","Pendiente"))</f>
        <v>Jugado</v>
      </c>
      <c r="H5" s="9" t="e">
        <f>IF(OR(C5="",F5=""),"",IF(AND(ISNUMBER(D5),ISNUMBER(E5)),IF(D5&gt;E5,Inicio!$E$6,IF(D5=E5,Inicio!$F$6,Inicio!$G$6)),""))</f>
        <v>#VALUE!</v>
      </c>
      <c r="I5" s="9" t="e">
        <f>IF(OR(C5="",F5=""),"",IF(AND(ISNUMBER(D5),ISNUMBER(E5)),IF(D5&lt;E5,Inicio!$E$6,IF(D5=E5,Inicio!$F$6,Inicio!$G$6)),""))</f>
        <v>#VALUE!</v>
      </c>
      <c r="J5" s="9">
        <f t="shared" ref="J5:J68" si="1">IF(AND(ISNUMBER(D5),ISNUMBER(E5),D5&gt;E5),1,0)</f>
        <v>1</v>
      </c>
      <c r="K5" s="9">
        <f t="shared" ref="K5:K68" si="2">IF(AND(ISNUMBER(D5),ISNUMBER(E5),D5=E5),1,0)</f>
        <v>0</v>
      </c>
      <c r="L5" s="9">
        <f t="shared" ref="L5:L68" si="3">IF(AND(ISNUMBER(D5),ISNUMBER(E5),D5&lt;E5),1,0)</f>
        <v>0</v>
      </c>
      <c r="M5" s="9">
        <f t="shared" ref="M5:M68" si="4">IF(AND(ISNUMBER(D5),ISNUMBER(E5),D5&lt;E5),1,0)</f>
        <v>0</v>
      </c>
      <c r="N5" s="9">
        <f t="shared" ref="N5:N68" si="5">IF(AND(ISNUMBER(D5),ISNUMBER(E5),D5=E5),1,0)</f>
        <v>0</v>
      </c>
      <c r="O5" s="9">
        <f t="shared" ref="O5:O68" si="6">IF(AND(ISNUMBER(D5),ISNUMBER(E5),D5&gt;E5),1,0)</f>
        <v>1</v>
      </c>
    </row>
    <row r="6" spans="1:15" x14ac:dyDescent="0.25">
      <c r="A6" s="9">
        <f>IF(OR(Calculos!$B$7=0,2&gt;Calculos!$B$7),"",INT((2-1)/Calculos!$B$6)+1)</f>
        <v>1</v>
      </c>
      <c r="B6" s="10">
        <f>IF(A6="","",Inicio!$E$5+(A6-1)*Inicio!$B$6)</f>
        <v>46082</v>
      </c>
      <c r="C6" s="11" t="e">
        <f>IF(A6="","",INDEX(Calculos!$B$11:$B$28,IF(A6&gt;Calculos!$B$4,IF(MOD(IF(A6&lt;=Calculos!$B$4,A6,A6-Calculos!$B$4)+MOD(2-1,Calculos!$B$6)+1,2)=0,INDEX(Calculos!$B$36:$S$52,IF(A6&lt;=Calculos!$B$4,A6,A6-Calculos!$B$4),MOD(2-1,Calculos!$B$6)+1),INDEX(Calculos!$B$36:$S$52,IF(A6&lt;=Calculos!$B$4,A6,A6-Calculos!$B$4),Calculos!$B$2+1-MOD(2-1,Calculos!$B$6)+1)),IF(MOD(IF(A6&lt;=Calculos!$B$4,A6,A6-Calculos!$B$4)+MOD(2-1,Calculos!$B$6)+1,2)=0,INDEX(Calculos!$B$36:$S$52,IF(A6&lt;=Calculos!$B$4,A6,A6-Calculos!$B$4),Calculos!$B$2+1-MOD(2-1,Calculos!$B$6)+1),INDEX(Calculos!$B$36:$S$52,IF(A6&lt;=Calculos!$B$4,A6,A6-Calculos!$B$4),MOD(2-1,Calculos!$B$6)+1)))))</f>
        <v>#VALUE!</v>
      </c>
      <c r="D6" s="4">
        <v>0</v>
      </c>
      <c r="E6" s="4">
        <v>0</v>
      </c>
      <c r="F6" s="11" t="e">
        <f>IF(A6="","",INDEX(Calculos!$B$11:$B$28,IF(A6&gt;Calculos!$B$4,IF(MOD(IF(A6&lt;=Calculos!$B$4,A6,A6-Calculos!$B$4)+MOD(2-1,Calculos!$B$6)+1,2)=0,INDEX(Calculos!$B$36:$S$52,IF(A6&lt;=Calculos!$B$4,A6,A6-Calculos!$B$4),Calculos!$B$2+1-MOD(2-1,Calculos!$B$6)+1),INDEX(Calculos!$B$36:$S$52,IF(A6&lt;=Calculos!$B$4,A6,A6-Calculos!$B$4),MOD(2-1,Calculos!$B$6)+1)),IF(MOD(IF(A6&lt;=Calculos!$B$4,A6,A6-Calculos!$B$4)+MOD(2-1,Calculos!$B$6)+1,2)=0,INDEX(Calculos!$B$36:$S$52,IF(A6&lt;=Calculos!$B$4,A6,A6-Calculos!$B$4),MOD(2-1,Calculos!$B$6)+1),INDEX(Calculos!$B$36:$S$52,IF(A6&lt;=Calculos!$B$4,A6,A6-Calculos!$B$4),Calculos!$B$2+1-MOD(2-1,Calculos!$B$6)+1)))))</f>
        <v>#VALUE!</v>
      </c>
      <c r="G6" s="9" t="str">
        <f t="shared" si="0"/>
        <v>Jugado</v>
      </c>
      <c r="H6" s="9" t="e">
        <f>IF(OR(C6="",F6=""),"",IF(AND(ISNUMBER(D6),ISNUMBER(E6)),IF(D6&gt;E6,Inicio!$E$6,IF(D6=E6,Inicio!$F$6,Inicio!$G$6)),""))</f>
        <v>#VALUE!</v>
      </c>
      <c r="I6" s="9" t="e">
        <f>IF(OR(C6="",F6=""),"",IF(AND(ISNUMBER(D6),ISNUMBER(E6)),IF(D6&lt;E6,Inicio!$E$6,IF(D6=E6,Inicio!$F$6,Inicio!$G$6)),""))</f>
        <v>#VALUE!</v>
      </c>
      <c r="J6" s="9">
        <f t="shared" si="1"/>
        <v>0</v>
      </c>
      <c r="K6" s="9">
        <f t="shared" si="2"/>
        <v>1</v>
      </c>
      <c r="L6" s="9">
        <f t="shared" si="3"/>
        <v>0</v>
      </c>
      <c r="M6" s="9">
        <f t="shared" si="4"/>
        <v>0</v>
      </c>
      <c r="N6" s="9">
        <f t="shared" si="5"/>
        <v>1</v>
      </c>
      <c r="O6" s="9">
        <f t="shared" si="6"/>
        <v>0</v>
      </c>
    </row>
    <row r="7" spans="1:15" x14ac:dyDescent="0.25">
      <c r="A7" s="9">
        <f>IF(OR(Calculos!$B$7=0,3&gt;Calculos!$B$7),"",INT((3-1)/Calculos!$B$6)+1)</f>
        <v>1</v>
      </c>
      <c r="B7" s="10">
        <f>IF(A7="","",Inicio!$E$5+(A7-1)*Inicio!$B$6)</f>
        <v>46082</v>
      </c>
      <c r="C7" s="11" t="e">
        <f>IF(A7="","",INDEX(Calculos!$B$11:$B$28,IF(A7&gt;Calculos!$B$4,IF(MOD(IF(A7&lt;=Calculos!$B$4,A7,A7-Calculos!$B$4)+MOD(3-1,Calculos!$B$6)+1,2)=0,INDEX(Calculos!$B$36:$S$52,IF(A7&lt;=Calculos!$B$4,A7,A7-Calculos!$B$4),MOD(3-1,Calculos!$B$6)+1),INDEX(Calculos!$B$36:$S$52,IF(A7&lt;=Calculos!$B$4,A7,A7-Calculos!$B$4),Calculos!$B$2+1-MOD(3-1,Calculos!$B$6)+1)),IF(MOD(IF(A7&lt;=Calculos!$B$4,A7,A7-Calculos!$B$4)+MOD(3-1,Calculos!$B$6)+1,2)=0,INDEX(Calculos!$B$36:$S$52,IF(A7&lt;=Calculos!$B$4,A7,A7-Calculos!$B$4),Calculos!$B$2+1-MOD(3-1,Calculos!$B$6)+1),INDEX(Calculos!$B$36:$S$52,IF(A7&lt;=Calculos!$B$4,A7,A7-Calculos!$B$4),MOD(3-1,Calculos!$B$6)+1)))))</f>
        <v>#VALUE!</v>
      </c>
      <c r="D7" s="4">
        <v>3</v>
      </c>
      <c r="E7" s="4">
        <v>2</v>
      </c>
      <c r="F7" s="11" t="e">
        <f>IF(A7="","",INDEX(Calculos!$B$11:$B$28,IF(A7&gt;Calculos!$B$4,IF(MOD(IF(A7&lt;=Calculos!$B$4,A7,A7-Calculos!$B$4)+MOD(3-1,Calculos!$B$6)+1,2)=0,INDEX(Calculos!$B$36:$S$52,IF(A7&lt;=Calculos!$B$4,A7,A7-Calculos!$B$4),Calculos!$B$2+1-MOD(3-1,Calculos!$B$6)+1),INDEX(Calculos!$B$36:$S$52,IF(A7&lt;=Calculos!$B$4,A7,A7-Calculos!$B$4),MOD(3-1,Calculos!$B$6)+1)),IF(MOD(IF(A7&lt;=Calculos!$B$4,A7,A7-Calculos!$B$4)+MOD(3-1,Calculos!$B$6)+1,2)=0,INDEX(Calculos!$B$36:$S$52,IF(A7&lt;=Calculos!$B$4,A7,A7-Calculos!$B$4),MOD(3-1,Calculos!$B$6)+1),INDEX(Calculos!$B$36:$S$52,IF(A7&lt;=Calculos!$B$4,A7,A7-Calculos!$B$4),Calculos!$B$2+1-MOD(3-1,Calculos!$B$6)+1)))))</f>
        <v>#VALUE!</v>
      </c>
      <c r="G7" s="9" t="str">
        <f t="shared" si="0"/>
        <v>Jugado</v>
      </c>
      <c r="H7" s="9" t="e">
        <f>IF(OR(C7="",F7=""),"",IF(AND(ISNUMBER(D7),ISNUMBER(E7)),IF(D7&gt;E7,Inicio!$E$6,IF(D7=E7,Inicio!$F$6,Inicio!$G$6)),""))</f>
        <v>#VALUE!</v>
      </c>
      <c r="I7" s="9" t="e">
        <f>IF(OR(C7="",F7=""),"",IF(AND(ISNUMBER(D7),ISNUMBER(E7)),IF(D7&lt;E7,Inicio!$E$6,IF(D7=E7,Inicio!$F$6,Inicio!$G$6)),""))</f>
        <v>#VALUE!</v>
      </c>
      <c r="J7" s="9">
        <f t="shared" si="1"/>
        <v>1</v>
      </c>
      <c r="K7" s="9">
        <f t="shared" si="2"/>
        <v>0</v>
      </c>
      <c r="L7" s="9">
        <f t="shared" si="3"/>
        <v>0</v>
      </c>
      <c r="M7" s="9">
        <f t="shared" si="4"/>
        <v>0</v>
      </c>
      <c r="N7" s="9">
        <f t="shared" si="5"/>
        <v>0</v>
      </c>
      <c r="O7" s="9">
        <f t="shared" si="6"/>
        <v>1</v>
      </c>
    </row>
    <row r="8" spans="1:15" x14ac:dyDescent="0.25">
      <c r="A8" s="9">
        <f>IF(OR(Calculos!$B$7=0,4&gt;Calculos!$B$7),"",INT((4-1)/Calculos!$B$6)+1)</f>
        <v>1</v>
      </c>
      <c r="B8" s="10">
        <f>IF(A8="","",Inicio!$E$5+(A8-1)*Inicio!$B$6)</f>
        <v>46082</v>
      </c>
      <c r="C8" s="11" t="e">
        <f>IF(A8="","",INDEX(Calculos!$B$11:$B$28,IF(A8&gt;Calculos!$B$4,IF(MOD(IF(A8&lt;=Calculos!$B$4,A8,A8-Calculos!$B$4)+MOD(4-1,Calculos!$B$6)+1,2)=0,INDEX(Calculos!$B$36:$S$52,IF(A8&lt;=Calculos!$B$4,A8,A8-Calculos!$B$4),MOD(4-1,Calculos!$B$6)+1),INDEX(Calculos!$B$36:$S$52,IF(A8&lt;=Calculos!$B$4,A8,A8-Calculos!$B$4),Calculos!$B$2+1-MOD(4-1,Calculos!$B$6)+1)),IF(MOD(IF(A8&lt;=Calculos!$B$4,A8,A8-Calculos!$B$4)+MOD(4-1,Calculos!$B$6)+1,2)=0,INDEX(Calculos!$B$36:$S$52,IF(A8&lt;=Calculos!$B$4,A8,A8-Calculos!$B$4),Calculos!$B$2+1-MOD(4-1,Calculos!$B$6)+1),INDEX(Calculos!$B$36:$S$52,IF(A8&lt;=Calculos!$B$4,A8,A8-Calculos!$B$4),MOD(4-1,Calculos!$B$6)+1)))))</f>
        <v>#VALUE!</v>
      </c>
      <c r="D8" s="4">
        <v>1</v>
      </c>
      <c r="E8" s="4">
        <v>2</v>
      </c>
      <c r="F8" s="11" t="e">
        <f>IF(A8="","",INDEX(Calculos!$B$11:$B$28,IF(A8&gt;Calculos!$B$4,IF(MOD(IF(A8&lt;=Calculos!$B$4,A8,A8-Calculos!$B$4)+MOD(4-1,Calculos!$B$6)+1,2)=0,INDEX(Calculos!$B$36:$S$52,IF(A8&lt;=Calculos!$B$4,A8,A8-Calculos!$B$4),Calculos!$B$2+1-MOD(4-1,Calculos!$B$6)+1),INDEX(Calculos!$B$36:$S$52,IF(A8&lt;=Calculos!$B$4,A8,A8-Calculos!$B$4),MOD(4-1,Calculos!$B$6)+1)),IF(MOD(IF(A8&lt;=Calculos!$B$4,A8,A8-Calculos!$B$4)+MOD(4-1,Calculos!$B$6)+1,2)=0,INDEX(Calculos!$B$36:$S$52,IF(A8&lt;=Calculos!$B$4,A8,A8-Calculos!$B$4),MOD(4-1,Calculos!$B$6)+1),INDEX(Calculos!$B$36:$S$52,IF(A8&lt;=Calculos!$B$4,A8,A8-Calculos!$B$4),Calculos!$B$2+1-MOD(4-1,Calculos!$B$6)+1)))))</f>
        <v>#VALUE!</v>
      </c>
      <c r="G8" s="9" t="str">
        <f t="shared" si="0"/>
        <v>Jugado</v>
      </c>
      <c r="H8" s="9" t="e">
        <f>IF(OR(C8="",F8=""),"",IF(AND(ISNUMBER(D8),ISNUMBER(E8)),IF(D8&gt;E8,Inicio!$E$6,IF(D8=E8,Inicio!$F$6,Inicio!$G$6)),""))</f>
        <v>#VALUE!</v>
      </c>
      <c r="I8" s="9" t="e">
        <f>IF(OR(C8="",F8=""),"",IF(AND(ISNUMBER(D8),ISNUMBER(E8)),IF(D8&lt;E8,Inicio!$E$6,IF(D8=E8,Inicio!$F$6,Inicio!$G$6)),""))</f>
        <v>#VALUE!</v>
      </c>
      <c r="J8" s="9">
        <f t="shared" si="1"/>
        <v>0</v>
      </c>
      <c r="K8" s="9">
        <f t="shared" si="2"/>
        <v>0</v>
      </c>
      <c r="L8" s="9">
        <f t="shared" si="3"/>
        <v>1</v>
      </c>
      <c r="M8" s="9">
        <f t="shared" si="4"/>
        <v>1</v>
      </c>
      <c r="N8" s="9">
        <f t="shared" si="5"/>
        <v>0</v>
      </c>
      <c r="O8" s="9">
        <f t="shared" si="6"/>
        <v>0</v>
      </c>
    </row>
    <row r="9" spans="1:15" x14ac:dyDescent="0.25">
      <c r="A9" s="9">
        <f>IF(OR(Calculos!$B$7=0,5&gt;Calculos!$B$7),"",INT((5-1)/Calculos!$B$6)+1)</f>
        <v>1</v>
      </c>
      <c r="B9" s="10">
        <f>IF(A9="","",Inicio!$E$5+(A9-1)*Inicio!$B$6)</f>
        <v>46082</v>
      </c>
      <c r="C9" s="11" t="e">
        <f>IF(A9="","",INDEX(Calculos!$B$11:$B$28,IF(A9&gt;Calculos!$B$4,IF(MOD(IF(A9&lt;=Calculos!$B$4,A9,A9-Calculos!$B$4)+MOD(5-1,Calculos!$B$6)+1,2)=0,INDEX(Calculos!$B$36:$S$52,IF(A9&lt;=Calculos!$B$4,A9,A9-Calculos!$B$4),MOD(5-1,Calculos!$B$6)+1),INDEX(Calculos!$B$36:$S$52,IF(A9&lt;=Calculos!$B$4,A9,A9-Calculos!$B$4),Calculos!$B$2+1-MOD(5-1,Calculos!$B$6)+1)),IF(MOD(IF(A9&lt;=Calculos!$B$4,A9,A9-Calculos!$B$4)+MOD(5-1,Calculos!$B$6)+1,2)=0,INDEX(Calculos!$B$36:$S$52,IF(A9&lt;=Calculos!$B$4,A9,A9-Calculos!$B$4),Calculos!$B$2+1-MOD(5-1,Calculos!$B$6)+1),INDEX(Calculos!$B$36:$S$52,IF(A9&lt;=Calculos!$B$4,A9,A9-Calculos!$B$4),MOD(5-1,Calculos!$B$6)+1)))))</f>
        <v>#VALUE!</v>
      </c>
      <c r="D9" s="4">
        <v>4</v>
      </c>
      <c r="E9" s="4">
        <v>0</v>
      </c>
      <c r="F9" s="11" t="e">
        <f>IF(A9="","",INDEX(Calculos!$B$11:$B$28,IF(A9&gt;Calculos!$B$4,IF(MOD(IF(A9&lt;=Calculos!$B$4,A9,A9-Calculos!$B$4)+MOD(5-1,Calculos!$B$6)+1,2)=0,INDEX(Calculos!$B$36:$S$52,IF(A9&lt;=Calculos!$B$4,A9,A9-Calculos!$B$4),Calculos!$B$2+1-MOD(5-1,Calculos!$B$6)+1),INDEX(Calculos!$B$36:$S$52,IF(A9&lt;=Calculos!$B$4,A9,A9-Calculos!$B$4),MOD(5-1,Calculos!$B$6)+1)),IF(MOD(IF(A9&lt;=Calculos!$B$4,A9,A9-Calculos!$B$4)+MOD(5-1,Calculos!$B$6)+1,2)=0,INDEX(Calculos!$B$36:$S$52,IF(A9&lt;=Calculos!$B$4,A9,A9-Calculos!$B$4),MOD(5-1,Calculos!$B$6)+1),INDEX(Calculos!$B$36:$S$52,IF(A9&lt;=Calculos!$B$4,A9,A9-Calculos!$B$4),Calculos!$B$2+1-MOD(5-1,Calculos!$B$6)+1)))))</f>
        <v>#VALUE!</v>
      </c>
      <c r="G9" s="9" t="str">
        <f t="shared" si="0"/>
        <v>Jugado</v>
      </c>
      <c r="H9" s="9" t="e">
        <f>IF(OR(C9="",F9=""),"",IF(AND(ISNUMBER(D9),ISNUMBER(E9)),IF(D9&gt;E9,Inicio!$E$6,IF(D9=E9,Inicio!$F$6,Inicio!$G$6)),""))</f>
        <v>#VALUE!</v>
      </c>
      <c r="I9" s="9" t="e">
        <f>IF(OR(C9="",F9=""),"",IF(AND(ISNUMBER(D9),ISNUMBER(E9)),IF(D9&lt;E9,Inicio!$E$6,IF(D9=E9,Inicio!$F$6,Inicio!$G$6)),""))</f>
        <v>#VALUE!</v>
      </c>
      <c r="J9" s="9">
        <f t="shared" si="1"/>
        <v>1</v>
      </c>
      <c r="K9" s="9">
        <f t="shared" si="2"/>
        <v>0</v>
      </c>
      <c r="L9" s="9">
        <f t="shared" si="3"/>
        <v>0</v>
      </c>
      <c r="M9" s="9">
        <f t="shared" si="4"/>
        <v>0</v>
      </c>
      <c r="N9" s="9">
        <f t="shared" si="5"/>
        <v>0</v>
      </c>
      <c r="O9" s="9">
        <f t="shared" si="6"/>
        <v>1</v>
      </c>
    </row>
    <row r="10" spans="1:15" x14ac:dyDescent="0.25">
      <c r="A10" s="9">
        <f>IF(OR(Calculos!$B$7=0,6&gt;Calculos!$B$7),"",INT((6-1)/Calculos!$B$6)+1)</f>
        <v>2</v>
      </c>
      <c r="B10" s="10">
        <f>IF(A10="","",Inicio!$E$5+(A10-1)*Inicio!$B$6)</f>
        <v>46089</v>
      </c>
      <c r="C10" s="11" t="e">
        <f>IF(A10="","",INDEX(Calculos!$B$11:$B$28,IF(A10&gt;Calculos!$B$4,IF(MOD(IF(A10&lt;=Calculos!$B$4,A10,A10-Calculos!$B$4)+MOD(6-1,Calculos!$B$6)+1,2)=0,INDEX(Calculos!$B$36:$S$52,IF(A10&lt;=Calculos!$B$4,A10,A10-Calculos!$B$4),MOD(6-1,Calculos!$B$6)+1),INDEX(Calculos!$B$36:$S$52,IF(A10&lt;=Calculos!$B$4,A10,A10-Calculos!$B$4),Calculos!$B$2+1-MOD(6-1,Calculos!$B$6)+1)),IF(MOD(IF(A10&lt;=Calculos!$B$4,A10,A10-Calculos!$B$4)+MOD(6-1,Calculos!$B$6)+1,2)=0,INDEX(Calculos!$B$36:$S$52,IF(A10&lt;=Calculos!$B$4,A10,A10-Calculos!$B$4),Calculos!$B$2+1-MOD(6-1,Calculos!$B$6)+1),INDEX(Calculos!$B$36:$S$52,IF(A10&lt;=Calculos!$B$4,A10,A10-Calculos!$B$4),MOD(6-1,Calculos!$B$6)+1)))))</f>
        <v>#VALUE!</v>
      </c>
      <c r="D10" s="4">
        <v>1</v>
      </c>
      <c r="E10" s="4">
        <v>1</v>
      </c>
      <c r="F10" s="11" t="e">
        <f>IF(A10="","",INDEX(Calculos!$B$11:$B$28,IF(A10&gt;Calculos!$B$4,IF(MOD(IF(A10&lt;=Calculos!$B$4,A10,A10-Calculos!$B$4)+MOD(6-1,Calculos!$B$6)+1,2)=0,INDEX(Calculos!$B$36:$S$52,IF(A10&lt;=Calculos!$B$4,A10,A10-Calculos!$B$4),Calculos!$B$2+1-MOD(6-1,Calculos!$B$6)+1),INDEX(Calculos!$B$36:$S$52,IF(A10&lt;=Calculos!$B$4,A10,A10-Calculos!$B$4),MOD(6-1,Calculos!$B$6)+1)),IF(MOD(IF(A10&lt;=Calculos!$B$4,A10,A10-Calculos!$B$4)+MOD(6-1,Calculos!$B$6)+1,2)=0,INDEX(Calculos!$B$36:$S$52,IF(A10&lt;=Calculos!$B$4,A10,A10-Calculos!$B$4),MOD(6-1,Calculos!$B$6)+1),INDEX(Calculos!$B$36:$S$52,IF(A10&lt;=Calculos!$B$4,A10,A10-Calculos!$B$4),Calculos!$B$2+1-MOD(6-1,Calculos!$B$6)+1)))))</f>
        <v>#VALUE!</v>
      </c>
      <c r="G10" s="9" t="str">
        <f t="shared" si="0"/>
        <v>Jugado</v>
      </c>
      <c r="H10" s="9" t="e">
        <f>IF(OR(C10="",F10=""),"",IF(AND(ISNUMBER(D10),ISNUMBER(E10)),IF(D10&gt;E10,Inicio!$E$6,IF(D10=E10,Inicio!$F$6,Inicio!$G$6)),""))</f>
        <v>#VALUE!</v>
      </c>
      <c r="I10" s="9" t="e">
        <f>IF(OR(C10="",F10=""),"",IF(AND(ISNUMBER(D10),ISNUMBER(E10)),IF(D10&lt;E10,Inicio!$E$6,IF(D10=E10,Inicio!$F$6,Inicio!$G$6)),""))</f>
        <v>#VALUE!</v>
      </c>
      <c r="J10" s="9">
        <f t="shared" si="1"/>
        <v>0</v>
      </c>
      <c r="K10" s="9">
        <f t="shared" si="2"/>
        <v>1</v>
      </c>
      <c r="L10" s="9">
        <f t="shared" si="3"/>
        <v>0</v>
      </c>
      <c r="M10" s="9">
        <f t="shared" si="4"/>
        <v>0</v>
      </c>
      <c r="N10" s="9">
        <f t="shared" si="5"/>
        <v>1</v>
      </c>
      <c r="O10" s="9">
        <f t="shared" si="6"/>
        <v>0</v>
      </c>
    </row>
    <row r="11" spans="1:15" x14ac:dyDescent="0.25">
      <c r="A11" s="9">
        <f>IF(OR(Calculos!$B$7=0,7&gt;Calculos!$B$7),"",INT((7-1)/Calculos!$B$6)+1)</f>
        <v>2</v>
      </c>
      <c r="B11" s="10">
        <f>IF(A11="","",Inicio!$E$5+(A11-1)*Inicio!$B$6)</f>
        <v>46089</v>
      </c>
      <c r="C11" s="11" t="str">
        <f>IF(A11="","",INDEX(Calculos!$B$11:$B$28,IF(A11&gt;Calculos!$B$4,IF(MOD(IF(A11&lt;=Calculos!$B$4,A11,A11-Calculos!$B$4)+MOD(7-1,Calculos!$B$6)+1,2)=0,INDEX(Calculos!$B$36:$S$52,IF(A11&lt;=Calculos!$B$4,A11,A11-Calculos!$B$4),MOD(7-1,Calculos!$B$6)+1),INDEX(Calculos!$B$36:$S$52,IF(A11&lt;=Calculos!$B$4,A11,A11-Calculos!$B$4),Calculos!$B$2+1-MOD(7-1,Calculos!$B$6)+1)),IF(MOD(IF(A11&lt;=Calculos!$B$4,A11,A11-Calculos!$B$4)+MOD(7-1,Calculos!$B$6)+1,2)=0,INDEX(Calculos!$B$36:$S$52,IF(A11&lt;=Calculos!$B$4,A11,A11-Calculos!$B$4),Calculos!$B$2+1-MOD(7-1,Calculos!$B$6)+1),INDEX(Calculos!$B$36:$S$52,IF(A11&lt;=Calculos!$B$4,A11,A11-Calculos!$B$4),MOD(7-1,Calculos!$B$6)+1)))))</f>
        <v>Atletico Bahia</v>
      </c>
      <c r="D11" s="4">
        <v>2</v>
      </c>
      <c r="E11" s="4">
        <v>0</v>
      </c>
      <c r="F11" s="11" t="str">
        <f>IF(A11="","",INDEX(Calculos!$B$11:$B$28,IF(A11&gt;Calculos!$B$4,IF(MOD(IF(A11&lt;=Calculos!$B$4,A11,A11-Calculos!$B$4)+MOD(7-1,Calculos!$B$6)+1,2)=0,INDEX(Calculos!$B$36:$S$52,IF(A11&lt;=Calculos!$B$4,A11,A11-Calculos!$B$4),Calculos!$B$2+1-MOD(7-1,Calculos!$B$6)+1),INDEX(Calculos!$B$36:$S$52,IF(A11&lt;=Calculos!$B$4,A11,A11-Calculos!$B$4),MOD(7-1,Calculos!$B$6)+1)),IF(MOD(IF(A11&lt;=Calculos!$B$4,A11,A11-Calculos!$B$4)+MOD(7-1,Calculos!$B$6)+1,2)=0,INDEX(Calculos!$B$36:$S$52,IF(A11&lt;=Calculos!$B$4,A11,A11-Calculos!$B$4),MOD(7-1,Calculos!$B$6)+1),INDEX(Calculos!$B$36:$S$52,IF(A11&lt;=Calculos!$B$4,A11,A11-Calculos!$B$4),Calculos!$B$2+1-MOD(7-1,Calculos!$B$6)+1)))))</f>
        <v>Atletico Bahia</v>
      </c>
      <c r="G11" s="9" t="str">
        <f t="shared" si="0"/>
        <v>Jugado</v>
      </c>
      <c r="H11" s="9">
        <f>IF(OR(C11="",F11=""),"",IF(AND(ISNUMBER(D11),ISNUMBER(E11)),IF(D11&gt;E11,Inicio!$E$6,IF(D11=E11,Inicio!$F$6,Inicio!$G$6)),""))</f>
        <v>3</v>
      </c>
      <c r="I11" s="9">
        <f>IF(OR(C11="",F11=""),"",IF(AND(ISNUMBER(D11),ISNUMBER(E11)),IF(D11&lt;E11,Inicio!$E$6,IF(D11=E11,Inicio!$F$6,Inicio!$G$6)),""))</f>
        <v>0</v>
      </c>
      <c r="J11" s="9">
        <f t="shared" si="1"/>
        <v>1</v>
      </c>
      <c r="K11" s="9">
        <f t="shared" si="2"/>
        <v>0</v>
      </c>
      <c r="L11" s="9">
        <f t="shared" si="3"/>
        <v>0</v>
      </c>
      <c r="M11" s="9">
        <f t="shared" si="4"/>
        <v>0</v>
      </c>
      <c r="N11" s="9">
        <f t="shared" si="5"/>
        <v>0</v>
      </c>
      <c r="O11" s="9">
        <f t="shared" si="6"/>
        <v>1</v>
      </c>
    </row>
    <row r="12" spans="1:15" x14ac:dyDescent="0.25">
      <c r="A12" s="9">
        <f>IF(OR(Calculos!$B$7=0,8&gt;Calculos!$B$7),"",INT((8-1)/Calculos!$B$6)+1)</f>
        <v>2</v>
      </c>
      <c r="B12" s="10">
        <f>IF(A12="","",Inicio!$E$5+(A12-1)*Inicio!$B$6)</f>
        <v>46089</v>
      </c>
      <c r="C12" s="11" t="str">
        <f>IF(A12="","",INDEX(Calculos!$B$11:$B$28,IF(A12&gt;Calculos!$B$4,IF(MOD(IF(A12&lt;=Calculos!$B$4,A12,A12-Calculos!$B$4)+MOD(8-1,Calculos!$B$6)+1,2)=0,INDEX(Calculos!$B$36:$S$52,IF(A12&lt;=Calculos!$B$4,A12,A12-Calculos!$B$4),MOD(8-1,Calculos!$B$6)+1),INDEX(Calculos!$B$36:$S$52,IF(A12&lt;=Calculos!$B$4,A12,A12-Calculos!$B$4),Calculos!$B$2+1-MOD(8-1,Calculos!$B$6)+1)),IF(MOD(IF(A12&lt;=Calculos!$B$4,A12,A12-Calculos!$B$4)+MOD(8-1,Calculos!$B$6)+1,2)=0,INDEX(Calculos!$B$36:$S$52,IF(A12&lt;=Calculos!$B$4,A12,A12-Calculos!$B$4),Calculos!$B$2+1-MOD(8-1,Calculos!$B$6)+1),INDEX(Calculos!$B$36:$S$52,IF(A12&lt;=Calculos!$B$4,A12,A12-Calculos!$B$4),MOD(8-1,Calculos!$B$6)+1)))))</f>
        <v>Deportivo Alboran</v>
      </c>
      <c r="D12" s="4">
        <v>0</v>
      </c>
      <c r="E12" s="4">
        <v>2</v>
      </c>
      <c r="F12" s="11" t="str">
        <f>IF(A12="","",INDEX(Calculos!$B$11:$B$28,IF(A12&gt;Calculos!$B$4,IF(MOD(IF(A12&lt;=Calculos!$B$4,A12,A12-Calculos!$B$4)+MOD(8-1,Calculos!$B$6)+1,2)=0,INDEX(Calculos!$B$36:$S$52,IF(A12&lt;=Calculos!$B$4,A12,A12-Calculos!$B$4),Calculos!$B$2+1-MOD(8-1,Calculos!$B$6)+1),INDEX(Calculos!$B$36:$S$52,IF(A12&lt;=Calculos!$B$4,A12,A12-Calculos!$B$4),MOD(8-1,Calculos!$B$6)+1)),IF(MOD(IF(A12&lt;=Calculos!$B$4,A12,A12-Calculos!$B$4)+MOD(8-1,Calculos!$B$6)+1,2)=0,INDEX(Calculos!$B$36:$S$52,IF(A12&lt;=Calculos!$B$4,A12,A12-Calculos!$B$4),MOD(8-1,Calculos!$B$6)+1),INDEX(Calculos!$B$36:$S$52,IF(A12&lt;=Calculos!$B$4,A12,A12-Calculos!$B$4),Calculos!$B$2+1-MOD(8-1,Calculos!$B$6)+1)))))</f>
        <v>Deportivo Alboran</v>
      </c>
      <c r="G12" s="9" t="str">
        <f t="shared" si="0"/>
        <v>Jugado</v>
      </c>
      <c r="H12" s="9">
        <f>IF(OR(C12="",F12=""),"",IF(AND(ISNUMBER(D12),ISNUMBER(E12)),IF(D12&gt;E12,Inicio!$E$6,IF(D12=E12,Inicio!$F$6,Inicio!$G$6)),""))</f>
        <v>0</v>
      </c>
      <c r="I12" s="9">
        <f>IF(OR(C12="",F12=""),"",IF(AND(ISNUMBER(D12),ISNUMBER(E12)),IF(D12&lt;E12,Inicio!$E$6,IF(D12=E12,Inicio!$F$6,Inicio!$G$6)),""))</f>
        <v>3</v>
      </c>
      <c r="J12" s="9">
        <f t="shared" si="1"/>
        <v>0</v>
      </c>
      <c r="K12" s="9">
        <f t="shared" si="2"/>
        <v>0</v>
      </c>
      <c r="L12" s="9">
        <f t="shared" si="3"/>
        <v>1</v>
      </c>
      <c r="M12" s="9">
        <f t="shared" si="4"/>
        <v>1</v>
      </c>
      <c r="N12" s="9">
        <f t="shared" si="5"/>
        <v>0</v>
      </c>
      <c r="O12" s="9">
        <f t="shared" si="6"/>
        <v>0</v>
      </c>
    </row>
    <row r="13" spans="1:15" x14ac:dyDescent="0.25">
      <c r="A13" s="9">
        <f>IF(OR(Calculos!$B$7=0,9&gt;Calculos!$B$7),"",INT((9-1)/Calculos!$B$6)+1)</f>
        <v>2</v>
      </c>
      <c r="B13" s="10">
        <f>IF(A13="","",Inicio!$E$5+(A13-1)*Inicio!$B$6)</f>
        <v>46089</v>
      </c>
      <c r="C13" s="11" t="str">
        <f>IF(A13="","",INDEX(Calculos!$B$11:$B$28,IF(A13&gt;Calculos!$B$4,IF(MOD(IF(A13&lt;=Calculos!$B$4,A13,A13-Calculos!$B$4)+MOD(9-1,Calculos!$B$6)+1,2)=0,INDEX(Calculos!$B$36:$S$52,IF(A13&lt;=Calculos!$B$4,A13,A13-Calculos!$B$4),MOD(9-1,Calculos!$B$6)+1),INDEX(Calculos!$B$36:$S$52,IF(A13&lt;=Calculos!$B$4,A13,A13-Calculos!$B$4),Calculos!$B$2+1-MOD(9-1,Calculos!$B$6)+1)),IF(MOD(IF(A13&lt;=Calculos!$B$4,A13,A13-Calculos!$B$4)+MOD(9-1,Calculos!$B$6)+1,2)=0,INDEX(Calculos!$B$36:$S$52,IF(A13&lt;=Calculos!$B$4,A13,A13-Calculos!$B$4),Calculos!$B$2+1-MOD(9-1,Calculos!$B$6)+1),INDEX(Calculos!$B$36:$S$52,IF(A13&lt;=Calculos!$B$4,A13,A13-Calculos!$B$4),MOD(9-1,Calculos!$B$6)+1)))))</f>
        <v>Racing del Prado</v>
      </c>
      <c r="D13" s="4">
        <v>3</v>
      </c>
      <c r="E13" s="4">
        <v>1</v>
      </c>
      <c r="F13" s="11" t="str">
        <f>IF(A13="","",INDEX(Calculos!$B$11:$B$28,IF(A13&gt;Calculos!$B$4,IF(MOD(IF(A13&lt;=Calculos!$B$4,A13,A13-Calculos!$B$4)+MOD(9-1,Calculos!$B$6)+1,2)=0,INDEX(Calculos!$B$36:$S$52,IF(A13&lt;=Calculos!$B$4,A13,A13-Calculos!$B$4),Calculos!$B$2+1-MOD(9-1,Calculos!$B$6)+1),INDEX(Calculos!$B$36:$S$52,IF(A13&lt;=Calculos!$B$4,A13,A13-Calculos!$B$4),MOD(9-1,Calculos!$B$6)+1)),IF(MOD(IF(A13&lt;=Calculos!$B$4,A13,A13-Calculos!$B$4)+MOD(9-1,Calculos!$B$6)+1,2)=0,INDEX(Calculos!$B$36:$S$52,IF(A13&lt;=Calculos!$B$4,A13,A13-Calculos!$B$4),MOD(9-1,Calculos!$B$6)+1),INDEX(Calculos!$B$36:$S$52,IF(A13&lt;=Calculos!$B$4,A13,A13-Calculos!$B$4),Calculos!$B$2+1-MOD(9-1,Calculos!$B$6)+1)))))</f>
        <v>Racing del Prado</v>
      </c>
      <c r="G13" s="9" t="str">
        <f t="shared" si="0"/>
        <v>Jugado</v>
      </c>
      <c r="H13" s="9">
        <f>IF(OR(C13="",F13=""),"",IF(AND(ISNUMBER(D13),ISNUMBER(E13)),IF(D13&gt;E13,Inicio!$E$6,IF(D13=E13,Inicio!$F$6,Inicio!$G$6)),""))</f>
        <v>3</v>
      </c>
      <c r="I13" s="9">
        <f>IF(OR(C13="",F13=""),"",IF(AND(ISNUMBER(D13),ISNUMBER(E13)),IF(D13&lt;E13,Inicio!$E$6,IF(D13=E13,Inicio!$F$6,Inicio!$G$6)),""))</f>
        <v>0</v>
      </c>
      <c r="J13" s="9">
        <f t="shared" si="1"/>
        <v>1</v>
      </c>
      <c r="K13" s="9">
        <f t="shared" si="2"/>
        <v>0</v>
      </c>
      <c r="L13" s="9">
        <f t="shared" si="3"/>
        <v>0</v>
      </c>
      <c r="M13" s="9">
        <f t="shared" si="4"/>
        <v>0</v>
      </c>
      <c r="N13" s="9">
        <f t="shared" si="5"/>
        <v>0</v>
      </c>
      <c r="O13" s="9">
        <f t="shared" si="6"/>
        <v>1</v>
      </c>
    </row>
    <row r="14" spans="1:15" x14ac:dyDescent="0.25">
      <c r="A14" s="9">
        <f>IF(OR(Calculos!$B$7=0,10&gt;Calculos!$B$7),"",INT((10-1)/Calculos!$B$6)+1)</f>
        <v>2</v>
      </c>
      <c r="B14" s="10">
        <f>IF(A14="","",Inicio!$E$5+(A14-1)*Inicio!$B$6)</f>
        <v>46089</v>
      </c>
      <c r="C14" s="11" t="str">
        <f>IF(A14="","",INDEX(Calculos!$B$11:$B$28,IF(A14&gt;Calculos!$B$4,IF(MOD(IF(A14&lt;=Calculos!$B$4,A14,A14-Calculos!$B$4)+MOD(10-1,Calculos!$B$6)+1,2)=0,INDEX(Calculos!$B$36:$S$52,IF(A14&lt;=Calculos!$B$4,A14,A14-Calculos!$B$4),MOD(10-1,Calculos!$B$6)+1),INDEX(Calculos!$B$36:$S$52,IF(A14&lt;=Calculos!$B$4,A14,A14-Calculos!$B$4),Calculos!$B$2+1-MOD(10-1,Calculos!$B$6)+1)),IF(MOD(IF(A14&lt;=Calculos!$B$4,A14,A14-Calculos!$B$4)+MOD(10-1,Calculos!$B$6)+1,2)=0,INDEX(Calculos!$B$36:$S$52,IF(A14&lt;=Calculos!$B$4,A14,A14-Calculos!$B$4),Calculos!$B$2+1-MOD(10-1,Calculos!$B$6)+1),INDEX(Calculos!$B$36:$S$52,IF(A14&lt;=Calculos!$B$4,A14,A14-Calculos!$B$4),MOD(10-1,Calculos!$B$6)+1)))))</f>
        <v>Union Sierra</v>
      </c>
      <c r="D14" s="4">
        <v>1</v>
      </c>
      <c r="E14" s="4">
        <v>3</v>
      </c>
      <c r="F14" s="11" t="str">
        <f>IF(A14="","",INDEX(Calculos!$B$11:$B$28,IF(A14&gt;Calculos!$B$4,IF(MOD(IF(A14&lt;=Calculos!$B$4,A14,A14-Calculos!$B$4)+MOD(10-1,Calculos!$B$6)+1,2)=0,INDEX(Calculos!$B$36:$S$52,IF(A14&lt;=Calculos!$B$4,A14,A14-Calculos!$B$4),Calculos!$B$2+1-MOD(10-1,Calculos!$B$6)+1),INDEX(Calculos!$B$36:$S$52,IF(A14&lt;=Calculos!$B$4,A14,A14-Calculos!$B$4),MOD(10-1,Calculos!$B$6)+1)),IF(MOD(IF(A14&lt;=Calculos!$B$4,A14,A14-Calculos!$B$4)+MOD(10-1,Calculos!$B$6)+1,2)=0,INDEX(Calculos!$B$36:$S$52,IF(A14&lt;=Calculos!$B$4,A14,A14-Calculos!$B$4),MOD(10-1,Calculos!$B$6)+1),INDEX(Calculos!$B$36:$S$52,IF(A14&lt;=Calculos!$B$4,A14,A14-Calculos!$B$4),Calculos!$B$2+1-MOD(10-1,Calculos!$B$6)+1)))))</f>
        <v>Union Sierra</v>
      </c>
      <c r="G14" s="9" t="str">
        <f t="shared" si="0"/>
        <v>Jugado</v>
      </c>
      <c r="H14" s="9">
        <f>IF(OR(C14="",F14=""),"",IF(AND(ISNUMBER(D14),ISNUMBER(E14)),IF(D14&gt;E14,Inicio!$E$6,IF(D14=E14,Inicio!$F$6,Inicio!$G$6)),""))</f>
        <v>0</v>
      </c>
      <c r="I14" s="9">
        <f>IF(OR(C14="",F14=""),"",IF(AND(ISNUMBER(D14),ISNUMBER(E14)),IF(D14&lt;E14,Inicio!$E$6,IF(D14=E14,Inicio!$F$6,Inicio!$G$6)),""))</f>
        <v>3</v>
      </c>
      <c r="J14" s="9">
        <f t="shared" si="1"/>
        <v>0</v>
      </c>
      <c r="K14" s="9">
        <f t="shared" si="2"/>
        <v>0</v>
      </c>
      <c r="L14" s="9">
        <f t="shared" si="3"/>
        <v>1</v>
      </c>
      <c r="M14" s="9">
        <f t="shared" si="4"/>
        <v>1</v>
      </c>
      <c r="N14" s="9">
        <f t="shared" si="5"/>
        <v>0</v>
      </c>
      <c r="O14" s="9">
        <f t="shared" si="6"/>
        <v>0</v>
      </c>
    </row>
    <row r="15" spans="1:15" x14ac:dyDescent="0.25">
      <c r="A15" s="9">
        <f>IF(OR(Calculos!$B$7=0,11&gt;Calculos!$B$7),"",INT((11-1)/Calculos!$B$6)+1)</f>
        <v>3</v>
      </c>
      <c r="B15" s="10">
        <f>IF(A15="","",Inicio!$E$5+(A15-1)*Inicio!$B$6)</f>
        <v>46096</v>
      </c>
      <c r="C15" s="11" t="str">
        <f>IF(A15="","",INDEX(Calculos!$B$11:$B$28,IF(A15&gt;Calculos!$B$4,IF(MOD(IF(A15&lt;=Calculos!$B$4,A15,A15-Calculos!$B$4)+MOD(11-1,Calculos!$B$6)+1,2)=0,INDEX(Calculos!$B$36:$S$52,IF(A15&lt;=Calculos!$B$4,A15,A15-Calculos!$B$4),MOD(11-1,Calculos!$B$6)+1),INDEX(Calculos!$B$36:$S$52,IF(A15&lt;=Calculos!$B$4,A15,A15-Calculos!$B$4),Calculos!$B$2+1-MOD(11-1,Calculos!$B$6)+1)),IF(MOD(IF(A15&lt;=Calculos!$B$4,A15,A15-Calculos!$B$4)+MOD(11-1,Calculos!$B$6)+1,2)=0,INDEX(Calculos!$B$36:$S$52,IF(A15&lt;=Calculos!$B$4,A15,A15-Calculos!$B$4),Calculos!$B$2+1-MOD(11-1,Calculos!$B$6)+1),INDEX(Calculos!$B$36:$S$52,IF(A15&lt;=Calculos!$B$4,A15,A15-Calculos!$B$4),MOD(11-1,Calculos!$B$6)+1)))))</f>
        <v>Sporting Marea</v>
      </c>
      <c r="D15" s="4">
        <v>0</v>
      </c>
      <c r="E15" s="4">
        <v>1</v>
      </c>
      <c r="F15" s="11" t="str">
        <f>IF(A15="","",INDEX(Calculos!$B$11:$B$28,IF(A15&gt;Calculos!$B$4,IF(MOD(IF(A15&lt;=Calculos!$B$4,A15,A15-Calculos!$B$4)+MOD(11-1,Calculos!$B$6)+1,2)=0,INDEX(Calculos!$B$36:$S$52,IF(A15&lt;=Calculos!$B$4,A15,A15-Calculos!$B$4),Calculos!$B$2+1-MOD(11-1,Calculos!$B$6)+1),INDEX(Calculos!$B$36:$S$52,IF(A15&lt;=Calculos!$B$4,A15,A15-Calculos!$B$4),MOD(11-1,Calculos!$B$6)+1)),IF(MOD(IF(A15&lt;=Calculos!$B$4,A15,A15-Calculos!$B$4)+MOD(11-1,Calculos!$B$6)+1,2)=0,INDEX(Calculos!$B$36:$S$52,IF(A15&lt;=Calculos!$B$4,A15,A15-Calculos!$B$4),MOD(11-1,Calculos!$B$6)+1),INDEX(Calculos!$B$36:$S$52,IF(A15&lt;=Calculos!$B$4,A15,A15-Calculos!$B$4),Calculos!$B$2+1-MOD(11-1,Calculos!$B$6)+1)))))</f>
        <v>Sporting Marea</v>
      </c>
      <c r="G15" s="9" t="str">
        <f t="shared" si="0"/>
        <v>Jugado</v>
      </c>
      <c r="H15" s="9">
        <f>IF(OR(C15="",F15=""),"",IF(AND(ISNUMBER(D15),ISNUMBER(E15)),IF(D15&gt;E15,Inicio!$E$6,IF(D15=E15,Inicio!$F$6,Inicio!$G$6)),""))</f>
        <v>0</v>
      </c>
      <c r="I15" s="9">
        <f>IF(OR(C15="",F15=""),"",IF(AND(ISNUMBER(D15),ISNUMBER(E15)),IF(D15&lt;E15,Inicio!$E$6,IF(D15=E15,Inicio!$F$6,Inicio!$G$6)),""))</f>
        <v>3</v>
      </c>
      <c r="J15" s="9">
        <f t="shared" si="1"/>
        <v>0</v>
      </c>
      <c r="K15" s="9">
        <f t="shared" si="2"/>
        <v>0</v>
      </c>
      <c r="L15" s="9">
        <f t="shared" si="3"/>
        <v>1</v>
      </c>
      <c r="M15" s="9">
        <f t="shared" si="4"/>
        <v>1</v>
      </c>
      <c r="N15" s="9">
        <f t="shared" si="5"/>
        <v>0</v>
      </c>
      <c r="O15" s="9">
        <f t="shared" si="6"/>
        <v>0</v>
      </c>
    </row>
    <row r="16" spans="1:15" x14ac:dyDescent="0.25">
      <c r="A16" s="9">
        <f>IF(OR(Calculos!$B$7=0,12&gt;Calculos!$B$7),"",INT((12-1)/Calculos!$B$6)+1)</f>
        <v>3</v>
      </c>
      <c r="B16" s="10">
        <f>IF(A16="","",Inicio!$E$5+(A16-1)*Inicio!$B$6)</f>
        <v>46096</v>
      </c>
      <c r="C16" s="11" t="str">
        <f>IF(A16="","",INDEX(Calculos!$B$11:$B$28,IF(A16&gt;Calculos!$B$4,IF(MOD(IF(A16&lt;=Calculos!$B$4,A16,A16-Calculos!$B$4)+MOD(12-1,Calculos!$B$6)+1,2)=0,INDEX(Calculos!$B$36:$S$52,IF(A16&lt;=Calculos!$B$4,A16,A16-Calculos!$B$4),MOD(12-1,Calculos!$B$6)+1),INDEX(Calculos!$B$36:$S$52,IF(A16&lt;=Calculos!$B$4,A16,A16-Calculos!$B$4),Calculos!$B$2+1-MOD(12-1,Calculos!$B$6)+1)),IF(MOD(IF(A16&lt;=Calculos!$B$4,A16,A16-Calculos!$B$4)+MOD(12-1,Calculos!$B$6)+1,2)=0,INDEX(Calculos!$B$36:$S$52,IF(A16&lt;=Calculos!$B$4,A16,A16-Calculos!$B$4),Calculos!$B$2+1-MOD(12-1,Calculos!$B$6)+1),INDEX(Calculos!$B$36:$S$52,IF(A16&lt;=Calculos!$B$4,A16,A16-Calculos!$B$4),MOD(12-1,Calculos!$B$6)+1)))))</f>
        <v>Real Mirador</v>
      </c>
      <c r="D16" s="4">
        <v>2</v>
      </c>
      <c r="E16" s="4">
        <v>2</v>
      </c>
      <c r="F16" s="11" t="str">
        <f>IF(A16="","",INDEX(Calculos!$B$11:$B$28,IF(A16&gt;Calculos!$B$4,IF(MOD(IF(A16&lt;=Calculos!$B$4,A16,A16-Calculos!$B$4)+MOD(12-1,Calculos!$B$6)+1,2)=0,INDEX(Calculos!$B$36:$S$52,IF(A16&lt;=Calculos!$B$4,A16,A16-Calculos!$B$4),Calculos!$B$2+1-MOD(12-1,Calculos!$B$6)+1),INDEX(Calculos!$B$36:$S$52,IF(A16&lt;=Calculos!$B$4,A16,A16-Calculos!$B$4),MOD(12-1,Calculos!$B$6)+1)),IF(MOD(IF(A16&lt;=Calculos!$B$4,A16,A16-Calculos!$B$4)+MOD(12-1,Calculos!$B$6)+1,2)=0,INDEX(Calculos!$B$36:$S$52,IF(A16&lt;=Calculos!$B$4,A16,A16-Calculos!$B$4),MOD(12-1,Calculos!$B$6)+1),INDEX(Calculos!$B$36:$S$52,IF(A16&lt;=Calculos!$B$4,A16,A16-Calculos!$B$4),Calculos!$B$2+1-MOD(12-1,Calculos!$B$6)+1)))))</f>
        <v>Real Mirador</v>
      </c>
      <c r="G16" s="9" t="str">
        <f t="shared" si="0"/>
        <v>Jugado</v>
      </c>
      <c r="H16" s="9">
        <f>IF(OR(C16="",F16=""),"",IF(AND(ISNUMBER(D16),ISNUMBER(E16)),IF(D16&gt;E16,Inicio!$E$6,IF(D16=E16,Inicio!$F$6,Inicio!$G$6)),""))</f>
        <v>1</v>
      </c>
      <c r="I16" s="9">
        <f>IF(OR(C16="",F16=""),"",IF(AND(ISNUMBER(D16),ISNUMBER(E16)),IF(D16&lt;E16,Inicio!$E$6,IF(D16=E16,Inicio!$F$6,Inicio!$G$6)),""))</f>
        <v>1</v>
      </c>
      <c r="J16" s="9">
        <f t="shared" si="1"/>
        <v>0</v>
      </c>
      <c r="K16" s="9">
        <f t="shared" si="2"/>
        <v>1</v>
      </c>
      <c r="L16" s="9">
        <f t="shared" si="3"/>
        <v>0</v>
      </c>
      <c r="M16" s="9">
        <f t="shared" si="4"/>
        <v>0</v>
      </c>
      <c r="N16" s="9">
        <f t="shared" si="5"/>
        <v>1</v>
      </c>
      <c r="O16" s="9">
        <f t="shared" si="6"/>
        <v>0</v>
      </c>
    </row>
    <row r="17" spans="1:15" x14ac:dyDescent="0.25">
      <c r="A17" s="9">
        <f>IF(OR(Calculos!$B$7=0,13&gt;Calculos!$B$7),"",INT((13-1)/Calculos!$B$6)+1)</f>
        <v>3</v>
      </c>
      <c r="B17" s="10">
        <f>IF(A17="","",Inicio!$E$5+(A17-1)*Inicio!$B$6)</f>
        <v>46096</v>
      </c>
      <c r="C17" s="11" t="str">
        <f>IF(A17="","",INDEX(Calculos!$B$11:$B$28,IF(A17&gt;Calculos!$B$4,IF(MOD(IF(A17&lt;=Calculos!$B$4,A17,A17-Calculos!$B$4)+MOD(13-1,Calculos!$B$6)+1,2)=0,INDEX(Calculos!$B$36:$S$52,IF(A17&lt;=Calculos!$B$4,A17,A17-Calculos!$B$4),MOD(13-1,Calculos!$B$6)+1),INDEX(Calculos!$B$36:$S$52,IF(A17&lt;=Calculos!$B$4,A17,A17-Calculos!$B$4),Calculos!$B$2+1-MOD(13-1,Calculos!$B$6)+1)),IF(MOD(IF(A17&lt;=Calculos!$B$4,A17,A17-Calculos!$B$4)+MOD(13-1,Calculos!$B$6)+1,2)=0,INDEX(Calculos!$B$36:$S$52,IF(A17&lt;=Calculos!$B$4,A17,A17-Calculos!$B$4),Calculos!$B$2+1-MOD(13-1,Calculos!$B$6)+1),INDEX(Calculos!$B$36:$S$52,IF(A17&lt;=Calculos!$B$4,A17,A17-Calculos!$B$4),MOD(13-1,Calculos!$B$6)+1)))))</f>
        <v>CD Aurora</v>
      </c>
      <c r="D17" s="4">
        <v>4</v>
      </c>
      <c r="E17" s="4">
        <v>2</v>
      </c>
      <c r="F17" s="11" t="str">
        <f>IF(A17="","",INDEX(Calculos!$B$11:$B$28,IF(A17&gt;Calculos!$B$4,IF(MOD(IF(A17&lt;=Calculos!$B$4,A17,A17-Calculos!$B$4)+MOD(13-1,Calculos!$B$6)+1,2)=0,INDEX(Calculos!$B$36:$S$52,IF(A17&lt;=Calculos!$B$4,A17,A17-Calculos!$B$4),Calculos!$B$2+1-MOD(13-1,Calculos!$B$6)+1),INDEX(Calculos!$B$36:$S$52,IF(A17&lt;=Calculos!$B$4,A17,A17-Calculos!$B$4),MOD(13-1,Calculos!$B$6)+1)),IF(MOD(IF(A17&lt;=Calculos!$B$4,A17,A17-Calculos!$B$4)+MOD(13-1,Calculos!$B$6)+1,2)=0,INDEX(Calculos!$B$36:$S$52,IF(A17&lt;=Calculos!$B$4,A17,A17-Calculos!$B$4),MOD(13-1,Calculos!$B$6)+1),INDEX(Calculos!$B$36:$S$52,IF(A17&lt;=Calculos!$B$4,A17,A17-Calculos!$B$4),Calculos!$B$2+1-MOD(13-1,Calculos!$B$6)+1)))))</f>
        <v>CD Aurora</v>
      </c>
      <c r="G17" s="9" t="str">
        <f t="shared" si="0"/>
        <v>Jugado</v>
      </c>
      <c r="H17" s="9">
        <f>IF(OR(C17="",F17=""),"",IF(AND(ISNUMBER(D17),ISNUMBER(E17)),IF(D17&gt;E17,Inicio!$E$6,IF(D17=E17,Inicio!$F$6,Inicio!$G$6)),""))</f>
        <v>3</v>
      </c>
      <c r="I17" s="9">
        <f>IF(OR(C17="",F17=""),"",IF(AND(ISNUMBER(D17),ISNUMBER(E17)),IF(D17&lt;E17,Inicio!$E$6,IF(D17=E17,Inicio!$F$6,Inicio!$G$6)),""))</f>
        <v>0</v>
      </c>
      <c r="J17" s="9">
        <f t="shared" si="1"/>
        <v>1</v>
      </c>
      <c r="K17" s="9">
        <f t="shared" si="2"/>
        <v>0</v>
      </c>
      <c r="L17" s="9">
        <f t="shared" si="3"/>
        <v>0</v>
      </c>
      <c r="M17" s="9">
        <f t="shared" si="4"/>
        <v>0</v>
      </c>
      <c r="N17" s="9">
        <f t="shared" si="5"/>
        <v>0</v>
      </c>
      <c r="O17" s="9">
        <f t="shared" si="6"/>
        <v>1</v>
      </c>
    </row>
    <row r="18" spans="1:15" x14ac:dyDescent="0.25">
      <c r="A18" s="9">
        <f>IF(OR(Calculos!$B$7=0,14&gt;Calculos!$B$7),"",INT((14-1)/Calculos!$B$6)+1)</f>
        <v>3</v>
      </c>
      <c r="B18" s="10">
        <f>IF(A18="","",Inicio!$E$5+(A18-1)*Inicio!$B$6)</f>
        <v>46096</v>
      </c>
      <c r="C18" s="11" t="str">
        <f>IF(A18="","",INDEX(Calculos!$B$11:$B$28,IF(A18&gt;Calculos!$B$4,IF(MOD(IF(A18&lt;=Calculos!$B$4,A18,A18-Calculos!$B$4)+MOD(14-1,Calculos!$B$6)+1,2)=0,INDEX(Calculos!$B$36:$S$52,IF(A18&lt;=Calculos!$B$4,A18,A18-Calculos!$B$4),MOD(14-1,Calculos!$B$6)+1),INDEX(Calculos!$B$36:$S$52,IF(A18&lt;=Calculos!$B$4,A18,A18-Calculos!$B$4),Calculos!$B$2+1-MOD(14-1,Calculos!$B$6)+1)),IF(MOD(IF(A18&lt;=Calculos!$B$4,A18,A18-Calculos!$B$4)+MOD(14-1,Calculos!$B$6)+1,2)=0,INDEX(Calculos!$B$36:$S$52,IF(A18&lt;=Calculos!$B$4,A18,A18-Calculos!$B$4),Calculos!$B$2+1-MOD(14-1,Calculos!$B$6)+1),INDEX(Calculos!$B$36:$S$52,IF(A18&lt;=Calculos!$B$4,A18,A18-Calculos!$B$4),MOD(14-1,Calculos!$B$6)+1)))))</f>
        <v>Inter Laguna</v>
      </c>
      <c r="D18" s="4">
        <v>1</v>
      </c>
      <c r="E18" s="4">
        <v>0</v>
      </c>
      <c r="F18" s="11" t="str">
        <f>IF(A18="","",INDEX(Calculos!$B$11:$B$28,IF(A18&gt;Calculos!$B$4,IF(MOD(IF(A18&lt;=Calculos!$B$4,A18,A18-Calculos!$B$4)+MOD(14-1,Calculos!$B$6)+1,2)=0,INDEX(Calculos!$B$36:$S$52,IF(A18&lt;=Calculos!$B$4,A18,A18-Calculos!$B$4),Calculos!$B$2+1-MOD(14-1,Calculos!$B$6)+1),INDEX(Calculos!$B$36:$S$52,IF(A18&lt;=Calculos!$B$4,A18,A18-Calculos!$B$4),MOD(14-1,Calculos!$B$6)+1)),IF(MOD(IF(A18&lt;=Calculos!$B$4,A18,A18-Calculos!$B$4)+MOD(14-1,Calculos!$B$6)+1,2)=0,INDEX(Calculos!$B$36:$S$52,IF(A18&lt;=Calculos!$B$4,A18,A18-Calculos!$B$4),MOD(14-1,Calculos!$B$6)+1),INDEX(Calculos!$B$36:$S$52,IF(A18&lt;=Calculos!$B$4,A18,A18-Calculos!$B$4),Calculos!$B$2+1-MOD(14-1,Calculos!$B$6)+1)))))</f>
        <v>Inter Laguna</v>
      </c>
      <c r="G18" s="9" t="str">
        <f t="shared" si="0"/>
        <v>Jugado</v>
      </c>
      <c r="H18" s="9">
        <f>IF(OR(C18="",F18=""),"",IF(AND(ISNUMBER(D18),ISNUMBER(E18)),IF(D18&gt;E18,Inicio!$E$6,IF(D18=E18,Inicio!$F$6,Inicio!$G$6)),""))</f>
        <v>3</v>
      </c>
      <c r="I18" s="9">
        <f>IF(OR(C18="",F18=""),"",IF(AND(ISNUMBER(D18),ISNUMBER(E18)),IF(D18&lt;E18,Inicio!$E$6,IF(D18=E18,Inicio!$F$6,Inicio!$G$6)),""))</f>
        <v>0</v>
      </c>
      <c r="J18" s="9">
        <f t="shared" si="1"/>
        <v>1</v>
      </c>
      <c r="K18" s="9">
        <f t="shared" si="2"/>
        <v>0</v>
      </c>
      <c r="L18" s="9">
        <f t="shared" si="3"/>
        <v>0</v>
      </c>
      <c r="M18" s="9">
        <f t="shared" si="4"/>
        <v>0</v>
      </c>
      <c r="N18" s="9">
        <f t="shared" si="5"/>
        <v>0</v>
      </c>
      <c r="O18" s="9">
        <f t="shared" si="6"/>
        <v>1</v>
      </c>
    </row>
    <row r="19" spans="1:15" x14ac:dyDescent="0.25">
      <c r="A19" s="9">
        <f>IF(OR(Calculos!$B$7=0,15&gt;Calculos!$B$7),"",INT((15-1)/Calculos!$B$6)+1)</f>
        <v>3</v>
      </c>
      <c r="B19" s="10">
        <f>IF(A19="","",Inicio!$E$5+(A19-1)*Inicio!$B$6)</f>
        <v>46096</v>
      </c>
      <c r="C19" s="11" t="str">
        <f>IF(A19="","",INDEX(Calculos!$B$11:$B$28,IF(A19&gt;Calculos!$B$4,IF(MOD(IF(A19&lt;=Calculos!$B$4,A19,A19-Calculos!$B$4)+MOD(15-1,Calculos!$B$6)+1,2)=0,INDEX(Calculos!$B$36:$S$52,IF(A19&lt;=Calculos!$B$4,A19,A19-Calculos!$B$4),MOD(15-1,Calculos!$B$6)+1),INDEX(Calculos!$B$36:$S$52,IF(A19&lt;=Calculos!$B$4,A19,A19-Calculos!$B$4),Calculos!$B$2+1-MOD(15-1,Calculos!$B$6)+1)),IF(MOD(IF(A19&lt;=Calculos!$B$4,A19,A19-Calculos!$B$4)+MOD(15-1,Calculos!$B$6)+1,2)=0,INDEX(Calculos!$B$36:$S$52,IF(A19&lt;=Calculos!$B$4,A19,A19-Calculos!$B$4),Calculos!$B$2+1-MOD(15-1,Calculos!$B$6)+1),INDEX(Calculos!$B$36:$S$52,IF(A19&lt;=Calculos!$B$4,A19,A19-Calculos!$B$4),MOD(15-1,Calculos!$B$6)+1)))))</f>
        <v>Juventud Central</v>
      </c>
      <c r="D19" s="4">
        <v>2</v>
      </c>
      <c r="E19" s="4">
        <v>4</v>
      </c>
      <c r="F19" s="11" t="str">
        <f>IF(A19="","",INDEX(Calculos!$B$11:$B$28,IF(A19&gt;Calculos!$B$4,IF(MOD(IF(A19&lt;=Calculos!$B$4,A19,A19-Calculos!$B$4)+MOD(15-1,Calculos!$B$6)+1,2)=0,INDEX(Calculos!$B$36:$S$52,IF(A19&lt;=Calculos!$B$4,A19,A19-Calculos!$B$4),Calculos!$B$2+1-MOD(15-1,Calculos!$B$6)+1),INDEX(Calculos!$B$36:$S$52,IF(A19&lt;=Calculos!$B$4,A19,A19-Calculos!$B$4),MOD(15-1,Calculos!$B$6)+1)),IF(MOD(IF(A19&lt;=Calculos!$B$4,A19,A19-Calculos!$B$4)+MOD(15-1,Calculos!$B$6)+1,2)=0,INDEX(Calculos!$B$36:$S$52,IF(A19&lt;=Calculos!$B$4,A19,A19-Calculos!$B$4),MOD(15-1,Calculos!$B$6)+1),INDEX(Calculos!$B$36:$S$52,IF(A19&lt;=Calculos!$B$4,A19,A19-Calculos!$B$4),Calculos!$B$2+1-MOD(15-1,Calculos!$B$6)+1)))))</f>
        <v>Juventud Central</v>
      </c>
      <c r="G19" s="9" t="str">
        <f t="shared" si="0"/>
        <v>Jugado</v>
      </c>
      <c r="H19" s="9">
        <f>IF(OR(C19="",F19=""),"",IF(AND(ISNUMBER(D19),ISNUMBER(E19)),IF(D19&gt;E19,Inicio!$E$6,IF(D19=E19,Inicio!$F$6,Inicio!$G$6)),""))</f>
        <v>0</v>
      </c>
      <c r="I19" s="9">
        <f>IF(OR(C19="",F19=""),"",IF(AND(ISNUMBER(D19),ISNUMBER(E19)),IF(D19&lt;E19,Inicio!$E$6,IF(D19=E19,Inicio!$F$6,Inicio!$G$6)),""))</f>
        <v>3</v>
      </c>
      <c r="J19" s="9">
        <f t="shared" si="1"/>
        <v>0</v>
      </c>
      <c r="K19" s="9">
        <f t="shared" si="2"/>
        <v>0</v>
      </c>
      <c r="L19" s="9">
        <f t="shared" si="3"/>
        <v>1</v>
      </c>
      <c r="M19" s="9">
        <f t="shared" si="4"/>
        <v>1</v>
      </c>
      <c r="N19" s="9">
        <f t="shared" si="5"/>
        <v>0</v>
      </c>
      <c r="O19" s="9">
        <f t="shared" si="6"/>
        <v>0</v>
      </c>
    </row>
    <row r="20" spans="1:15" x14ac:dyDescent="0.25">
      <c r="A20" s="9">
        <f>IF(OR(Calculos!$B$7=0,16&gt;Calculos!$B$7),"",INT((16-1)/Calculos!$B$6)+1)</f>
        <v>4</v>
      </c>
      <c r="B20" s="10">
        <f>IF(A20="","",Inicio!$E$5+(A20-1)*Inicio!$B$6)</f>
        <v>46103</v>
      </c>
      <c r="C20" s="11" t="str">
        <f>IF(A20="","",INDEX(Calculos!$B$11:$B$28,IF(A20&gt;Calculos!$B$4,IF(MOD(IF(A20&lt;=Calculos!$B$4,A20,A20-Calculos!$B$4)+MOD(16-1,Calculos!$B$6)+1,2)=0,INDEX(Calculos!$B$36:$S$52,IF(A20&lt;=Calculos!$B$4,A20,A20-Calculos!$B$4),MOD(16-1,Calculos!$B$6)+1),INDEX(Calculos!$B$36:$S$52,IF(A20&lt;=Calculos!$B$4,A20,A20-Calculos!$B$4),Calculos!$B$2+1-MOD(16-1,Calculos!$B$6)+1)),IF(MOD(IF(A20&lt;=Calculos!$B$4,A20,A20-Calculos!$B$4)+MOD(16-1,Calculos!$B$6)+1,2)=0,INDEX(Calculos!$B$36:$S$52,IF(A20&lt;=Calculos!$B$4,A20,A20-Calculos!$B$4),Calculos!$B$2+1-MOD(16-1,Calculos!$B$6)+1),INDEX(Calculos!$B$36:$S$52,IF(A20&lt;=Calculos!$B$4,A20,A20-Calculos!$B$4),MOD(16-1,Calculos!$B$6)+1)))))</f>
        <v>Velez Sur</v>
      </c>
      <c r="D20" s="4"/>
      <c r="E20" s="4"/>
      <c r="F20" s="11" t="str">
        <f>IF(A20="","",INDEX(Calculos!$B$11:$B$28,IF(A20&gt;Calculos!$B$4,IF(MOD(IF(A20&lt;=Calculos!$B$4,A20,A20-Calculos!$B$4)+MOD(16-1,Calculos!$B$6)+1,2)=0,INDEX(Calculos!$B$36:$S$52,IF(A20&lt;=Calculos!$B$4,A20,A20-Calculos!$B$4),Calculos!$B$2+1-MOD(16-1,Calculos!$B$6)+1),INDEX(Calculos!$B$36:$S$52,IF(A20&lt;=Calculos!$B$4,A20,A20-Calculos!$B$4),MOD(16-1,Calculos!$B$6)+1)),IF(MOD(IF(A20&lt;=Calculos!$B$4,A20,A20-Calculos!$B$4)+MOD(16-1,Calculos!$B$6)+1,2)=0,INDEX(Calculos!$B$36:$S$52,IF(A20&lt;=Calculos!$B$4,A20,A20-Calculos!$B$4),MOD(16-1,Calculos!$B$6)+1),INDEX(Calculos!$B$36:$S$52,IF(A20&lt;=Calculos!$B$4,A20,A20-Calculos!$B$4),Calculos!$B$2+1-MOD(16-1,Calculos!$B$6)+1)))))</f>
        <v>Velez Sur</v>
      </c>
      <c r="G20" s="9" t="str">
        <f t="shared" si="0"/>
        <v>Pendiente</v>
      </c>
      <c r="H20" s="9" t="str">
        <f>IF(OR(C20="",F20=""),"",IF(AND(ISNUMBER(D20),ISNUMBER(E20)),IF(D20&gt;E20,Inicio!$E$6,IF(D20=E20,Inicio!$F$6,Inicio!$G$6)),""))</f>
        <v/>
      </c>
      <c r="I20" s="9" t="str">
        <f>IF(OR(C20="",F20=""),"",IF(AND(ISNUMBER(D20),ISNUMBER(E20)),IF(D20&lt;E20,Inicio!$E$6,IF(D20=E20,Inicio!$F$6,Inicio!$G$6)),""))</f>
        <v/>
      </c>
      <c r="J20" s="9">
        <f t="shared" si="1"/>
        <v>0</v>
      </c>
      <c r="K20" s="9">
        <f t="shared" si="2"/>
        <v>0</v>
      </c>
      <c r="L20" s="9">
        <f t="shared" si="3"/>
        <v>0</v>
      </c>
      <c r="M20" s="9">
        <f t="shared" si="4"/>
        <v>0</v>
      </c>
      <c r="N20" s="9">
        <f t="shared" si="5"/>
        <v>0</v>
      </c>
      <c r="O20" s="9">
        <f t="shared" si="6"/>
        <v>0</v>
      </c>
    </row>
    <row r="21" spans="1:15" x14ac:dyDescent="0.25">
      <c r="A21" s="9">
        <f>IF(OR(Calculos!$B$7=0,17&gt;Calculos!$B$7),"",INT((17-1)/Calculos!$B$6)+1)</f>
        <v>4</v>
      </c>
      <c r="B21" s="10">
        <f>IF(A21="","",Inicio!$E$5+(A21-1)*Inicio!$B$6)</f>
        <v>46103</v>
      </c>
      <c r="C21" s="11" t="str">
        <f>IF(A21="","",INDEX(Calculos!$B$11:$B$28,IF(A21&gt;Calculos!$B$4,IF(MOD(IF(A21&lt;=Calculos!$B$4,A21,A21-Calculos!$B$4)+MOD(17-1,Calculos!$B$6)+1,2)=0,INDEX(Calculos!$B$36:$S$52,IF(A21&lt;=Calculos!$B$4,A21,A21-Calculos!$B$4),MOD(17-1,Calculos!$B$6)+1),INDEX(Calculos!$B$36:$S$52,IF(A21&lt;=Calculos!$B$4,A21,A21-Calculos!$B$4),Calculos!$B$2+1-MOD(17-1,Calculos!$B$6)+1)),IF(MOD(IF(A21&lt;=Calculos!$B$4,A21,A21-Calculos!$B$4)+MOD(17-1,Calculos!$B$6)+1,2)=0,INDEX(Calculos!$B$36:$S$52,IF(A21&lt;=Calculos!$B$4,A21,A21-Calculos!$B$4),Calculos!$B$2+1-MOD(17-1,Calculos!$B$6)+1),INDEX(Calculos!$B$36:$S$52,IF(A21&lt;=Calculos!$B$4,A21,A21-Calculos!$B$4),MOD(17-1,Calculos!$B$6)+1)))))</f>
        <v/>
      </c>
      <c r="D21" s="4"/>
      <c r="E21" s="4"/>
      <c r="F21" s="11" t="str">
        <f>IF(A21="","",INDEX(Calculos!$B$11:$B$28,IF(A21&gt;Calculos!$B$4,IF(MOD(IF(A21&lt;=Calculos!$B$4,A21,A21-Calculos!$B$4)+MOD(17-1,Calculos!$B$6)+1,2)=0,INDEX(Calculos!$B$36:$S$52,IF(A21&lt;=Calculos!$B$4,A21,A21-Calculos!$B$4),Calculos!$B$2+1-MOD(17-1,Calculos!$B$6)+1),INDEX(Calculos!$B$36:$S$52,IF(A21&lt;=Calculos!$B$4,A21,A21-Calculos!$B$4),MOD(17-1,Calculos!$B$6)+1)),IF(MOD(IF(A21&lt;=Calculos!$B$4,A21,A21-Calculos!$B$4)+MOD(17-1,Calculos!$B$6)+1,2)=0,INDEX(Calculos!$B$36:$S$52,IF(A21&lt;=Calculos!$B$4,A21,A21-Calculos!$B$4),MOD(17-1,Calculos!$B$6)+1),INDEX(Calculos!$B$36:$S$52,IF(A21&lt;=Calculos!$B$4,A21,A21-Calculos!$B$4),Calculos!$B$2+1-MOD(17-1,Calculos!$B$6)+1)))))</f>
        <v/>
      </c>
      <c r="G21" s="9" t="str">
        <f t="shared" si="0"/>
        <v>Pendiente</v>
      </c>
      <c r="H21" s="9" t="str">
        <f>IF(OR(C21="",F21=""),"",IF(AND(ISNUMBER(D21),ISNUMBER(E21)),IF(D21&gt;E21,Inicio!$E$6,IF(D21=E21,Inicio!$F$6,Inicio!$G$6)),""))</f>
        <v/>
      </c>
      <c r="I21" s="9" t="str">
        <f>IF(OR(C21="",F21=""),"",IF(AND(ISNUMBER(D21),ISNUMBER(E21)),IF(D21&lt;E21,Inicio!$E$6,IF(D21=E21,Inicio!$F$6,Inicio!$G$6)),""))</f>
        <v/>
      </c>
      <c r="J21" s="9">
        <f t="shared" si="1"/>
        <v>0</v>
      </c>
      <c r="K21" s="9">
        <f t="shared" si="2"/>
        <v>0</v>
      </c>
      <c r="L21" s="9">
        <f t="shared" si="3"/>
        <v>0</v>
      </c>
      <c r="M21" s="9">
        <f t="shared" si="4"/>
        <v>0</v>
      </c>
      <c r="N21" s="9">
        <f t="shared" si="5"/>
        <v>0</v>
      </c>
      <c r="O21" s="9">
        <f t="shared" si="6"/>
        <v>0</v>
      </c>
    </row>
    <row r="22" spans="1:15" x14ac:dyDescent="0.25">
      <c r="A22" s="9">
        <f>IF(OR(Calculos!$B$7=0,18&gt;Calculos!$B$7),"",INT((18-1)/Calculos!$B$6)+1)</f>
        <v>4</v>
      </c>
      <c r="B22" s="10">
        <f>IF(A22="","",Inicio!$E$5+(A22-1)*Inicio!$B$6)</f>
        <v>46103</v>
      </c>
      <c r="C22" s="11" t="str">
        <f>IF(A22="","",INDEX(Calculos!$B$11:$B$28,IF(A22&gt;Calculos!$B$4,IF(MOD(IF(A22&lt;=Calculos!$B$4,A22,A22-Calculos!$B$4)+MOD(18-1,Calculos!$B$6)+1,2)=0,INDEX(Calculos!$B$36:$S$52,IF(A22&lt;=Calculos!$B$4,A22,A22-Calculos!$B$4),MOD(18-1,Calculos!$B$6)+1),INDEX(Calculos!$B$36:$S$52,IF(A22&lt;=Calculos!$B$4,A22,A22-Calculos!$B$4),Calculos!$B$2+1-MOD(18-1,Calculos!$B$6)+1)),IF(MOD(IF(A22&lt;=Calculos!$B$4,A22,A22-Calculos!$B$4)+MOD(18-1,Calculos!$B$6)+1,2)=0,INDEX(Calculos!$B$36:$S$52,IF(A22&lt;=Calculos!$B$4,A22,A22-Calculos!$B$4),Calculos!$B$2+1-MOD(18-1,Calculos!$B$6)+1),INDEX(Calculos!$B$36:$S$52,IF(A22&lt;=Calculos!$B$4,A22,A22-Calculos!$B$4),MOD(18-1,Calculos!$B$6)+1)))))</f>
        <v/>
      </c>
      <c r="D22" s="4"/>
      <c r="E22" s="4"/>
      <c r="F22" s="11" t="str">
        <f>IF(A22="","",INDEX(Calculos!$B$11:$B$28,IF(A22&gt;Calculos!$B$4,IF(MOD(IF(A22&lt;=Calculos!$B$4,A22,A22-Calculos!$B$4)+MOD(18-1,Calculos!$B$6)+1,2)=0,INDEX(Calculos!$B$36:$S$52,IF(A22&lt;=Calculos!$B$4,A22,A22-Calculos!$B$4),Calculos!$B$2+1-MOD(18-1,Calculos!$B$6)+1),INDEX(Calculos!$B$36:$S$52,IF(A22&lt;=Calculos!$B$4,A22,A22-Calculos!$B$4),MOD(18-1,Calculos!$B$6)+1)),IF(MOD(IF(A22&lt;=Calculos!$B$4,A22,A22-Calculos!$B$4)+MOD(18-1,Calculos!$B$6)+1,2)=0,INDEX(Calculos!$B$36:$S$52,IF(A22&lt;=Calculos!$B$4,A22,A22-Calculos!$B$4),MOD(18-1,Calculos!$B$6)+1),INDEX(Calculos!$B$36:$S$52,IF(A22&lt;=Calculos!$B$4,A22,A22-Calculos!$B$4),Calculos!$B$2+1-MOD(18-1,Calculos!$B$6)+1)))))</f>
        <v/>
      </c>
      <c r="G22" s="9" t="str">
        <f t="shared" si="0"/>
        <v>Pendiente</v>
      </c>
      <c r="H22" s="9" t="str">
        <f>IF(OR(C22="",F22=""),"",IF(AND(ISNUMBER(D22),ISNUMBER(E22)),IF(D22&gt;E22,Inicio!$E$6,IF(D22=E22,Inicio!$F$6,Inicio!$G$6)),""))</f>
        <v/>
      </c>
      <c r="I22" s="9" t="str">
        <f>IF(OR(C22="",F22=""),"",IF(AND(ISNUMBER(D22),ISNUMBER(E22)),IF(D22&lt;E22,Inicio!$E$6,IF(D22=E22,Inicio!$F$6,Inicio!$G$6)),""))</f>
        <v/>
      </c>
      <c r="J22" s="9">
        <f t="shared" si="1"/>
        <v>0</v>
      </c>
      <c r="K22" s="9">
        <f t="shared" si="2"/>
        <v>0</v>
      </c>
      <c r="L22" s="9">
        <f t="shared" si="3"/>
        <v>0</v>
      </c>
      <c r="M22" s="9">
        <f t="shared" si="4"/>
        <v>0</v>
      </c>
      <c r="N22" s="9">
        <f t="shared" si="5"/>
        <v>0</v>
      </c>
      <c r="O22" s="9">
        <f t="shared" si="6"/>
        <v>0</v>
      </c>
    </row>
    <row r="23" spans="1:15" x14ac:dyDescent="0.25">
      <c r="A23" s="9">
        <f>IF(OR(Calculos!$B$7=0,19&gt;Calculos!$B$7),"",INT((19-1)/Calculos!$B$6)+1)</f>
        <v>4</v>
      </c>
      <c r="B23" s="10">
        <f>IF(A23="","",Inicio!$E$5+(A23-1)*Inicio!$B$6)</f>
        <v>46103</v>
      </c>
      <c r="C23" s="11" t="str">
        <f>IF(A23="","",INDEX(Calculos!$B$11:$B$28,IF(A23&gt;Calculos!$B$4,IF(MOD(IF(A23&lt;=Calculos!$B$4,A23,A23-Calculos!$B$4)+MOD(19-1,Calculos!$B$6)+1,2)=0,INDEX(Calculos!$B$36:$S$52,IF(A23&lt;=Calculos!$B$4,A23,A23-Calculos!$B$4),MOD(19-1,Calculos!$B$6)+1),INDEX(Calculos!$B$36:$S$52,IF(A23&lt;=Calculos!$B$4,A23,A23-Calculos!$B$4),Calculos!$B$2+1-MOD(19-1,Calculos!$B$6)+1)),IF(MOD(IF(A23&lt;=Calculos!$B$4,A23,A23-Calculos!$B$4)+MOD(19-1,Calculos!$B$6)+1,2)=0,INDEX(Calculos!$B$36:$S$52,IF(A23&lt;=Calculos!$B$4,A23,A23-Calculos!$B$4),Calculos!$B$2+1-MOD(19-1,Calculos!$B$6)+1),INDEX(Calculos!$B$36:$S$52,IF(A23&lt;=Calculos!$B$4,A23,A23-Calculos!$B$4),MOD(19-1,Calculos!$B$6)+1)))))</f>
        <v/>
      </c>
      <c r="D23" s="4"/>
      <c r="E23" s="4"/>
      <c r="F23" s="11" t="str">
        <f>IF(A23="","",INDEX(Calculos!$B$11:$B$28,IF(A23&gt;Calculos!$B$4,IF(MOD(IF(A23&lt;=Calculos!$B$4,A23,A23-Calculos!$B$4)+MOD(19-1,Calculos!$B$6)+1,2)=0,INDEX(Calculos!$B$36:$S$52,IF(A23&lt;=Calculos!$B$4,A23,A23-Calculos!$B$4),Calculos!$B$2+1-MOD(19-1,Calculos!$B$6)+1),INDEX(Calculos!$B$36:$S$52,IF(A23&lt;=Calculos!$B$4,A23,A23-Calculos!$B$4),MOD(19-1,Calculos!$B$6)+1)),IF(MOD(IF(A23&lt;=Calculos!$B$4,A23,A23-Calculos!$B$4)+MOD(19-1,Calculos!$B$6)+1,2)=0,INDEX(Calculos!$B$36:$S$52,IF(A23&lt;=Calculos!$B$4,A23,A23-Calculos!$B$4),MOD(19-1,Calculos!$B$6)+1),INDEX(Calculos!$B$36:$S$52,IF(A23&lt;=Calculos!$B$4,A23,A23-Calculos!$B$4),Calculos!$B$2+1-MOD(19-1,Calculos!$B$6)+1)))))</f>
        <v/>
      </c>
      <c r="G23" s="9" t="str">
        <f t="shared" si="0"/>
        <v>Pendiente</v>
      </c>
      <c r="H23" s="9" t="str">
        <f>IF(OR(C23="",F23=""),"",IF(AND(ISNUMBER(D23),ISNUMBER(E23)),IF(D23&gt;E23,Inicio!$E$6,IF(D23=E23,Inicio!$F$6,Inicio!$G$6)),""))</f>
        <v/>
      </c>
      <c r="I23" s="9" t="str">
        <f>IF(OR(C23="",F23=""),"",IF(AND(ISNUMBER(D23),ISNUMBER(E23)),IF(D23&lt;E23,Inicio!$E$6,IF(D23=E23,Inicio!$F$6,Inicio!$G$6)),""))</f>
        <v/>
      </c>
      <c r="J23" s="9">
        <f t="shared" si="1"/>
        <v>0</v>
      </c>
      <c r="K23" s="9">
        <f t="shared" si="2"/>
        <v>0</v>
      </c>
      <c r="L23" s="9">
        <f t="shared" si="3"/>
        <v>0</v>
      </c>
      <c r="M23" s="9">
        <f t="shared" si="4"/>
        <v>0</v>
      </c>
      <c r="N23" s="9">
        <f t="shared" si="5"/>
        <v>0</v>
      </c>
      <c r="O23" s="9">
        <f t="shared" si="6"/>
        <v>0</v>
      </c>
    </row>
    <row r="24" spans="1:15" x14ac:dyDescent="0.25">
      <c r="A24" s="9">
        <f>IF(OR(Calculos!$B$7=0,20&gt;Calculos!$B$7),"",INT((20-1)/Calculos!$B$6)+1)</f>
        <v>4</v>
      </c>
      <c r="B24" s="10">
        <f>IF(A24="","",Inicio!$E$5+(A24-1)*Inicio!$B$6)</f>
        <v>46103</v>
      </c>
      <c r="C24" s="11" t="str">
        <f>IF(A24="","",INDEX(Calculos!$B$11:$B$28,IF(A24&gt;Calculos!$B$4,IF(MOD(IF(A24&lt;=Calculos!$B$4,A24,A24-Calculos!$B$4)+MOD(20-1,Calculos!$B$6)+1,2)=0,INDEX(Calculos!$B$36:$S$52,IF(A24&lt;=Calculos!$B$4,A24,A24-Calculos!$B$4),MOD(20-1,Calculos!$B$6)+1),INDEX(Calculos!$B$36:$S$52,IF(A24&lt;=Calculos!$B$4,A24,A24-Calculos!$B$4),Calculos!$B$2+1-MOD(20-1,Calculos!$B$6)+1)),IF(MOD(IF(A24&lt;=Calculos!$B$4,A24,A24-Calculos!$B$4)+MOD(20-1,Calculos!$B$6)+1,2)=0,INDEX(Calculos!$B$36:$S$52,IF(A24&lt;=Calculos!$B$4,A24,A24-Calculos!$B$4),Calculos!$B$2+1-MOD(20-1,Calculos!$B$6)+1),INDEX(Calculos!$B$36:$S$52,IF(A24&lt;=Calculos!$B$4,A24,A24-Calculos!$B$4),MOD(20-1,Calculos!$B$6)+1)))))</f>
        <v/>
      </c>
      <c r="D24" s="4"/>
      <c r="E24" s="4"/>
      <c r="F24" s="11" t="str">
        <f>IF(A24="","",INDEX(Calculos!$B$11:$B$28,IF(A24&gt;Calculos!$B$4,IF(MOD(IF(A24&lt;=Calculos!$B$4,A24,A24-Calculos!$B$4)+MOD(20-1,Calculos!$B$6)+1,2)=0,INDEX(Calculos!$B$36:$S$52,IF(A24&lt;=Calculos!$B$4,A24,A24-Calculos!$B$4),Calculos!$B$2+1-MOD(20-1,Calculos!$B$6)+1),INDEX(Calculos!$B$36:$S$52,IF(A24&lt;=Calculos!$B$4,A24,A24-Calculos!$B$4),MOD(20-1,Calculos!$B$6)+1)),IF(MOD(IF(A24&lt;=Calculos!$B$4,A24,A24-Calculos!$B$4)+MOD(20-1,Calculos!$B$6)+1,2)=0,INDEX(Calculos!$B$36:$S$52,IF(A24&lt;=Calculos!$B$4,A24,A24-Calculos!$B$4),MOD(20-1,Calculos!$B$6)+1),INDEX(Calculos!$B$36:$S$52,IF(A24&lt;=Calculos!$B$4,A24,A24-Calculos!$B$4),Calculos!$B$2+1-MOD(20-1,Calculos!$B$6)+1)))))</f>
        <v/>
      </c>
      <c r="G24" s="9" t="str">
        <f t="shared" si="0"/>
        <v>Pendiente</v>
      </c>
      <c r="H24" s="9" t="str">
        <f>IF(OR(C24="",F24=""),"",IF(AND(ISNUMBER(D24),ISNUMBER(E24)),IF(D24&gt;E24,Inicio!$E$6,IF(D24=E24,Inicio!$F$6,Inicio!$G$6)),""))</f>
        <v/>
      </c>
      <c r="I24" s="9" t="str">
        <f>IF(OR(C24="",F24=""),"",IF(AND(ISNUMBER(D24),ISNUMBER(E24)),IF(D24&lt;E24,Inicio!$E$6,IF(D24=E24,Inicio!$F$6,Inicio!$G$6)),""))</f>
        <v/>
      </c>
      <c r="J24" s="9">
        <f t="shared" si="1"/>
        <v>0</v>
      </c>
      <c r="K24" s="9">
        <f t="shared" si="2"/>
        <v>0</v>
      </c>
      <c r="L24" s="9">
        <f t="shared" si="3"/>
        <v>0</v>
      </c>
      <c r="M24" s="9">
        <f t="shared" si="4"/>
        <v>0</v>
      </c>
      <c r="N24" s="9">
        <f t="shared" si="5"/>
        <v>0</v>
      </c>
      <c r="O24" s="9">
        <f t="shared" si="6"/>
        <v>0</v>
      </c>
    </row>
    <row r="25" spans="1:15" x14ac:dyDescent="0.25">
      <c r="A25" s="9">
        <f>IF(OR(Calculos!$B$7=0,21&gt;Calculos!$B$7),"",INT((21-1)/Calculos!$B$6)+1)</f>
        <v>5</v>
      </c>
      <c r="B25" s="10">
        <f>IF(A25="","",Inicio!$E$5+(A25-1)*Inicio!$B$6)</f>
        <v>46110</v>
      </c>
      <c r="C25" s="11" t="str">
        <f>IF(A25="","",INDEX(Calculos!$B$11:$B$28,IF(A25&gt;Calculos!$B$4,IF(MOD(IF(A25&lt;=Calculos!$B$4,A25,A25-Calculos!$B$4)+MOD(21-1,Calculos!$B$6)+1,2)=0,INDEX(Calculos!$B$36:$S$52,IF(A25&lt;=Calculos!$B$4,A25,A25-Calculos!$B$4),MOD(21-1,Calculos!$B$6)+1),INDEX(Calculos!$B$36:$S$52,IF(A25&lt;=Calculos!$B$4,A25,A25-Calculos!$B$4),Calculos!$B$2+1-MOD(21-1,Calculos!$B$6)+1)),IF(MOD(IF(A25&lt;=Calculos!$B$4,A25,A25-Calculos!$B$4)+MOD(21-1,Calculos!$B$6)+1,2)=0,INDEX(Calculos!$B$36:$S$52,IF(A25&lt;=Calculos!$B$4,A25,A25-Calculos!$B$4),Calculos!$B$2+1-MOD(21-1,Calculos!$B$6)+1),INDEX(Calculos!$B$36:$S$52,IF(A25&lt;=Calculos!$B$4,A25,A25-Calculos!$B$4),MOD(21-1,Calculos!$B$6)+1)))))</f>
        <v/>
      </c>
      <c r="D25" s="4"/>
      <c r="E25" s="4"/>
      <c r="F25" s="11" t="str">
        <f>IF(A25="","",INDEX(Calculos!$B$11:$B$28,IF(A25&gt;Calculos!$B$4,IF(MOD(IF(A25&lt;=Calculos!$B$4,A25,A25-Calculos!$B$4)+MOD(21-1,Calculos!$B$6)+1,2)=0,INDEX(Calculos!$B$36:$S$52,IF(A25&lt;=Calculos!$B$4,A25,A25-Calculos!$B$4),Calculos!$B$2+1-MOD(21-1,Calculos!$B$6)+1),INDEX(Calculos!$B$36:$S$52,IF(A25&lt;=Calculos!$B$4,A25,A25-Calculos!$B$4),MOD(21-1,Calculos!$B$6)+1)),IF(MOD(IF(A25&lt;=Calculos!$B$4,A25,A25-Calculos!$B$4)+MOD(21-1,Calculos!$B$6)+1,2)=0,INDEX(Calculos!$B$36:$S$52,IF(A25&lt;=Calculos!$B$4,A25,A25-Calculos!$B$4),MOD(21-1,Calculos!$B$6)+1),INDEX(Calculos!$B$36:$S$52,IF(A25&lt;=Calculos!$B$4,A25,A25-Calculos!$B$4),Calculos!$B$2+1-MOD(21-1,Calculos!$B$6)+1)))))</f>
        <v/>
      </c>
      <c r="G25" s="9" t="str">
        <f t="shared" si="0"/>
        <v>Pendiente</v>
      </c>
      <c r="H25" s="9" t="str">
        <f>IF(OR(C25="",F25=""),"",IF(AND(ISNUMBER(D25),ISNUMBER(E25)),IF(D25&gt;E25,Inicio!$E$6,IF(D25=E25,Inicio!$F$6,Inicio!$G$6)),""))</f>
        <v/>
      </c>
      <c r="I25" s="9" t="str">
        <f>IF(OR(C25="",F25=""),"",IF(AND(ISNUMBER(D25),ISNUMBER(E25)),IF(D25&lt;E25,Inicio!$E$6,IF(D25=E25,Inicio!$F$6,Inicio!$G$6)),""))</f>
        <v/>
      </c>
      <c r="J25" s="9">
        <f t="shared" si="1"/>
        <v>0</v>
      </c>
      <c r="K25" s="9">
        <f t="shared" si="2"/>
        <v>0</v>
      </c>
      <c r="L25" s="9">
        <f t="shared" si="3"/>
        <v>0</v>
      </c>
      <c r="M25" s="9">
        <f t="shared" si="4"/>
        <v>0</v>
      </c>
      <c r="N25" s="9">
        <f t="shared" si="5"/>
        <v>0</v>
      </c>
      <c r="O25" s="9">
        <f t="shared" si="6"/>
        <v>0</v>
      </c>
    </row>
    <row r="26" spans="1:15" x14ac:dyDescent="0.25">
      <c r="A26" s="9">
        <f>IF(OR(Calculos!$B$7=0,22&gt;Calculos!$B$7),"",INT((22-1)/Calculos!$B$6)+1)</f>
        <v>5</v>
      </c>
      <c r="B26" s="10">
        <f>IF(A26="","",Inicio!$E$5+(A26-1)*Inicio!$B$6)</f>
        <v>46110</v>
      </c>
      <c r="C26" s="11" t="str">
        <f>IF(A26="","",INDEX(Calculos!$B$11:$B$28,IF(A26&gt;Calculos!$B$4,IF(MOD(IF(A26&lt;=Calculos!$B$4,A26,A26-Calculos!$B$4)+MOD(22-1,Calculos!$B$6)+1,2)=0,INDEX(Calculos!$B$36:$S$52,IF(A26&lt;=Calculos!$B$4,A26,A26-Calculos!$B$4),MOD(22-1,Calculos!$B$6)+1),INDEX(Calculos!$B$36:$S$52,IF(A26&lt;=Calculos!$B$4,A26,A26-Calculos!$B$4),Calculos!$B$2+1-MOD(22-1,Calculos!$B$6)+1)),IF(MOD(IF(A26&lt;=Calculos!$B$4,A26,A26-Calculos!$B$4)+MOD(22-1,Calculos!$B$6)+1,2)=0,INDEX(Calculos!$B$36:$S$52,IF(A26&lt;=Calculos!$B$4,A26,A26-Calculos!$B$4),Calculos!$B$2+1-MOD(22-1,Calculos!$B$6)+1),INDEX(Calculos!$B$36:$S$52,IF(A26&lt;=Calculos!$B$4,A26,A26-Calculos!$B$4),MOD(22-1,Calculos!$B$6)+1)))))</f>
        <v/>
      </c>
      <c r="D26" s="4"/>
      <c r="E26" s="4"/>
      <c r="F26" s="11" t="str">
        <f>IF(A26="","",INDEX(Calculos!$B$11:$B$28,IF(A26&gt;Calculos!$B$4,IF(MOD(IF(A26&lt;=Calculos!$B$4,A26,A26-Calculos!$B$4)+MOD(22-1,Calculos!$B$6)+1,2)=0,INDEX(Calculos!$B$36:$S$52,IF(A26&lt;=Calculos!$B$4,A26,A26-Calculos!$B$4),Calculos!$B$2+1-MOD(22-1,Calculos!$B$6)+1),INDEX(Calculos!$B$36:$S$52,IF(A26&lt;=Calculos!$B$4,A26,A26-Calculos!$B$4),MOD(22-1,Calculos!$B$6)+1)),IF(MOD(IF(A26&lt;=Calculos!$B$4,A26,A26-Calculos!$B$4)+MOD(22-1,Calculos!$B$6)+1,2)=0,INDEX(Calculos!$B$36:$S$52,IF(A26&lt;=Calculos!$B$4,A26,A26-Calculos!$B$4),MOD(22-1,Calculos!$B$6)+1),INDEX(Calculos!$B$36:$S$52,IF(A26&lt;=Calculos!$B$4,A26,A26-Calculos!$B$4),Calculos!$B$2+1-MOD(22-1,Calculos!$B$6)+1)))))</f>
        <v/>
      </c>
      <c r="G26" s="9" t="str">
        <f t="shared" si="0"/>
        <v>Pendiente</v>
      </c>
      <c r="H26" s="9" t="str">
        <f>IF(OR(C26="",F26=""),"",IF(AND(ISNUMBER(D26),ISNUMBER(E26)),IF(D26&gt;E26,Inicio!$E$6,IF(D26=E26,Inicio!$F$6,Inicio!$G$6)),""))</f>
        <v/>
      </c>
      <c r="I26" s="9" t="str">
        <f>IF(OR(C26="",F26=""),"",IF(AND(ISNUMBER(D26),ISNUMBER(E26)),IF(D26&lt;E26,Inicio!$E$6,IF(D26=E26,Inicio!$F$6,Inicio!$G$6)),""))</f>
        <v/>
      </c>
      <c r="J26" s="9">
        <f t="shared" si="1"/>
        <v>0</v>
      </c>
      <c r="K26" s="9">
        <f t="shared" si="2"/>
        <v>0</v>
      </c>
      <c r="L26" s="9">
        <f t="shared" si="3"/>
        <v>0</v>
      </c>
      <c r="M26" s="9">
        <f t="shared" si="4"/>
        <v>0</v>
      </c>
      <c r="N26" s="9">
        <f t="shared" si="5"/>
        <v>0</v>
      </c>
      <c r="O26" s="9">
        <f t="shared" si="6"/>
        <v>0</v>
      </c>
    </row>
    <row r="27" spans="1:15" x14ac:dyDescent="0.25">
      <c r="A27" s="9">
        <f>IF(OR(Calculos!$B$7=0,23&gt;Calculos!$B$7),"",INT((23-1)/Calculos!$B$6)+1)</f>
        <v>5</v>
      </c>
      <c r="B27" s="10">
        <f>IF(A27="","",Inicio!$E$5+(A27-1)*Inicio!$B$6)</f>
        <v>46110</v>
      </c>
      <c r="C27" s="11" t="str">
        <f>IF(A27="","",INDEX(Calculos!$B$11:$B$28,IF(A27&gt;Calculos!$B$4,IF(MOD(IF(A27&lt;=Calculos!$B$4,A27,A27-Calculos!$B$4)+MOD(23-1,Calculos!$B$6)+1,2)=0,INDEX(Calculos!$B$36:$S$52,IF(A27&lt;=Calculos!$B$4,A27,A27-Calculos!$B$4),MOD(23-1,Calculos!$B$6)+1),INDEX(Calculos!$B$36:$S$52,IF(A27&lt;=Calculos!$B$4,A27,A27-Calculos!$B$4),Calculos!$B$2+1-MOD(23-1,Calculos!$B$6)+1)),IF(MOD(IF(A27&lt;=Calculos!$B$4,A27,A27-Calculos!$B$4)+MOD(23-1,Calculos!$B$6)+1,2)=0,INDEX(Calculos!$B$36:$S$52,IF(A27&lt;=Calculos!$B$4,A27,A27-Calculos!$B$4),Calculos!$B$2+1-MOD(23-1,Calculos!$B$6)+1),INDEX(Calculos!$B$36:$S$52,IF(A27&lt;=Calculos!$B$4,A27,A27-Calculos!$B$4),MOD(23-1,Calculos!$B$6)+1)))))</f>
        <v/>
      </c>
      <c r="D27" s="4"/>
      <c r="E27" s="4"/>
      <c r="F27" s="11" t="str">
        <f>IF(A27="","",INDEX(Calculos!$B$11:$B$28,IF(A27&gt;Calculos!$B$4,IF(MOD(IF(A27&lt;=Calculos!$B$4,A27,A27-Calculos!$B$4)+MOD(23-1,Calculos!$B$6)+1,2)=0,INDEX(Calculos!$B$36:$S$52,IF(A27&lt;=Calculos!$B$4,A27,A27-Calculos!$B$4),Calculos!$B$2+1-MOD(23-1,Calculos!$B$6)+1),INDEX(Calculos!$B$36:$S$52,IF(A27&lt;=Calculos!$B$4,A27,A27-Calculos!$B$4),MOD(23-1,Calculos!$B$6)+1)),IF(MOD(IF(A27&lt;=Calculos!$B$4,A27,A27-Calculos!$B$4)+MOD(23-1,Calculos!$B$6)+1,2)=0,INDEX(Calculos!$B$36:$S$52,IF(A27&lt;=Calculos!$B$4,A27,A27-Calculos!$B$4),MOD(23-1,Calculos!$B$6)+1),INDEX(Calculos!$B$36:$S$52,IF(A27&lt;=Calculos!$B$4,A27,A27-Calculos!$B$4),Calculos!$B$2+1-MOD(23-1,Calculos!$B$6)+1)))))</f>
        <v/>
      </c>
      <c r="G27" s="9" t="str">
        <f t="shared" si="0"/>
        <v>Pendiente</v>
      </c>
      <c r="H27" s="9" t="str">
        <f>IF(OR(C27="",F27=""),"",IF(AND(ISNUMBER(D27),ISNUMBER(E27)),IF(D27&gt;E27,Inicio!$E$6,IF(D27=E27,Inicio!$F$6,Inicio!$G$6)),""))</f>
        <v/>
      </c>
      <c r="I27" s="9" t="str">
        <f>IF(OR(C27="",F27=""),"",IF(AND(ISNUMBER(D27),ISNUMBER(E27)),IF(D27&lt;E27,Inicio!$E$6,IF(D27=E27,Inicio!$F$6,Inicio!$G$6)),""))</f>
        <v/>
      </c>
      <c r="J27" s="9">
        <f t="shared" si="1"/>
        <v>0</v>
      </c>
      <c r="K27" s="9">
        <f t="shared" si="2"/>
        <v>0</v>
      </c>
      <c r="L27" s="9">
        <f t="shared" si="3"/>
        <v>0</v>
      </c>
      <c r="M27" s="9">
        <f t="shared" si="4"/>
        <v>0</v>
      </c>
      <c r="N27" s="9">
        <f t="shared" si="5"/>
        <v>0</v>
      </c>
      <c r="O27" s="9">
        <f t="shared" si="6"/>
        <v>0</v>
      </c>
    </row>
    <row r="28" spans="1:15" x14ac:dyDescent="0.25">
      <c r="A28" s="9">
        <f>IF(OR(Calculos!$B$7=0,24&gt;Calculos!$B$7),"",INT((24-1)/Calculos!$B$6)+1)</f>
        <v>5</v>
      </c>
      <c r="B28" s="10">
        <f>IF(A28="","",Inicio!$E$5+(A28-1)*Inicio!$B$6)</f>
        <v>46110</v>
      </c>
      <c r="C28" s="11" t="str">
        <f>IF(A28="","",INDEX(Calculos!$B$11:$B$28,IF(A28&gt;Calculos!$B$4,IF(MOD(IF(A28&lt;=Calculos!$B$4,A28,A28-Calculos!$B$4)+MOD(24-1,Calculos!$B$6)+1,2)=0,INDEX(Calculos!$B$36:$S$52,IF(A28&lt;=Calculos!$B$4,A28,A28-Calculos!$B$4),MOD(24-1,Calculos!$B$6)+1),INDEX(Calculos!$B$36:$S$52,IF(A28&lt;=Calculos!$B$4,A28,A28-Calculos!$B$4),Calculos!$B$2+1-MOD(24-1,Calculos!$B$6)+1)),IF(MOD(IF(A28&lt;=Calculos!$B$4,A28,A28-Calculos!$B$4)+MOD(24-1,Calculos!$B$6)+1,2)=0,INDEX(Calculos!$B$36:$S$52,IF(A28&lt;=Calculos!$B$4,A28,A28-Calculos!$B$4),Calculos!$B$2+1-MOD(24-1,Calculos!$B$6)+1),INDEX(Calculos!$B$36:$S$52,IF(A28&lt;=Calculos!$B$4,A28,A28-Calculos!$B$4),MOD(24-1,Calculos!$B$6)+1)))))</f>
        <v/>
      </c>
      <c r="D28" s="4"/>
      <c r="E28" s="4"/>
      <c r="F28" s="11" t="str">
        <f>IF(A28="","",INDEX(Calculos!$B$11:$B$28,IF(A28&gt;Calculos!$B$4,IF(MOD(IF(A28&lt;=Calculos!$B$4,A28,A28-Calculos!$B$4)+MOD(24-1,Calculos!$B$6)+1,2)=0,INDEX(Calculos!$B$36:$S$52,IF(A28&lt;=Calculos!$B$4,A28,A28-Calculos!$B$4),Calculos!$B$2+1-MOD(24-1,Calculos!$B$6)+1),INDEX(Calculos!$B$36:$S$52,IF(A28&lt;=Calculos!$B$4,A28,A28-Calculos!$B$4),MOD(24-1,Calculos!$B$6)+1)),IF(MOD(IF(A28&lt;=Calculos!$B$4,A28,A28-Calculos!$B$4)+MOD(24-1,Calculos!$B$6)+1,2)=0,INDEX(Calculos!$B$36:$S$52,IF(A28&lt;=Calculos!$B$4,A28,A28-Calculos!$B$4),MOD(24-1,Calculos!$B$6)+1),INDEX(Calculos!$B$36:$S$52,IF(A28&lt;=Calculos!$B$4,A28,A28-Calculos!$B$4),Calculos!$B$2+1-MOD(24-1,Calculos!$B$6)+1)))))</f>
        <v/>
      </c>
      <c r="G28" s="9" t="str">
        <f t="shared" si="0"/>
        <v>Pendiente</v>
      </c>
      <c r="H28" s="9" t="str">
        <f>IF(OR(C28="",F28=""),"",IF(AND(ISNUMBER(D28),ISNUMBER(E28)),IF(D28&gt;E28,Inicio!$E$6,IF(D28=E28,Inicio!$F$6,Inicio!$G$6)),""))</f>
        <v/>
      </c>
      <c r="I28" s="9" t="str">
        <f>IF(OR(C28="",F28=""),"",IF(AND(ISNUMBER(D28),ISNUMBER(E28)),IF(D28&lt;E28,Inicio!$E$6,IF(D28=E28,Inicio!$F$6,Inicio!$G$6)),""))</f>
        <v/>
      </c>
      <c r="J28" s="9">
        <f t="shared" si="1"/>
        <v>0</v>
      </c>
      <c r="K28" s="9">
        <f t="shared" si="2"/>
        <v>0</v>
      </c>
      <c r="L28" s="9">
        <f t="shared" si="3"/>
        <v>0</v>
      </c>
      <c r="M28" s="9">
        <f t="shared" si="4"/>
        <v>0</v>
      </c>
      <c r="N28" s="9">
        <f t="shared" si="5"/>
        <v>0</v>
      </c>
      <c r="O28" s="9">
        <f t="shared" si="6"/>
        <v>0</v>
      </c>
    </row>
    <row r="29" spans="1:15" x14ac:dyDescent="0.25">
      <c r="A29" s="9">
        <f>IF(OR(Calculos!$B$7=0,25&gt;Calculos!$B$7),"",INT((25-1)/Calculos!$B$6)+1)</f>
        <v>5</v>
      </c>
      <c r="B29" s="10">
        <f>IF(A29="","",Inicio!$E$5+(A29-1)*Inicio!$B$6)</f>
        <v>46110</v>
      </c>
      <c r="C29" s="11" t="e">
        <f>IF(A29="","",INDEX(Calculos!$B$11:$B$28,IF(A29&gt;Calculos!$B$4,IF(MOD(IF(A29&lt;=Calculos!$B$4,A29,A29-Calculos!$B$4)+MOD(25-1,Calculos!$B$6)+1,2)=0,INDEX(Calculos!$B$36:$S$52,IF(A29&lt;=Calculos!$B$4,A29,A29-Calculos!$B$4),MOD(25-1,Calculos!$B$6)+1),INDEX(Calculos!$B$36:$S$52,IF(A29&lt;=Calculos!$B$4,A29,A29-Calculos!$B$4),Calculos!$B$2+1-MOD(25-1,Calculos!$B$6)+1)),IF(MOD(IF(A29&lt;=Calculos!$B$4,A29,A29-Calculos!$B$4)+MOD(25-1,Calculos!$B$6)+1,2)=0,INDEX(Calculos!$B$36:$S$52,IF(A29&lt;=Calculos!$B$4,A29,A29-Calculos!$B$4),Calculos!$B$2+1-MOD(25-1,Calculos!$B$6)+1),INDEX(Calculos!$B$36:$S$52,IF(A29&lt;=Calculos!$B$4,A29,A29-Calculos!$B$4),MOD(25-1,Calculos!$B$6)+1)))))</f>
        <v>#VALUE!</v>
      </c>
      <c r="D29" s="4"/>
      <c r="E29" s="4"/>
      <c r="F29" s="11" t="e">
        <f>IF(A29="","",INDEX(Calculos!$B$11:$B$28,IF(A29&gt;Calculos!$B$4,IF(MOD(IF(A29&lt;=Calculos!$B$4,A29,A29-Calculos!$B$4)+MOD(25-1,Calculos!$B$6)+1,2)=0,INDEX(Calculos!$B$36:$S$52,IF(A29&lt;=Calculos!$B$4,A29,A29-Calculos!$B$4),Calculos!$B$2+1-MOD(25-1,Calculos!$B$6)+1),INDEX(Calculos!$B$36:$S$52,IF(A29&lt;=Calculos!$B$4,A29,A29-Calculos!$B$4),MOD(25-1,Calculos!$B$6)+1)),IF(MOD(IF(A29&lt;=Calculos!$B$4,A29,A29-Calculos!$B$4)+MOD(25-1,Calculos!$B$6)+1,2)=0,INDEX(Calculos!$B$36:$S$52,IF(A29&lt;=Calculos!$B$4,A29,A29-Calculos!$B$4),MOD(25-1,Calculos!$B$6)+1),INDEX(Calculos!$B$36:$S$52,IF(A29&lt;=Calculos!$B$4,A29,A29-Calculos!$B$4),Calculos!$B$2+1-MOD(25-1,Calculos!$B$6)+1)))))</f>
        <v>#VALUE!</v>
      </c>
      <c r="G29" s="9" t="str">
        <f t="shared" si="0"/>
        <v>Pendiente</v>
      </c>
      <c r="H29" s="9" t="e">
        <f>IF(OR(C29="",F29=""),"",IF(AND(ISNUMBER(D29),ISNUMBER(E29)),IF(D29&gt;E29,Inicio!$E$6,IF(D29=E29,Inicio!$F$6,Inicio!$G$6)),""))</f>
        <v>#VALUE!</v>
      </c>
      <c r="I29" s="9" t="e">
        <f>IF(OR(C29="",F29=""),"",IF(AND(ISNUMBER(D29),ISNUMBER(E29)),IF(D29&lt;E29,Inicio!$E$6,IF(D29=E29,Inicio!$F$6,Inicio!$G$6)),""))</f>
        <v>#VALUE!</v>
      </c>
      <c r="J29" s="9">
        <f t="shared" si="1"/>
        <v>0</v>
      </c>
      <c r="K29" s="9">
        <f t="shared" si="2"/>
        <v>0</v>
      </c>
      <c r="L29" s="9">
        <f t="shared" si="3"/>
        <v>0</v>
      </c>
      <c r="M29" s="9">
        <f t="shared" si="4"/>
        <v>0</v>
      </c>
      <c r="N29" s="9">
        <f t="shared" si="5"/>
        <v>0</v>
      </c>
      <c r="O29" s="9">
        <f t="shared" si="6"/>
        <v>0</v>
      </c>
    </row>
    <row r="30" spans="1:15" x14ac:dyDescent="0.25">
      <c r="A30" s="9">
        <f>IF(OR(Calculos!$B$7=0,26&gt;Calculos!$B$7),"",INT((26-1)/Calculos!$B$6)+1)</f>
        <v>6</v>
      </c>
      <c r="B30" s="10">
        <f>IF(A30="","",Inicio!$E$5+(A30-1)*Inicio!$B$6)</f>
        <v>46117</v>
      </c>
      <c r="C30" s="11" t="e">
        <f>IF(A30="","",INDEX(Calculos!$B$11:$B$28,IF(A30&gt;Calculos!$B$4,IF(MOD(IF(A30&lt;=Calculos!$B$4,A30,A30-Calculos!$B$4)+MOD(26-1,Calculos!$B$6)+1,2)=0,INDEX(Calculos!$B$36:$S$52,IF(A30&lt;=Calculos!$B$4,A30,A30-Calculos!$B$4),MOD(26-1,Calculos!$B$6)+1),INDEX(Calculos!$B$36:$S$52,IF(A30&lt;=Calculos!$B$4,A30,A30-Calculos!$B$4),Calculos!$B$2+1-MOD(26-1,Calculos!$B$6)+1)),IF(MOD(IF(A30&lt;=Calculos!$B$4,A30,A30-Calculos!$B$4)+MOD(26-1,Calculos!$B$6)+1,2)=0,INDEX(Calculos!$B$36:$S$52,IF(A30&lt;=Calculos!$B$4,A30,A30-Calculos!$B$4),Calculos!$B$2+1-MOD(26-1,Calculos!$B$6)+1),INDEX(Calculos!$B$36:$S$52,IF(A30&lt;=Calculos!$B$4,A30,A30-Calculos!$B$4),MOD(26-1,Calculos!$B$6)+1)))))</f>
        <v>#VALUE!</v>
      </c>
      <c r="D30" s="4"/>
      <c r="E30" s="4"/>
      <c r="F30" s="11" t="e">
        <f>IF(A30="","",INDEX(Calculos!$B$11:$B$28,IF(A30&gt;Calculos!$B$4,IF(MOD(IF(A30&lt;=Calculos!$B$4,A30,A30-Calculos!$B$4)+MOD(26-1,Calculos!$B$6)+1,2)=0,INDEX(Calculos!$B$36:$S$52,IF(A30&lt;=Calculos!$B$4,A30,A30-Calculos!$B$4),Calculos!$B$2+1-MOD(26-1,Calculos!$B$6)+1),INDEX(Calculos!$B$36:$S$52,IF(A30&lt;=Calculos!$B$4,A30,A30-Calculos!$B$4),MOD(26-1,Calculos!$B$6)+1)),IF(MOD(IF(A30&lt;=Calculos!$B$4,A30,A30-Calculos!$B$4)+MOD(26-1,Calculos!$B$6)+1,2)=0,INDEX(Calculos!$B$36:$S$52,IF(A30&lt;=Calculos!$B$4,A30,A30-Calculos!$B$4),MOD(26-1,Calculos!$B$6)+1),INDEX(Calculos!$B$36:$S$52,IF(A30&lt;=Calculos!$B$4,A30,A30-Calculos!$B$4),Calculos!$B$2+1-MOD(26-1,Calculos!$B$6)+1)))))</f>
        <v>#VALUE!</v>
      </c>
      <c r="G30" s="9" t="str">
        <f t="shared" si="0"/>
        <v>Pendiente</v>
      </c>
      <c r="H30" s="9" t="e">
        <f>IF(OR(C30="",F30=""),"",IF(AND(ISNUMBER(D30),ISNUMBER(E30)),IF(D30&gt;E30,Inicio!$E$6,IF(D30=E30,Inicio!$F$6,Inicio!$G$6)),""))</f>
        <v>#VALUE!</v>
      </c>
      <c r="I30" s="9" t="e">
        <f>IF(OR(C30="",F30=""),"",IF(AND(ISNUMBER(D30),ISNUMBER(E30)),IF(D30&lt;E30,Inicio!$E$6,IF(D30=E30,Inicio!$F$6,Inicio!$G$6)),""))</f>
        <v>#VALUE!</v>
      </c>
      <c r="J30" s="9">
        <f t="shared" si="1"/>
        <v>0</v>
      </c>
      <c r="K30" s="9">
        <f t="shared" si="2"/>
        <v>0</v>
      </c>
      <c r="L30" s="9">
        <f t="shared" si="3"/>
        <v>0</v>
      </c>
      <c r="M30" s="9">
        <f t="shared" si="4"/>
        <v>0</v>
      </c>
      <c r="N30" s="9">
        <f t="shared" si="5"/>
        <v>0</v>
      </c>
      <c r="O30" s="9">
        <f t="shared" si="6"/>
        <v>0</v>
      </c>
    </row>
    <row r="31" spans="1:15" x14ac:dyDescent="0.25">
      <c r="A31" s="9">
        <f>IF(OR(Calculos!$B$7=0,27&gt;Calculos!$B$7),"",INT((27-1)/Calculos!$B$6)+1)</f>
        <v>6</v>
      </c>
      <c r="B31" s="10">
        <f>IF(A31="","",Inicio!$E$5+(A31-1)*Inicio!$B$6)</f>
        <v>46117</v>
      </c>
      <c r="C31" s="11" t="e">
        <f>IF(A31="","",INDEX(Calculos!$B$11:$B$28,IF(A31&gt;Calculos!$B$4,IF(MOD(IF(A31&lt;=Calculos!$B$4,A31,A31-Calculos!$B$4)+MOD(27-1,Calculos!$B$6)+1,2)=0,INDEX(Calculos!$B$36:$S$52,IF(A31&lt;=Calculos!$B$4,A31,A31-Calculos!$B$4),MOD(27-1,Calculos!$B$6)+1),INDEX(Calculos!$B$36:$S$52,IF(A31&lt;=Calculos!$B$4,A31,A31-Calculos!$B$4),Calculos!$B$2+1-MOD(27-1,Calculos!$B$6)+1)),IF(MOD(IF(A31&lt;=Calculos!$B$4,A31,A31-Calculos!$B$4)+MOD(27-1,Calculos!$B$6)+1,2)=0,INDEX(Calculos!$B$36:$S$52,IF(A31&lt;=Calculos!$B$4,A31,A31-Calculos!$B$4),Calculos!$B$2+1-MOD(27-1,Calculos!$B$6)+1),INDEX(Calculos!$B$36:$S$52,IF(A31&lt;=Calculos!$B$4,A31,A31-Calculos!$B$4),MOD(27-1,Calculos!$B$6)+1)))))</f>
        <v>#VALUE!</v>
      </c>
      <c r="D31" s="4"/>
      <c r="E31" s="4"/>
      <c r="F31" s="11" t="e">
        <f>IF(A31="","",INDEX(Calculos!$B$11:$B$28,IF(A31&gt;Calculos!$B$4,IF(MOD(IF(A31&lt;=Calculos!$B$4,A31,A31-Calculos!$B$4)+MOD(27-1,Calculos!$B$6)+1,2)=0,INDEX(Calculos!$B$36:$S$52,IF(A31&lt;=Calculos!$B$4,A31,A31-Calculos!$B$4),Calculos!$B$2+1-MOD(27-1,Calculos!$B$6)+1),INDEX(Calculos!$B$36:$S$52,IF(A31&lt;=Calculos!$B$4,A31,A31-Calculos!$B$4),MOD(27-1,Calculos!$B$6)+1)),IF(MOD(IF(A31&lt;=Calculos!$B$4,A31,A31-Calculos!$B$4)+MOD(27-1,Calculos!$B$6)+1,2)=0,INDEX(Calculos!$B$36:$S$52,IF(A31&lt;=Calculos!$B$4,A31,A31-Calculos!$B$4),MOD(27-1,Calculos!$B$6)+1),INDEX(Calculos!$B$36:$S$52,IF(A31&lt;=Calculos!$B$4,A31,A31-Calculos!$B$4),Calculos!$B$2+1-MOD(27-1,Calculos!$B$6)+1)))))</f>
        <v>#VALUE!</v>
      </c>
      <c r="G31" s="9" t="str">
        <f t="shared" si="0"/>
        <v>Pendiente</v>
      </c>
      <c r="H31" s="9" t="e">
        <f>IF(OR(C31="",F31=""),"",IF(AND(ISNUMBER(D31),ISNUMBER(E31)),IF(D31&gt;E31,Inicio!$E$6,IF(D31=E31,Inicio!$F$6,Inicio!$G$6)),""))</f>
        <v>#VALUE!</v>
      </c>
      <c r="I31" s="9" t="e">
        <f>IF(OR(C31="",F31=""),"",IF(AND(ISNUMBER(D31),ISNUMBER(E31)),IF(D31&lt;E31,Inicio!$E$6,IF(D31=E31,Inicio!$F$6,Inicio!$G$6)),""))</f>
        <v>#VALUE!</v>
      </c>
      <c r="J31" s="9">
        <f t="shared" si="1"/>
        <v>0</v>
      </c>
      <c r="K31" s="9">
        <f t="shared" si="2"/>
        <v>0</v>
      </c>
      <c r="L31" s="9">
        <f t="shared" si="3"/>
        <v>0</v>
      </c>
      <c r="M31" s="9">
        <f t="shared" si="4"/>
        <v>0</v>
      </c>
      <c r="N31" s="9">
        <f t="shared" si="5"/>
        <v>0</v>
      </c>
      <c r="O31" s="9">
        <f t="shared" si="6"/>
        <v>0</v>
      </c>
    </row>
    <row r="32" spans="1:15" x14ac:dyDescent="0.25">
      <c r="A32" s="9">
        <f>IF(OR(Calculos!$B$7=0,28&gt;Calculos!$B$7),"",INT((28-1)/Calculos!$B$6)+1)</f>
        <v>6</v>
      </c>
      <c r="B32" s="10">
        <f>IF(A32="","",Inicio!$E$5+(A32-1)*Inicio!$B$6)</f>
        <v>46117</v>
      </c>
      <c r="C32" s="11" t="e">
        <f>IF(A32="","",INDEX(Calculos!$B$11:$B$28,IF(A32&gt;Calculos!$B$4,IF(MOD(IF(A32&lt;=Calculos!$B$4,A32,A32-Calculos!$B$4)+MOD(28-1,Calculos!$B$6)+1,2)=0,INDEX(Calculos!$B$36:$S$52,IF(A32&lt;=Calculos!$B$4,A32,A32-Calculos!$B$4),MOD(28-1,Calculos!$B$6)+1),INDEX(Calculos!$B$36:$S$52,IF(A32&lt;=Calculos!$B$4,A32,A32-Calculos!$B$4),Calculos!$B$2+1-MOD(28-1,Calculos!$B$6)+1)),IF(MOD(IF(A32&lt;=Calculos!$B$4,A32,A32-Calculos!$B$4)+MOD(28-1,Calculos!$B$6)+1,2)=0,INDEX(Calculos!$B$36:$S$52,IF(A32&lt;=Calculos!$B$4,A32,A32-Calculos!$B$4),Calculos!$B$2+1-MOD(28-1,Calculos!$B$6)+1),INDEX(Calculos!$B$36:$S$52,IF(A32&lt;=Calculos!$B$4,A32,A32-Calculos!$B$4),MOD(28-1,Calculos!$B$6)+1)))))</f>
        <v>#VALUE!</v>
      </c>
      <c r="D32" s="4"/>
      <c r="E32" s="4"/>
      <c r="F32" s="11" t="e">
        <f>IF(A32="","",INDEX(Calculos!$B$11:$B$28,IF(A32&gt;Calculos!$B$4,IF(MOD(IF(A32&lt;=Calculos!$B$4,A32,A32-Calculos!$B$4)+MOD(28-1,Calculos!$B$6)+1,2)=0,INDEX(Calculos!$B$36:$S$52,IF(A32&lt;=Calculos!$B$4,A32,A32-Calculos!$B$4),Calculos!$B$2+1-MOD(28-1,Calculos!$B$6)+1),INDEX(Calculos!$B$36:$S$52,IF(A32&lt;=Calculos!$B$4,A32,A32-Calculos!$B$4),MOD(28-1,Calculos!$B$6)+1)),IF(MOD(IF(A32&lt;=Calculos!$B$4,A32,A32-Calculos!$B$4)+MOD(28-1,Calculos!$B$6)+1,2)=0,INDEX(Calculos!$B$36:$S$52,IF(A32&lt;=Calculos!$B$4,A32,A32-Calculos!$B$4),MOD(28-1,Calculos!$B$6)+1),INDEX(Calculos!$B$36:$S$52,IF(A32&lt;=Calculos!$B$4,A32,A32-Calculos!$B$4),Calculos!$B$2+1-MOD(28-1,Calculos!$B$6)+1)))))</f>
        <v>#VALUE!</v>
      </c>
      <c r="G32" s="9" t="str">
        <f t="shared" si="0"/>
        <v>Pendiente</v>
      </c>
      <c r="H32" s="9" t="e">
        <f>IF(OR(C32="",F32=""),"",IF(AND(ISNUMBER(D32),ISNUMBER(E32)),IF(D32&gt;E32,Inicio!$E$6,IF(D32=E32,Inicio!$F$6,Inicio!$G$6)),""))</f>
        <v>#VALUE!</v>
      </c>
      <c r="I32" s="9" t="e">
        <f>IF(OR(C32="",F32=""),"",IF(AND(ISNUMBER(D32),ISNUMBER(E32)),IF(D32&lt;E32,Inicio!$E$6,IF(D32=E32,Inicio!$F$6,Inicio!$G$6)),""))</f>
        <v>#VALUE!</v>
      </c>
      <c r="J32" s="9">
        <f t="shared" si="1"/>
        <v>0</v>
      </c>
      <c r="K32" s="9">
        <f t="shared" si="2"/>
        <v>0</v>
      </c>
      <c r="L32" s="9">
        <f t="shared" si="3"/>
        <v>0</v>
      </c>
      <c r="M32" s="9">
        <f t="shared" si="4"/>
        <v>0</v>
      </c>
      <c r="N32" s="9">
        <f t="shared" si="5"/>
        <v>0</v>
      </c>
      <c r="O32" s="9">
        <f t="shared" si="6"/>
        <v>0</v>
      </c>
    </row>
    <row r="33" spans="1:15" x14ac:dyDescent="0.25">
      <c r="A33" s="9">
        <f>IF(OR(Calculos!$B$7=0,29&gt;Calculos!$B$7),"",INT((29-1)/Calculos!$B$6)+1)</f>
        <v>6</v>
      </c>
      <c r="B33" s="10">
        <f>IF(A33="","",Inicio!$E$5+(A33-1)*Inicio!$B$6)</f>
        <v>46117</v>
      </c>
      <c r="C33" s="11" t="e">
        <f>IF(A33="","",INDEX(Calculos!$B$11:$B$28,IF(A33&gt;Calculos!$B$4,IF(MOD(IF(A33&lt;=Calculos!$B$4,A33,A33-Calculos!$B$4)+MOD(29-1,Calculos!$B$6)+1,2)=0,INDEX(Calculos!$B$36:$S$52,IF(A33&lt;=Calculos!$B$4,A33,A33-Calculos!$B$4),MOD(29-1,Calculos!$B$6)+1),INDEX(Calculos!$B$36:$S$52,IF(A33&lt;=Calculos!$B$4,A33,A33-Calculos!$B$4),Calculos!$B$2+1-MOD(29-1,Calculos!$B$6)+1)),IF(MOD(IF(A33&lt;=Calculos!$B$4,A33,A33-Calculos!$B$4)+MOD(29-1,Calculos!$B$6)+1,2)=0,INDEX(Calculos!$B$36:$S$52,IF(A33&lt;=Calculos!$B$4,A33,A33-Calculos!$B$4),Calculos!$B$2+1-MOD(29-1,Calculos!$B$6)+1),INDEX(Calculos!$B$36:$S$52,IF(A33&lt;=Calculos!$B$4,A33,A33-Calculos!$B$4),MOD(29-1,Calculos!$B$6)+1)))))</f>
        <v>#VALUE!</v>
      </c>
      <c r="D33" s="4"/>
      <c r="E33" s="4"/>
      <c r="F33" s="11" t="e">
        <f>IF(A33="","",INDEX(Calculos!$B$11:$B$28,IF(A33&gt;Calculos!$B$4,IF(MOD(IF(A33&lt;=Calculos!$B$4,A33,A33-Calculos!$B$4)+MOD(29-1,Calculos!$B$6)+1,2)=0,INDEX(Calculos!$B$36:$S$52,IF(A33&lt;=Calculos!$B$4,A33,A33-Calculos!$B$4),Calculos!$B$2+1-MOD(29-1,Calculos!$B$6)+1),INDEX(Calculos!$B$36:$S$52,IF(A33&lt;=Calculos!$B$4,A33,A33-Calculos!$B$4),MOD(29-1,Calculos!$B$6)+1)),IF(MOD(IF(A33&lt;=Calculos!$B$4,A33,A33-Calculos!$B$4)+MOD(29-1,Calculos!$B$6)+1,2)=0,INDEX(Calculos!$B$36:$S$52,IF(A33&lt;=Calculos!$B$4,A33,A33-Calculos!$B$4),MOD(29-1,Calculos!$B$6)+1),INDEX(Calculos!$B$36:$S$52,IF(A33&lt;=Calculos!$B$4,A33,A33-Calculos!$B$4),Calculos!$B$2+1-MOD(29-1,Calculos!$B$6)+1)))))</f>
        <v>#VALUE!</v>
      </c>
      <c r="G33" s="9" t="str">
        <f t="shared" si="0"/>
        <v>Pendiente</v>
      </c>
      <c r="H33" s="9" t="e">
        <f>IF(OR(C33="",F33=""),"",IF(AND(ISNUMBER(D33),ISNUMBER(E33)),IF(D33&gt;E33,Inicio!$E$6,IF(D33=E33,Inicio!$F$6,Inicio!$G$6)),""))</f>
        <v>#VALUE!</v>
      </c>
      <c r="I33" s="9" t="e">
        <f>IF(OR(C33="",F33=""),"",IF(AND(ISNUMBER(D33),ISNUMBER(E33)),IF(D33&lt;E33,Inicio!$E$6,IF(D33=E33,Inicio!$F$6,Inicio!$G$6)),""))</f>
        <v>#VALUE!</v>
      </c>
      <c r="J33" s="9">
        <f t="shared" si="1"/>
        <v>0</v>
      </c>
      <c r="K33" s="9">
        <f t="shared" si="2"/>
        <v>0</v>
      </c>
      <c r="L33" s="9">
        <f t="shared" si="3"/>
        <v>0</v>
      </c>
      <c r="M33" s="9">
        <f t="shared" si="4"/>
        <v>0</v>
      </c>
      <c r="N33" s="9">
        <f t="shared" si="5"/>
        <v>0</v>
      </c>
      <c r="O33" s="9">
        <f t="shared" si="6"/>
        <v>0</v>
      </c>
    </row>
    <row r="34" spans="1:15" x14ac:dyDescent="0.25">
      <c r="A34" s="9">
        <f>IF(OR(Calculos!$B$7=0,30&gt;Calculos!$B$7),"",INT((30-1)/Calculos!$B$6)+1)</f>
        <v>6</v>
      </c>
      <c r="B34" s="10">
        <f>IF(A34="","",Inicio!$E$5+(A34-1)*Inicio!$B$6)</f>
        <v>46117</v>
      </c>
      <c r="C34" s="11" t="e">
        <f>IF(A34="","",INDEX(Calculos!$B$11:$B$28,IF(A34&gt;Calculos!$B$4,IF(MOD(IF(A34&lt;=Calculos!$B$4,A34,A34-Calculos!$B$4)+MOD(30-1,Calculos!$B$6)+1,2)=0,INDEX(Calculos!$B$36:$S$52,IF(A34&lt;=Calculos!$B$4,A34,A34-Calculos!$B$4),MOD(30-1,Calculos!$B$6)+1),INDEX(Calculos!$B$36:$S$52,IF(A34&lt;=Calculos!$B$4,A34,A34-Calculos!$B$4),Calculos!$B$2+1-MOD(30-1,Calculos!$B$6)+1)),IF(MOD(IF(A34&lt;=Calculos!$B$4,A34,A34-Calculos!$B$4)+MOD(30-1,Calculos!$B$6)+1,2)=0,INDEX(Calculos!$B$36:$S$52,IF(A34&lt;=Calculos!$B$4,A34,A34-Calculos!$B$4),Calculos!$B$2+1-MOD(30-1,Calculos!$B$6)+1),INDEX(Calculos!$B$36:$S$52,IF(A34&lt;=Calculos!$B$4,A34,A34-Calculos!$B$4),MOD(30-1,Calculos!$B$6)+1)))))</f>
        <v>#VALUE!</v>
      </c>
      <c r="D34" s="4"/>
      <c r="E34" s="4"/>
      <c r="F34" s="11" t="e">
        <f>IF(A34="","",INDEX(Calculos!$B$11:$B$28,IF(A34&gt;Calculos!$B$4,IF(MOD(IF(A34&lt;=Calculos!$B$4,A34,A34-Calculos!$B$4)+MOD(30-1,Calculos!$B$6)+1,2)=0,INDEX(Calculos!$B$36:$S$52,IF(A34&lt;=Calculos!$B$4,A34,A34-Calculos!$B$4),Calculos!$B$2+1-MOD(30-1,Calculos!$B$6)+1),INDEX(Calculos!$B$36:$S$52,IF(A34&lt;=Calculos!$B$4,A34,A34-Calculos!$B$4),MOD(30-1,Calculos!$B$6)+1)),IF(MOD(IF(A34&lt;=Calculos!$B$4,A34,A34-Calculos!$B$4)+MOD(30-1,Calculos!$B$6)+1,2)=0,INDEX(Calculos!$B$36:$S$52,IF(A34&lt;=Calculos!$B$4,A34,A34-Calculos!$B$4),MOD(30-1,Calculos!$B$6)+1),INDEX(Calculos!$B$36:$S$52,IF(A34&lt;=Calculos!$B$4,A34,A34-Calculos!$B$4),Calculos!$B$2+1-MOD(30-1,Calculos!$B$6)+1)))))</f>
        <v>#VALUE!</v>
      </c>
      <c r="G34" s="9" t="str">
        <f t="shared" si="0"/>
        <v>Pendiente</v>
      </c>
      <c r="H34" s="9" t="e">
        <f>IF(OR(C34="",F34=""),"",IF(AND(ISNUMBER(D34),ISNUMBER(E34)),IF(D34&gt;E34,Inicio!$E$6,IF(D34=E34,Inicio!$F$6,Inicio!$G$6)),""))</f>
        <v>#VALUE!</v>
      </c>
      <c r="I34" s="9" t="e">
        <f>IF(OR(C34="",F34=""),"",IF(AND(ISNUMBER(D34),ISNUMBER(E34)),IF(D34&lt;E34,Inicio!$E$6,IF(D34=E34,Inicio!$F$6,Inicio!$G$6)),""))</f>
        <v>#VALUE!</v>
      </c>
      <c r="J34" s="9">
        <f t="shared" si="1"/>
        <v>0</v>
      </c>
      <c r="K34" s="9">
        <f t="shared" si="2"/>
        <v>0</v>
      </c>
      <c r="L34" s="9">
        <f t="shared" si="3"/>
        <v>0</v>
      </c>
      <c r="M34" s="9">
        <f t="shared" si="4"/>
        <v>0</v>
      </c>
      <c r="N34" s="9">
        <f t="shared" si="5"/>
        <v>0</v>
      </c>
      <c r="O34" s="9">
        <f t="shared" si="6"/>
        <v>0</v>
      </c>
    </row>
    <row r="35" spans="1:15" x14ac:dyDescent="0.25">
      <c r="A35" s="9">
        <f>IF(OR(Calculos!$B$7=0,31&gt;Calculos!$B$7),"",INT((31-1)/Calculos!$B$6)+1)</f>
        <v>7</v>
      </c>
      <c r="B35" s="10">
        <f>IF(A35="","",Inicio!$E$5+(A35-1)*Inicio!$B$6)</f>
        <v>46124</v>
      </c>
      <c r="C35" s="11" t="e">
        <f>IF(A35="","",INDEX(Calculos!$B$11:$B$28,IF(A35&gt;Calculos!$B$4,IF(MOD(IF(A35&lt;=Calculos!$B$4,A35,A35-Calculos!$B$4)+MOD(31-1,Calculos!$B$6)+1,2)=0,INDEX(Calculos!$B$36:$S$52,IF(A35&lt;=Calculos!$B$4,A35,A35-Calculos!$B$4),MOD(31-1,Calculos!$B$6)+1),INDEX(Calculos!$B$36:$S$52,IF(A35&lt;=Calculos!$B$4,A35,A35-Calculos!$B$4),Calculos!$B$2+1-MOD(31-1,Calculos!$B$6)+1)),IF(MOD(IF(A35&lt;=Calculos!$B$4,A35,A35-Calculos!$B$4)+MOD(31-1,Calculos!$B$6)+1,2)=0,INDEX(Calculos!$B$36:$S$52,IF(A35&lt;=Calculos!$B$4,A35,A35-Calculos!$B$4),Calculos!$B$2+1-MOD(31-1,Calculos!$B$6)+1),INDEX(Calculos!$B$36:$S$52,IF(A35&lt;=Calculos!$B$4,A35,A35-Calculos!$B$4),MOD(31-1,Calculos!$B$6)+1)))))</f>
        <v>#VALUE!</v>
      </c>
      <c r="D35" s="4"/>
      <c r="E35" s="4"/>
      <c r="F35" s="11" t="e">
        <f>IF(A35="","",INDEX(Calculos!$B$11:$B$28,IF(A35&gt;Calculos!$B$4,IF(MOD(IF(A35&lt;=Calculos!$B$4,A35,A35-Calculos!$B$4)+MOD(31-1,Calculos!$B$6)+1,2)=0,INDEX(Calculos!$B$36:$S$52,IF(A35&lt;=Calculos!$B$4,A35,A35-Calculos!$B$4),Calculos!$B$2+1-MOD(31-1,Calculos!$B$6)+1),INDEX(Calculos!$B$36:$S$52,IF(A35&lt;=Calculos!$B$4,A35,A35-Calculos!$B$4),MOD(31-1,Calculos!$B$6)+1)),IF(MOD(IF(A35&lt;=Calculos!$B$4,A35,A35-Calculos!$B$4)+MOD(31-1,Calculos!$B$6)+1,2)=0,INDEX(Calculos!$B$36:$S$52,IF(A35&lt;=Calculos!$B$4,A35,A35-Calculos!$B$4),MOD(31-1,Calculos!$B$6)+1),INDEX(Calculos!$B$36:$S$52,IF(A35&lt;=Calculos!$B$4,A35,A35-Calculos!$B$4),Calculos!$B$2+1-MOD(31-1,Calculos!$B$6)+1)))))</f>
        <v>#VALUE!</v>
      </c>
      <c r="G35" s="9" t="str">
        <f t="shared" si="0"/>
        <v>Pendiente</v>
      </c>
      <c r="H35" s="9" t="e">
        <f>IF(OR(C35="",F35=""),"",IF(AND(ISNUMBER(D35),ISNUMBER(E35)),IF(D35&gt;E35,Inicio!$E$6,IF(D35=E35,Inicio!$F$6,Inicio!$G$6)),""))</f>
        <v>#VALUE!</v>
      </c>
      <c r="I35" s="9" t="e">
        <f>IF(OR(C35="",F35=""),"",IF(AND(ISNUMBER(D35),ISNUMBER(E35)),IF(D35&lt;E35,Inicio!$E$6,IF(D35=E35,Inicio!$F$6,Inicio!$G$6)),""))</f>
        <v>#VALUE!</v>
      </c>
      <c r="J35" s="9">
        <f t="shared" si="1"/>
        <v>0</v>
      </c>
      <c r="K35" s="9">
        <f t="shared" si="2"/>
        <v>0</v>
      </c>
      <c r="L35" s="9">
        <f t="shared" si="3"/>
        <v>0</v>
      </c>
      <c r="M35" s="9">
        <f t="shared" si="4"/>
        <v>0</v>
      </c>
      <c r="N35" s="9">
        <f t="shared" si="5"/>
        <v>0</v>
      </c>
      <c r="O35" s="9">
        <f t="shared" si="6"/>
        <v>0</v>
      </c>
    </row>
    <row r="36" spans="1:15" x14ac:dyDescent="0.25">
      <c r="A36" s="9">
        <f>IF(OR(Calculos!$B$7=0,32&gt;Calculos!$B$7),"",INT((32-1)/Calculos!$B$6)+1)</f>
        <v>7</v>
      </c>
      <c r="B36" s="10">
        <f>IF(A36="","",Inicio!$E$5+(A36-1)*Inicio!$B$6)</f>
        <v>46124</v>
      </c>
      <c r="C36" s="11" t="e">
        <f>IF(A36="","",INDEX(Calculos!$B$11:$B$28,IF(A36&gt;Calculos!$B$4,IF(MOD(IF(A36&lt;=Calculos!$B$4,A36,A36-Calculos!$B$4)+MOD(32-1,Calculos!$B$6)+1,2)=0,INDEX(Calculos!$B$36:$S$52,IF(A36&lt;=Calculos!$B$4,A36,A36-Calculos!$B$4),MOD(32-1,Calculos!$B$6)+1),INDEX(Calculos!$B$36:$S$52,IF(A36&lt;=Calculos!$B$4,A36,A36-Calculos!$B$4),Calculos!$B$2+1-MOD(32-1,Calculos!$B$6)+1)),IF(MOD(IF(A36&lt;=Calculos!$B$4,A36,A36-Calculos!$B$4)+MOD(32-1,Calculos!$B$6)+1,2)=0,INDEX(Calculos!$B$36:$S$52,IF(A36&lt;=Calculos!$B$4,A36,A36-Calculos!$B$4),Calculos!$B$2+1-MOD(32-1,Calculos!$B$6)+1),INDEX(Calculos!$B$36:$S$52,IF(A36&lt;=Calculos!$B$4,A36,A36-Calculos!$B$4),MOD(32-1,Calculos!$B$6)+1)))))</f>
        <v>#VALUE!</v>
      </c>
      <c r="D36" s="4"/>
      <c r="E36" s="4"/>
      <c r="F36" s="11" t="e">
        <f>IF(A36="","",INDEX(Calculos!$B$11:$B$28,IF(A36&gt;Calculos!$B$4,IF(MOD(IF(A36&lt;=Calculos!$B$4,A36,A36-Calculos!$B$4)+MOD(32-1,Calculos!$B$6)+1,2)=0,INDEX(Calculos!$B$36:$S$52,IF(A36&lt;=Calculos!$B$4,A36,A36-Calculos!$B$4),Calculos!$B$2+1-MOD(32-1,Calculos!$B$6)+1),INDEX(Calculos!$B$36:$S$52,IF(A36&lt;=Calculos!$B$4,A36,A36-Calculos!$B$4),MOD(32-1,Calculos!$B$6)+1)),IF(MOD(IF(A36&lt;=Calculos!$B$4,A36,A36-Calculos!$B$4)+MOD(32-1,Calculos!$B$6)+1,2)=0,INDEX(Calculos!$B$36:$S$52,IF(A36&lt;=Calculos!$B$4,A36,A36-Calculos!$B$4),MOD(32-1,Calculos!$B$6)+1),INDEX(Calculos!$B$36:$S$52,IF(A36&lt;=Calculos!$B$4,A36,A36-Calculos!$B$4),Calculos!$B$2+1-MOD(32-1,Calculos!$B$6)+1)))))</f>
        <v>#VALUE!</v>
      </c>
      <c r="G36" s="9" t="str">
        <f t="shared" si="0"/>
        <v>Pendiente</v>
      </c>
      <c r="H36" s="9" t="e">
        <f>IF(OR(C36="",F36=""),"",IF(AND(ISNUMBER(D36),ISNUMBER(E36)),IF(D36&gt;E36,Inicio!$E$6,IF(D36=E36,Inicio!$F$6,Inicio!$G$6)),""))</f>
        <v>#VALUE!</v>
      </c>
      <c r="I36" s="9" t="e">
        <f>IF(OR(C36="",F36=""),"",IF(AND(ISNUMBER(D36),ISNUMBER(E36)),IF(D36&lt;E36,Inicio!$E$6,IF(D36=E36,Inicio!$F$6,Inicio!$G$6)),""))</f>
        <v>#VALUE!</v>
      </c>
      <c r="J36" s="9">
        <f t="shared" si="1"/>
        <v>0</v>
      </c>
      <c r="K36" s="9">
        <f t="shared" si="2"/>
        <v>0</v>
      </c>
      <c r="L36" s="9">
        <f t="shared" si="3"/>
        <v>0</v>
      </c>
      <c r="M36" s="9">
        <f t="shared" si="4"/>
        <v>0</v>
      </c>
      <c r="N36" s="9">
        <f t="shared" si="5"/>
        <v>0</v>
      </c>
      <c r="O36" s="9">
        <f t="shared" si="6"/>
        <v>0</v>
      </c>
    </row>
    <row r="37" spans="1:15" x14ac:dyDescent="0.25">
      <c r="A37" s="9">
        <f>IF(OR(Calculos!$B$7=0,33&gt;Calculos!$B$7),"",INT((33-1)/Calculos!$B$6)+1)</f>
        <v>7</v>
      </c>
      <c r="B37" s="10">
        <f>IF(A37="","",Inicio!$E$5+(A37-1)*Inicio!$B$6)</f>
        <v>46124</v>
      </c>
      <c r="C37" s="11" t="e">
        <f>IF(A37="","",INDEX(Calculos!$B$11:$B$28,IF(A37&gt;Calculos!$B$4,IF(MOD(IF(A37&lt;=Calculos!$B$4,A37,A37-Calculos!$B$4)+MOD(33-1,Calculos!$B$6)+1,2)=0,INDEX(Calculos!$B$36:$S$52,IF(A37&lt;=Calculos!$B$4,A37,A37-Calculos!$B$4),MOD(33-1,Calculos!$B$6)+1),INDEX(Calculos!$B$36:$S$52,IF(A37&lt;=Calculos!$B$4,A37,A37-Calculos!$B$4),Calculos!$B$2+1-MOD(33-1,Calculos!$B$6)+1)),IF(MOD(IF(A37&lt;=Calculos!$B$4,A37,A37-Calculos!$B$4)+MOD(33-1,Calculos!$B$6)+1,2)=0,INDEX(Calculos!$B$36:$S$52,IF(A37&lt;=Calculos!$B$4,A37,A37-Calculos!$B$4),Calculos!$B$2+1-MOD(33-1,Calculos!$B$6)+1),INDEX(Calculos!$B$36:$S$52,IF(A37&lt;=Calculos!$B$4,A37,A37-Calculos!$B$4),MOD(33-1,Calculos!$B$6)+1)))))</f>
        <v>#VALUE!</v>
      </c>
      <c r="D37" s="4"/>
      <c r="E37" s="4"/>
      <c r="F37" s="11" t="e">
        <f>IF(A37="","",INDEX(Calculos!$B$11:$B$28,IF(A37&gt;Calculos!$B$4,IF(MOD(IF(A37&lt;=Calculos!$B$4,A37,A37-Calculos!$B$4)+MOD(33-1,Calculos!$B$6)+1,2)=0,INDEX(Calculos!$B$36:$S$52,IF(A37&lt;=Calculos!$B$4,A37,A37-Calculos!$B$4),Calculos!$B$2+1-MOD(33-1,Calculos!$B$6)+1),INDEX(Calculos!$B$36:$S$52,IF(A37&lt;=Calculos!$B$4,A37,A37-Calculos!$B$4),MOD(33-1,Calculos!$B$6)+1)),IF(MOD(IF(A37&lt;=Calculos!$B$4,A37,A37-Calculos!$B$4)+MOD(33-1,Calculos!$B$6)+1,2)=0,INDEX(Calculos!$B$36:$S$52,IF(A37&lt;=Calculos!$B$4,A37,A37-Calculos!$B$4),MOD(33-1,Calculos!$B$6)+1),INDEX(Calculos!$B$36:$S$52,IF(A37&lt;=Calculos!$B$4,A37,A37-Calculos!$B$4),Calculos!$B$2+1-MOD(33-1,Calculos!$B$6)+1)))))</f>
        <v>#VALUE!</v>
      </c>
      <c r="G37" s="9" t="str">
        <f t="shared" si="0"/>
        <v>Pendiente</v>
      </c>
      <c r="H37" s="9" t="e">
        <f>IF(OR(C37="",F37=""),"",IF(AND(ISNUMBER(D37),ISNUMBER(E37)),IF(D37&gt;E37,Inicio!$E$6,IF(D37=E37,Inicio!$F$6,Inicio!$G$6)),""))</f>
        <v>#VALUE!</v>
      </c>
      <c r="I37" s="9" t="e">
        <f>IF(OR(C37="",F37=""),"",IF(AND(ISNUMBER(D37),ISNUMBER(E37)),IF(D37&lt;E37,Inicio!$E$6,IF(D37=E37,Inicio!$F$6,Inicio!$G$6)),""))</f>
        <v>#VALUE!</v>
      </c>
      <c r="J37" s="9">
        <f t="shared" si="1"/>
        <v>0</v>
      </c>
      <c r="K37" s="9">
        <f t="shared" si="2"/>
        <v>0</v>
      </c>
      <c r="L37" s="9">
        <f t="shared" si="3"/>
        <v>0</v>
      </c>
      <c r="M37" s="9">
        <f t="shared" si="4"/>
        <v>0</v>
      </c>
      <c r="N37" s="9">
        <f t="shared" si="5"/>
        <v>0</v>
      </c>
      <c r="O37" s="9">
        <f t="shared" si="6"/>
        <v>0</v>
      </c>
    </row>
    <row r="38" spans="1:15" x14ac:dyDescent="0.25">
      <c r="A38" s="9">
        <f>IF(OR(Calculos!$B$7=0,34&gt;Calculos!$B$7),"",INT((34-1)/Calculos!$B$6)+1)</f>
        <v>7</v>
      </c>
      <c r="B38" s="10">
        <f>IF(A38="","",Inicio!$E$5+(A38-1)*Inicio!$B$6)</f>
        <v>46124</v>
      </c>
      <c r="C38" s="11" t="e">
        <f>IF(A38="","",INDEX(Calculos!$B$11:$B$28,IF(A38&gt;Calculos!$B$4,IF(MOD(IF(A38&lt;=Calculos!$B$4,A38,A38-Calculos!$B$4)+MOD(34-1,Calculos!$B$6)+1,2)=0,INDEX(Calculos!$B$36:$S$52,IF(A38&lt;=Calculos!$B$4,A38,A38-Calculos!$B$4),MOD(34-1,Calculos!$B$6)+1),INDEX(Calculos!$B$36:$S$52,IF(A38&lt;=Calculos!$B$4,A38,A38-Calculos!$B$4),Calculos!$B$2+1-MOD(34-1,Calculos!$B$6)+1)),IF(MOD(IF(A38&lt;=Calculos!$B$4,A38,A38-Calculos!$B$4)+MOD(34-1,Calculos!$B$6)+1,2)=0,INDEX(Calculos!$B$36:$S$52,IF(A38&lt;=Calculos!$B$4,A38,A38-Calculos!$B$4),Calculos!$B$2+1-MOD(34-1,Calculos!$B$6)+1),INDEX(Calculos!$B$36:$S$52,IF(A38&lt;=Calculos!$B$4,A38,A38-Calculos!$B$4),MOD(34-1,Calculos!$B$6)+1)))))</f>
        <v>#VALUE!</v>
      </c>
      <c r="D38" s="4"/>
      <c r="E38" s="4"/>
      <c r="F38" s="11" t="e">
        <f>IF(A38="","",INDEX(Calculos!$B$11:$B$28,IF(A38&gt;Calculos!$B$4,IF(MOD(IF(A38&lt;=Calculos!$B$4,A38,A38-Calculos!$B$4)+MOD(34-1,Calculos!$B$6)+1,2)=0,INDEX(Calculos!$B$36:$S$52,IF(A38&lt;=Calculos!$B$4,A38,A38-Calculos!$B$4),Calculos!$B$2+1-MOD(34-1,Calculos!$B$6)+1),INDEX(Calculos!$B$36:$S$52,IF(A38&lt;=Calculos!$B$4,A38,A38-Calculos!$B$4),MOD(34-1,Calculos!$B$6)+1)),IF(MOD(IF(A38&lt;=Calculos!$B$4,A38,A38-Calculos!$B$4)+MOD(34-1,Calculos!$B$6)+1,2)=0,INDEX(Calculos!$B$36:$S$52,IF(A38&lt;=Calculos!$B$4,A38,A38-Calculos!$B$4),MOD(34-1,Calculos!$B$6)+1),INDEX(Calculos!$B$36:$S$52,IF(A38&lt;=Calculos!$B$4,A38,A38-Calculos!$B$4),Calculos!$B$2+1-MOD(34-1,Calculos!$B$6)+1)))))</f>
        <v>#VALUE!</v>
      </c>
      <c r="G38" s="9" t="str">
        <f t="shared" si="0"/>
        <v>Pendiente</v>
      </c>
      <c r="H38" s="9" t="e">
        <f>IF(OR(C38="",F38=""),"",IF(AND(ISNUMBER(D38),ISNUMBER(E38)),IF(D38&gt;E38,Inicio!$E$6,IF(D38=E38,Inicio!$F$6,Inicio!$G$6)),""))</f>
        <v>#VALUE!</v>
      </c>
      <c r="I38" s="9" t="e">
        <f>IF(OR(C38="",F38=""),"",IF(AND(ISNUMBER(D38),ISNUMBER(E38)),IF(D38&lt;E38,Inicio!$E$6,IF(D38=E38,Inicio!$F$6,Inicio!$G$6)),""))</f>
        <v>#VALUE!</v>
      </c>
      <c r="J38" s="9">
        <f t="shared" si="1"/>
        <v>0</v>
      </c>
      <c r="K38" s="9">
        <f t="shared" si="2"/>
        <v>0</v>
      </c>
      <c r="L38" s="9">
        <f t="shared" si="3"/>
        <v>0</v>
      </c>
      <c r="M38" s="9">
        <f t="shared" si="4"/>
        <v>0</v>
      </c>
      <c r="N38" s="9">
        <f t="shared" si="5"/>
        <v>0</v>
      </c>
      <c r="O38" s="9">
        <f t="shared" si="6"/>
        <v>0</v>
      </c>
    </row>
    <row r="39" spans="1:15" x14ac:dyDescent="0.25">
      <c r="A39" s="9">
        <f>IF(OR(Calculos!$B$7=0,35&gt;Calculos!$B$7),"",INT((35-1)/Calculos!$B$6)+1)</f>
        <v>7</v>
      </c>
      <c r="B39" s="10">
        <f>IF(A39="","",Inicio!$E$5+(A39-1)*Inicio!$B$6)</f>
        <v>46124</v>
      </c>
      <c r="C39" s="11" t="e">
        <f>IF(A39="","",INDEX(Calculos!$B$11:$B$28,IF(A39&gt;Calculos!$B$4,IF(MOD(IF(A39&lt;=Calculos!$B$4,A39,A39-Calculos!$B$4)+MOD(35-1,Calculos!$B$6)+1,2)=0,INDEX(Calculos!$B$36:$S$52,IF(A39&lt;=Calculos!$B$4,A39,A39-Calculos!$B$4),MOD(35-1,Calculos!$B$6)+1),INDEX(Calculos!$B$36:$S$52,IF(A39&lt;=Calculos!$B$4,A39,A39-Calculos!$B$4),Calculos!$B$2+1-MOD(35-1,Calculos!$B$6)+1)),IF(MOD(IF(A39&lt;=Calculos!$B$4,A39,A39-Calculos!$B$4)+MOD(35-1,Calculos!$B$6)+1,2)=0,INDEX(Calculos!$B$36:$S$52,IF(A39&lt;=Calculos!$B$4,A39,A39-Calculos!$B$4),Calculos!$B$2+1-MOD(35-1,Calculos!$B$6)+1),INDEX(Calculos!$B$36:$S$52,IF(A39&lt;=Calculos!$B$4,A39,A39-Calculos!$B$4),MOD(35-1,Calculos!$B$6)+1)))))</f>
        <v>#VALUE!</v>
      </c>
      <c r="D39" s="4"/>
      <c r="E39" s="4"/>
      <c r="F39" s="11" t="e">
        <f>IF(A39="","",INDEX(Calculos!$B$11:$B$28,IF(A39&gt;Calculos!$B$4,IF(MOD(IF(A39&lt;=Calculos!$B$4,A39,A39-Calculos!$B$4)+MOD(35-1,Calculos!$B$6)+1,2)=0,INDEX(Calculos!$B$36:$S$52,IF(A39&lt;=Calculos!$B$4,A39,A39-Calculos!$B$4),Calculos!$B$2+1-MOD(35-1,Calculos!$B$6)+1),INDEX(Calculos!$B$36:$S$52,IF(A39&lt;=Calculos!$B$4,A39,A39-Calculos!$B$4),MOD(35-1,Calculos!$B$6)+1)),IF(MOD(IF(A39&lt;=Calculos!$B$4,A39,A39-Calculos!$B$4)+MOD(35-1,Calculos!$B$6)+1,2)=0,INDEX(Calculos!$B$36:$S$52,IF(A39&lt;=Calculos!$B$4,A39,A39-Calculos!$B$4),MOD(35-1,Calculos!$B$6)+1),INDEX(Calculos!$B$36:$S$52,IF(A39&lt;=Calculos!$B$4,A39,A39-Calculos!$B$4),Calculos!$B$2+1-MOD(35-1,Calculos!$B$6)+1)))))</f>
        <v>#VALUE!</v>
      </c>
      <c r="G39" s="9" t="str">
        <f t="shared" si="0"/>
        <v>Pendiente</v>
      </c>
      <c r="H39" s="9" t="e">
        <f>IF(OR(C39="",F39=""),"",IF(AND(ISNUMBER(D39),ISNUMBER(E39)),IF(D39&gt;E39,Inicio!$E$6,IF(D39=E39,Inicio!$F$6,Inicio!$G$6)),""))</f>
        <v>#VALUE!</v>
      </c>
      <c r="I39" s="9" t="e">
        <f>IF(OR(C39="",F39=""),"",IF(AND(ISNUMBER(D39),ISNUMBER(E39)),IF(D39&lt;E39,Inicio!$E$6,IF(D39=E39,Inicio!$F$6,Inicio!$G$6)),""))</f>
        <v>#VALUE!</v>
      </c>
      <c r="J39" s="9">
        <f t="shared" si="1"/>
        <v>0</v>
      </c>
      <c r="K39" s="9">
        <f t="shared" si="2"/>
        <v>0</v>
      </c>
      <c r="L39" s="9">
        <f t="shared" si="3"/>
        <v>0</v>
      </c>
      <c r="M39" s="9">
        <f t="shared" si="4"/>
        <v>0</v>
      </c>
      <c r="N39" s="9">
        <f t="shared" si="5"/>
        <v>0</v>
      </c>
      <c r="O39" s="9">
        <f t="shared" si="6"/>
        <v>0</v>
      </c>
    </row>
    <row r="40" spans="1:15" x14ac:dyDescent="0.25">
      <c r="A40" s="9">
        <f>IF(OR(Calculos!$B$7=0,36&gt;Calculos!$B$7),"",INT((36-1)/Calculos!$B$6)+1)</f>
        <v>8</v>
      </c>
      <c r="B40" s="10">
        <f>IF(A40="","",Inicio!$E$5+(A40-1)*Inicio!$B$6)</f>
        <v>46131</v>
      </c>
      <c r="C40" s="11" t="e">
        <f>IF(A40="","",INDEX(Calculos!$B$11:$B$28,IF(A40&gt;Calculos!$B$4,IF(MOD(IF(A40&lt;=Calculos!$B$4,A40,A40-Calculos!$B$4)+MOD(36-1,Calculos!$B$6)+1,2)=0,INDEX(Calculos!$B$36:$S$52,IF(A40&lt;=Calculos!$B$4,A40,A40-Calculos!$B$4),MOD(36-1,Calculos!$B$6)+1),INDEX(Calculos!$B$36:$S$52,IF(A40&lt;=Calculos!$B$4,A40,A40-Calculos!$B$4),Calculos!$B$2+1-MOD(36-1,Calculos!$B$6)+1)),IF(MOD(IF(A40&lt;=Calculos!$B$4,A40,A40-Calculos!$B$4)+MOD(36-1,Calculos!$B$6)+1,2)=0,INDEX(Calculos!$B$36:$S$52,IF(A40&lt;=Calculos!$B$4,A40,A40-Calculos!$B$4),Calculos!$B$2+1-MOD(36-1,Calculos!$B$6)+1),INDEX(Calculos!$B$36:$S$52,IF(A40&lt;=Calculos!$B$4,A40,A40-Calculos!$B$4),MOD(36-1,Calculos!$B$6)+1)))))</f>
        <v>#VALUE!</v>
      </c>
      <c r="D40" s="4"/>
      <c r="E40" s="4"/>
      <c r="F40" s="11" t="e">
        <f>IF(A40="","",INDEX(Calculos!$B$11:$B$28,IF(A40&gt;Calculos!$B$4,IF(MOD(IF(A40&lt;=Calculos!$B$4,A40,A40-Calculos!$B$4)+MOD(36-1,Calculos!$B$6)+1,2)=0,INDEX(Calculos!$B$36:$S$52,IF(A40&lt;=Calculos!$B$4,A40,A40-Calculos!$B$4),Calculos!$B$2+1-MOD(36-1,Calculos!$B$6)+1),INDEX(Calculos!$B$36:$S$52,IF(A40&lt;=Calculos!$B$4,A40,A40-Calculos!$B$4),MOD(36-1,Calculos!$B$6)+1)),IF(MOD(IF(A40&lt;=Calculos!$B$4,A40,A40-Calculos!$B$4)+MOD(36-1,Calculos!$B$6)+1,2)=0,INDEX(Calculos!$B$36:$S$52,IF(A40&lt;=Calculos!$B$4,A40,A40-Calculos!$B$4),MOD(36-1,Calculos!$B$6)+1),INDEX(Calculos!$B$36:$S$52,IF(A40&lt;=Calculos!$B$4,A40,A40-Calculos!$B$4),Calculos!$B$2+1-MOD(36-1,Calculos!$B$6)+1)))))</f>
        <v>#VALUE!</v>
      </c>
      <c r="G40" s="9" t="str">
        <f t="shared" si="0"/>
        <v>Pendiente</v>
      </c>
      <c r="H40" s="9" t="e">
        <f>IF(OR(C40="",F40=""),"",IF(AND(ISNUMBER(D40),ISNUMBER(E40)),IF(D40&gt;E40,Inicio!$E$6,IF(D40=E40,Inicio!$F$6,Inicio!$G$6)),""))</f>
        <v>#VALUE!</v>
      </c>
      <c r="I40" s="9" t="e">
        <f>IF(OR(C40="",F40=""),"",IF(AND(ISNUMBER(D40),ISNUMBER(E40)),IF(D40&lt;E40,Inicio!$E$6,IF(D40=E40,Inicio!$F$6,Inicio!$G$6)),""))</f>
        <v>#VALUE!</v>
      </c>
      <c r="J40" s="9">
        <f t="shared" si="1"/>
        <v>0</v>
      </c>
      <c r="K40" s="9">
        <f t="shared" si="2"/>
        <v>0</v>
      </c>
      <c r="L40" s="9">
        <f t="shared" si="3"/>
        <v>0</v>
      </c>
      <c r="M40" s="9">
        <f t="shared" si="4"/>
        <v>0</v>
      </c>
      <c r="N40" s="9">
        <f t="shared" si="5"/>
        <v>0</v>
      </c>
      <c r="O40" s="9">
        <f t="shared" si="6"/>
        <v>0</v>
      </c>
    </row>
    <row r="41" spans="1:15" x14ac:dyDescent="0.25">
      <c r="A41" s="9">
        <f>IF(OR(Calculos!$B$7=0,37&gt;Calculos!$B$7),"",INT((37-1)/Calculos!$B$6)+1)</f>
        <v>8</v>
      </c>
      <c r="B41" s="10">
        <f>IF(A41="","",Inicio!$E$5+(A41-1)*Inicio!$B$6)</f>
        <v>46131</v>
      </c>
      <c r="C41" s="11" t="e">
        <f>IF(A41="","",INDEX(Calculos!$B$11:$B$28,IF(A41&gt;Calculos!$B$4,IF(MOD(IF(A41&lt;=Calculos!$B$4,A41,A41-Calculos!$B$4)+MOD(37-1,Calculos!$B$6)+1,2)=0,INDEX(Calculos!$B$36:$S$52,IF(A41&lt;=Calculos!$B$4,A41,A41-Calculos!$B$4),MOD(37-1,Calculos!$B$6)+1),INDEX(Calculos!$B$36:$S$52,IF(A41&lt;=Calculos!$B$4,A41,A41-Calculos!$B$4),Calculos!$B$2+1-MOD(37-1,Calculos!$B$6)+1)),IF(MOD(IF(A41&lt;=Calculos!$B$4,A41,A41-Calculos!$B$4)+MOD(37-1,Calculos!$B$6)+1,2)=0,INDEX(Calculos!$B$36:$S$52,IF(A41&lt;=Calculos!$B$4,A41,A41-Calculos!$B$4),Calculos!$B$2+1-MOD(37-1,Calculos!$B$6)+1),INDEX(Calculos!$B$36:$S$52,IF(A41&lt;=Calculos!$B$4,A41,A41-Calculos!$B$4),MOD(37-1,Calculos!$B$6)+1)))))</f>
        <v>#VALUE!</v>
      </c>
      <c r="D41" s="4"/>
      <c r="E41" s="4"/>
      <c r="F41" s="11" t="e">
        <f>IF(A41="","",INDEX(Calculos!$B$11:$B$28,IF(A41&gt;Calculos!$B$4,IF(MOD(IF(A41&lt;=Calculos!$B$4,A41,A41-Calculos!$B$4)+MOD(37-1,Calculos!$B$6)+1,2)=0,INDEX(Calculos!$B$36:$S$52,IF(A41&lt;=Calculos!$B$4,A41,A41-Calculos!$B$4),Calculos!$B$2+1-MOD(37-1,Calculos!$B$6)+1),INDEX(Calculos!$B$36:$S$52,IF(A41&lt;=Calculos!$B$4,A41,A41-Calculos!$B$4),MOD(37-1,Calculos!$B$6)+1)),IF(MOD(IF(A41&lt;=Calculos!$B$4,A41,A41-Calculos!$B$4)+MOD(37-1,Calculos!$B$6)+1,2)=0,INDEX(Calculos!$B$36:$S$52,IF(A41&lt;=Calculos!$B$4,A41,A41-Calculos!$B$4),MOD(37-1,Calculos!$B$6)+1),INDEX(Calculos!$B$36:$S$52,IF(A41&lt;=Calculos!$B$4,A41,A41-Calculos!$B$4),Calculos!$B$2+1-MOD(37-1,Calculos!$B$6)+1)))))</f>
        <v>#VALUE!</v>
      </c>
      <c r="G41" s="9" t="str">
        <f t="shared" si="0"/>
        <v>Pendiente</v>
      </c>
      <c r="H41" s="9" t="e">
        <f>IF(OR(C41="",F41=""),"",IF(AND(ISNUMBER(D41),ISNUMBER(E41)),IF(D41&gt;E41,Inicio!$E$6,IF(D41=E41,Inicio!$F$6,Inicio!$G$6)),""))</f>
        <v>#VALUE!</v>
      </c>
      <c r="I41" s="9" t="e">
        <f>IF(OR(C41="",F41=""),"",IF(AND(ISNUMBER(D41),ISNUMBER(E41)),IF(D41&lt;E41,Inicio!$E$6,IF(D41=E41,Inicio!$F$6,Inicio!$G$6)),""))</f>
        <v>#VALUE!</v>
      </c>
      <c r="J41" s="9">
        <f t="shared" si="1"/>
        <v>0</v>
      </c>
      <c r="K41" s="9">
        <f t="shared" si="2"/>
        <v>0</v>
      </c>
      <c r="L41" s="9">
        <f t="shared" si="3"/>
        <v>0</v>
      </c>
      <c r="M41" s="9">
        <f t="shared" si="4"/>
        <v>0</v>
      </c>
      <c r="N41" s="9">
        <f t="shared" si="5"/>
        <v>0</v>
      </c>
      <c r="O41" s="9">
        <f t="shared" si="6"/>
        <v>0</v>
      </c>
    </row>
    <row r="42" spans="1:15" x14ac:dyDescent="0.25">
      <c r="A42" s="9">
        <f>IF(OR(Calculos!$B$7=0,38&gt;Calculos!$B$7),"",INT((38-1)/Calculos!$B$6)+1)</f>
        <v>8</v>
      </c>
      <c r="B42" s="10">
        <f>IF(A42="","",Inicio!$E$5+(A42-1)*Inicio!$B$6)</f>
        <v>46131</v>
      </c>
      <c r="C42" s="11" t="e">
        <f>IF(A42="","",INDEX(Calculos!$B$11:$B$28,IF(A42&gt;Calculos!$B$4,IF(MOD(IF(A42&lt;=Calculos!$B$4,A42,A42-Calculos!$B$4)+MOD(38-1,Calculos!$B$6)+1,2)=0,INDEX(Calculos!$B$36:$S$52,IF(A42&lt;=Calculos!$B$4,A42,A42-Calculos!$B$4),MOD(38-1,Calculos!$B$6)+1),INDEX(Calculos!$B$36:$S$52,IF(A42&lt;=Calculos!$B$4,A42,A42-Calculos!$B$4),Calculos!$B$2+1-MOD(38-1,Calculos!$B$6)+1)),IF(MOD(IF(A42&lt;=Calculos!$B$4,A42,A42-Calculos!$B$4)+MOD(38-1,Calculos!$B$6)+1,2)=0,INDEX(Calculos!$B$36:$S$52,IF(A42&lt;=Calculos!$B$4,A42,A42-Calculos!$B$4),Calculos!$B$2+1-MOD(38-1,Calculos!$B$6)+1),INDEX(Calculos!$B$36:$S$52,IF(A42&lt;=Calculos!$B$4,A42,A42-Calculos!$B$4),MOD(38-1,Calculos!$B$6)+1)))))</f>
        <v>#VALUE!</v>
      </c>
      <c r="D42" s="4"/>
      <c r="E42" s="4"/>
      <c r="F42" s="11" t="e">
        <f>IF(A42="","",INDEX(Calculos!$B$11:$B$28,IF(A42&gt;Calculos!$B$4,IF(MOD(IF(A42&lt;=Calculos!$B$4,A42,A42-Calculos!$B$4)+MOD(38-1,Calculos!$B$6)+1,2)=0,INDEX(Calculos!$B$36:$S$52,IF(A42&lt;=Calculos!$B$4,A42,A42-Calculos!$B$4),Calculos!$B$2+1-MOD(38-1,Calculos!$B$6)+1),INDEX(Calculos!$B$36:$S$52,IF(A42&lt;=Calculos!$B$4,A42,A42-Calculos!$B$4),MOD(38-1,Calculos!$B$6)+1)),IF(MOD(IF(A42&lt;=Calculos!$B$4,A42,A42-Calculos!$B$4)+MOD(38-1,Calculos!$B$6)+1,2)=0,INDEX(Calculos!$B$36:$S$52,IF(A42&lt;=Calculos!$B$4,A42,A42-Calculos!$B$4),MOD(38-1,Calculos!$B$6)+1),INDEX(Calculos!$B$36:$S$52,IF(A42&lt;=Calculos!$B$4,A42,A42-Calculos!$B$4),Calculos!$B$2+1-MOD(38-1,Calculos!$B$6)+1)))))</f>
        <v>#VALUE!</v>
      </c>
      <c r="G42" s="9" t="str">
        <f t="shared" si="0"/>
        <v>Pendiente</v>
      </c>
      <c r="H42" s="9" t="e">
        <f>IF(OR(C42="",F42=""),"",IF(AND(ISNUMBER(D42),ISNUMBER(E42)),IF(D42&gt;E42,Inicio!$E$6,IF(D42=E42,Inicio!$F$6,Inicio!$G$6)),""))</f>
        <v>#VALUE!</v>
      </c>
      <c r="I42" s="9" t="e">
        <f>IF(OR(C42="",F42=""),"",IF(AND(ISNUMBER(D42),ISNUMBER(E42)),IF(D42&lt;E42,Inicio!$E$6,IF(D42=E42,Inicio!$F$6,Inicio!$G$6)),""))</f>
        <v>#VALUE!</v>
      </c>
      <c r="J42" s="9">
        <f t="shared" si="1"/>
        <v>0</v>
      </c>
      <c r="K42" s="9">
        <f t="shared" si="2"/>
        <v>0</v>
      </c>
      <c r="L42" s="9">
        <f t="shared" si="3"/>
        <v>0</v>
      </c>
      <c r="M42" s="9">
        <f t="shared" si="4"/>
        <v>0</v>
      </c>
      <c r="N42" s="9">
        <f t="shared" si="5"/>
        <v>0</v>
      </c>
      <c r="O42" s="9">
        <f t="shared" si="6"/>
        <v>0</v>
      </c>
    </row>
    <row r="43" spans="1:15" x14ac:dyDescent="0.25">
      <c r="A43" s="9">
        <f>IF(OR(Calculos!$B$7=0,39&gt;Calculos!$B$7),"",INT((39-1)/Calculos!$B$6)+1)</f>
        <v>8</v>
      </c>
      <c r="B43" s="10">
        <f>IF(A43="","",Inicio!$E$5+(A43-1)*Inicio!$B$6)</f>
        <v>46131</v>
      </c>
      <c r="C43" s="11" t="e">
        <f>IF(A43="","",INDEX(Calculos!$B$11:$B$28,IF(A43&gt;Calculos!$B$4,IF(MOD(IF(A43&lt;=Calculos!$B$4,A43,A43-Calculos!$B$4)+MOD(39-1,Calculos!$B$6)+1,2)=0,INDEX(Calculos!$B$36:$S$52,IF(A43&lt;=Calculos!$B$4,A43,A43-Calculos!$B$4),MOD(39-1,Calculos!$B$6)+1),INDEX(Calculos!$B$36:$S$52,IF(A43&lt;=Calculos!$B$4,A43,A43-Calculos!$B$4),Calculos!$B$2+1-MOD(39-1,Calculos!$B$6)+1)),IF(MOD(IF(A43&lt;=Calculos!$B$4,A43,A43-Calculos!$B$4)+MOD(39-1,Calculos!$B$6)+1,2)=0,INDEX(Calculos!$B$36:$S$52,IF(A43&lt;=Calculos!$B$4,A43,A43-Calculos!$B$4),Calculos!$B$2+1-MOD(39-1,Calculos!$B$6)+1),INDEX(Calculos!$B$36:$S$52,IF(A43&lt;=Calculos!$B$4,A43,A43-Calculos!$B$4),MOD(39-1,Calculos!$B$6)+1)))))</f>
        <v>#VALUE!</v>
      </c>
      <c r="D43" s="4"/>
      <c r="E43" s="4"/>
      <c r="F43" s="11" t="e">
        <f>IF(A43="","",INDEX(Calculos!$B$11:$B$28,IF(A43&gt;Calculos!$B$4,IF(MOD(IF(A43&lt;=Calculos!$B$4,A43,A43-Calculos!$B$4)+MOD(39-1,Calculos!$B$6)+1,2)=0,INDEX(Calculos!$B$36:$S$52,IF(A43&lt;=Calculos!$B$4,A43,A43-Calculos!$B$4),Calculos!$B$2+1-MOD(39-1,Calculos!$B$6)+1),INDEX(Calculos!$B$36:$S$52,IF(A43&lt;=Calculos!$B$4,A43,A43-Calculos!$B$4),MOD(39-1,Calculos!$B$6)+1)),IF(MOD(IF(A43&lt;=Calculos!$B$4,A43,A43-Calculos!$B$4)+MOD(39-1,Calculos!$B$6)+1,2)=0,INDEX(Calculos!$B$36:$S$52,IF(A43&lt;=Calculos!$B$4,A43,A43-Calculos!$B$4),MOD(39-1,Calculos!$B$6)+1),INDEX(Calculos!$B$36:$S$52,IF(A43&lt;=Calculos!$B$4,A43,A43-Calculos!$B$4),Calculos!$B$2+1-MOD(39-1,Calculos!$B$6)+1)))))</f>
        <v>#VALUE!</v>
      </c>
      <c r="G43" s="9" t="str">
        <f t="shared" si="0"/>
        <v>Pendiente</v>
      </c>
      <c r="H43" s="9" t="e">
        <f>IF(OR(C43="",F43=""),"",IF(AND(ISNUMBER(D43),ISNUMBER(E43)),IF(D43&gt;E43,Inicio!$E$6,IF(D43=E43,Inicio!$F$6,Inicio!$G$6)),""))</f>
        <v>#VALUE!</v>
      </c>
      <c r="I43" s="9" t="e">
        <f>IF(OR(C43="",F43=""),"",IF(AND(ISNUMBER(D43),ISNUMBER(E43)),IF(D43&lt;E43,Inicio!$E$6,IF(D43=E43,Inicio!$F$6,Inicio!$G$6)),""))</f>
        <v>#VALUE!</v>
      </c>
      <c r="J43" s="9">
        <f t="shared" si="1"/>
        <v>0</v>
      </c>
      <c r="K43" s="9">
        <f t="shared" si="2"/>
        <v>0</v>
      </c>
      <c r="L43" s="9">
        <f t="shared" si="3"/>
        <v>0</v>
      </c>
      <c r="M43" s="9">
        <f t="shared" si="4"/>
        <v>0</v>
      </c>
      <c r="N43" s="9">
        <f t="shared" si="5"/>
        <v>0</v>
      </c>
      <c r="O43" s="9">
        <f t="shared" si="6"/>
        <v>0</v>
      </c>
    </row>
    <row r="44" spans="1:15" x14ac:dyDescent="0.25">
      <c r="A44" s="9">
        <f>IF(OR(Calculos!$B$7=0,40&gt;Calculos!$B$7),"",INT((40-1)/Calculos!$B$6)+1)</f>
        <v>8</v>
      </c>
      <c r="B44" s="10">
        <f>IF(A44="","",Inicio!$E$5+(A44-1)*Inicio!$B$6)</f>
        <v>46131</v>
      </c>
      <c r="C44" s="11" t="e">
        <f>IF(A44="","",INDEX(Calculos!$B$11:$B$28,IF(A44&gt;Calculos!$B$4,IF(MOD(IF(A44&lt;=Calculos!$B$4,A44,A44-Calculos!$B$4)+MOD(40-1,Calculos!$B$6)+1,2)=0,INDEX(Calculos!$B$36:$S$52,IF(A44&lt;=Calculos!$B$4,A44,A44-Calculos!$B$4),MOD(40-1,Calculos!$B$6)+1),INDEX(Calculos!$B$36:$S$52,IF(A44&lt;=Calculos!$B$4,A44,A44-Calculos!$B$4),Calculos!$B$2+1-MOD(40-1,Calculos!$B$6)+1)),IF(MOD(IF(A44&lt;=Calculos!$B$4,A44,A44-Calculos!$B$4)+MOD(40-1,Calculos!$B$6)+1,2)=0,INDEX(Calculos!$B$36:$S$52,IF(A44&lt;=Calculos!$B$4,A44,A44-Calculos!$B$4),Calculos!$B$2+1-MOD(40-1,Calculos!$B$6)+1),INDEX(Calculos!$B$36:$S$52,IF(A44&lt;=Calculos!$B$4,A44,A44-Calculos!$B$4),MOD(40-1,Calculos!$B$6)+1)))))</f>
        <v>#VALUE!</v>
      </c>
      <c r="D44" s="4"/>
      <c r="E44" s="4"/>
      <c r="F44" s="11" t="e">
        <f>IF(A44="","",INDEX(Calculos!$B$11:$B$28,IF(A44&gt;Calculos!$B$4,IF(MOD(IF(A44&lt;=Calculos!$B$4,A44,A44-Calculos!$B$4)+MOD(40-1,Calculos!$B$6)+1,2)=0,INDEX(Calculos!$B$36:$S$52,IF(A44&lt;=Calculos!$B$4,A44,A44-Calculos!$B$4),Calculos!$B$2+1-MOD(40-1,Calculos!$B$6)+1),INDEX(Calculos!$B$36:$S$52,IF(A44&lt;=Calculos!$B$4,A44,A44-Calculos!$B$4),MOD(40-1,Calculos!$B$6)+1)),IF(MOD(IF(A44&lt;=Calculos!$B$4,A44,A44-Calculos!$B$4)+MOD(40-1,Calculos!$B$6)+1,2)=0,INDEX(Calculos!$B$36:$S$52,IF(A44&lt;=Calculos!$B$4,A44,A44-Calculos!$B$4),MOD(40-1,Calculos!$B$6)+1),INDEX(Calculos!$B$36:$S$52,IF(A44&lt;=Calculos!$B$4,A44,A44-Calculos!$B$4),Calculos!$B$2+1-MOD(40-1,Calculos!$B$6)+1)))))</f>
        <v>#VALUE!</v>
      </c>
      <c r="G44" s="9" t="str">
        <f t="shared" si="0"/>
        <v>Pendiente</v>
      </c>
      <c r="H44" s="9" t="e">
        <f>IF(OR(C44="",F44=""),"",IF(AND(ISNUMBER(D44),ISNUMBER(E44)),IF(D44&gt;E44,Inicio!$E$6,IF(D44=E44,Inicio!$F$6,Inicio!$G$6)),""))</f>
        <v>#VALUE!</v>
      </c>
      <c r="I44" s="9" t="e">
        <f>IF(OR(C44="",F44=""),"",IF(AND(ISNUMBER(D44),ISNUMBER(E44)),IF(D44&lt;E44,Inicio!$E$6,IF(D44=E44,Inicio!$F$6,Inicio!$G$6)),""))</f>
        <v>#VALUE!</v>
      </c>
      <c r="J44" s="9">
        <f t="shared" si="1"/>
        <v>0</v>
      </c>
      <c r="K44" s="9">
        <f t="shared" si="2"/>
        <v>0</v>
      </c>
      <c r="L44" s="9">
        <f t="shared" si="3"/>
        <v>0</v>
      </c>
      <c r="M44" s="9">
        <f t="shared" si="4"/>
        <v>0</v>
      </c>
      <c r="N44" s="9">
        <f t="shared" si="5"/>
        <v>0</v>
      </c>
      <c r="O44" s="9">
        <f t="shared" si="6"/>
        <v>0</v>
      </c>
    </row>
    <row r="45" spans="1:15" x14ac:dyDescent="0.25">
      <c r="A45" s="9">
        <f>IF(OR(Calculos!$B$7=0,41&gt;Calculos!$B$7),"",INT((41-1)/Calculos!$B$6)+1)</f>
        <v>9</v>
      </c>
      <c r="B45" s="10">
        <f>IF(A45="","",Inicio!$E$5+(A45-1)*Inicio!$B$6)</f>
        <v>46138</v>
      </c>
      <c r="C45" s="11" t="e">
        <f>IF(A45="","",INDEX(Calculos!$B$11:$B$28,IF(A45&gt;Calculos!$B$4,IF(MOD(IF(A45&lt;=Calculos!$B$4,A45,A45-Calculos!$B$4)+MOD(41-1,Calculos!$B$6)+1,2)=0,INDEX(Calculos!$B$36:$S$52,IF(A45&lt;=Calculos!$B$4,A45,A45-Calculos!$B$4),MOD(41-1,Calculos!$B$6)+1),INDEX(Calculos!$B$36:$S$52,IF(A45&lt;=Calculos!$B$4,A45,A45-Calculos!$B$4),Calculos!$B$2+1-MOD(41-1,Calculos!$B$6)+1)),IF(MOD(IF(A45&lt;=Calculos!$B$4,A45,A45-Calculos!$B$4)+MOD(41-1,Calculos!$B$6)+1,2)=0,INDEX(Calculos!$B$36:$S$52,IF(A45&lt;=Calculos!$B$4,A45,A45-Calculos!$B$4),Calculos!$B$2+1-MOD(41-1,Calculos!$B$6)+1),INDEX(Calculos!$B$36:$S$52,IF(A45&lt;=Calculos!$B$4,A45,A45-Calculos!$B$4),MOD(41-1,Calculos!$B$6)+1)))))</f>
        <v>#VALUE!</v>
      </c>
      <c r="D45" s="4"/>
      <c r="E45" s="4"/>
      <c r="F45" s="11" t="e">
        <f>IF(A45="","",INDEX(Calculos!$B$11:$B$28,IF(A45&gt;Calculos!$B$4,IF(MOD(IF(A45&lt;=Calculos!$B$4,A45,A45-Calculos!$B$4)+MOD(41-1,Calculos!$B$6)+1,2)=0,INDEX(Calculos!$B$36:$S$52,IF(A45&lt;=Calculos!$B$4,A45,A45-Calculos!$B$4),Calculos!$B$2+1-MOD(41-1,Calculos!$B$6)+1),INDEX(Calculos!$B$36:$S$52,IF(A45&lt;=Calculos!$B$4,A45,A45-Calculos!$B$4),MOD(41-1,Calculos!$B$6)+1)),IF(MOD(IF(A45&lt;=Calculos!$B$4,A45,A45-Calculos!$B$4)+MOD(41-1,Calculos!$B$6)+1,2)=0,INDEX(Calculos!$B$36:$S$52,IF(A45&lt;=Calculos!$B$4,A45,A45-Calculos!$B$4),MOD(41-1,Calculos!$B$6)+1),INDEX(Calculos!$B$36:$S$52,IF(A45&lt;=Calculos!$B$4,A45,A45-Calculos!$B$4),Calculos!$B$2+1-MOD(41-1,Calculos!$B$6)+1)))))</f>
        <v>#VALUE!</v>
      </c>
      <c r="G45" s="9" t="str">
        <f t="shared" si="0"/>
        <v>Pendiente</v>
      </c>
      <c r="H45" s="9" t="e">
        <f>IF(OR(C45="",F45=""),"",IF(AND(ISNUMBER(D45),ISNUMBER(E45)),IF(D45&gt;E45,Inicio!$E$6,IF(D45=E45,Inicio!$F$6,Inicio!$G$6)),""))</f>
        <v>#VALUE!</v>
      </c>
      <c r="I45" s="9" t="e">
        <f>IF(OR(C45="",F45=""),"",IF(AND(ISNUMBER(D45),ISNUMBER(E45)),IF(D45&lt;E45,Inicio!$E$6,IF(D45=E45,Inicio!$F$6,Inicio!$G$6)),""))</f>
        <v>#VALUE!</v>
      </c>
      <c r="J45" s="9">
        <f t="shared" si="1"/>
        <v>0</v>
      </c>
      <c r="K45" s="9">
        <f t="shared" si="2"/>
        <v>0</v>
      </c>
      <c r="L45" s="9">
        <f t="shared" si="3"/>
        <v>0</v>
      </c>
      <c r="M45" s="9">
        <f t="shared" si="4"/>
        <v>0</v>
      </c>
      <c r="N45" s="9">
        <f t="shared" si="5"/>
        <v>0</v>
      </c>
      <c r="O45" s="9">
        <f t="shared" si="6"/>
        <v>0</v>
      </c>
    </row>
    <row r="46" spans="1:15" x14ac:dyDescent="0.25">
      <c r="A46" s="9">
        <f>IF(OR(Calculos!$B$7=0,42&gt;Calculos!$B$7),"",INT((42-1)/Calculos!$B$6)+1)</f>
        <v>9</v>
      </c>
      <c r="B46" s="10">
        <f>IF(A46="","",Inicio!$E$5+(A46-1)*Inicio!$B$6)</f>
        <v>46138</v>
      </c>
      <c r="C46" s="11" t="e">
        <f>IF(A46="","",INDEX(Calculos!$B$11:$B$28,IF(A46&gt;Calculos!$B$4,IF(MOD(IF(A46&lt;=Calculos!$B$4,A46,A46-Calculos!$B$4)+MOD(42-1,Calculos!$B$6)+1,2)=0,INDEX(Calculos!$B$36:$S$52,IF(A46&lt;=Calculos!$B$4,A46,A46-Calculos!$B$4),MOD(42-1,Calculos!$B$6)+1),INDEX(Calculos!$B$36:$S$52,IF(A46&lt;=Calculos!$B$4,A46,A46-Calculos!$B$4),Calculos!$B$2+1-MOD(42-1,Calculos!$B$6)+1)),IF(MOD(IF(A46&lt;=Calculos!$B$4,A46,A46-Calculos!$B$4)+MOD(42-1,Calculos!$B$6)+1,2)=0,INDEX(Calculos!$B$36:$S$52,IF(A46&lt;=Calculos!$B$4,A46,A46-Calculos!$B$4),Calculos!$B$2+1-MOD(42-1,Calculos!$B$6)+1),INDEX(Calculos!$B$36:$S$52,IF(A46&lt;=Calculos!$B$4,A46,A46-Calculos!$B$4),MOD(42-1,Calculos!$B$6)+1)))))</f>
        <v>#VALUE!</v>
      </c>
      <c r="D46" s="4"/>
      <c r="E46" s="4"/>
      <c r="F46" s="11" t="e">
        <f>IF(A46="","",INDEX(Calculos!$B$11:$B$28,IF(A46&gt;Calculos!$B$4,IF(MOD(IF(A46&lt;=Calculos!$B$4,A46,A46-Calculos!$B$4)+MOD(42-1,Calculos!$B$6)+1,2)=0,INDEX(Calculos!$B$36:$S$52,IF(A46&lt;=Calculos!$B$4,A46,A46-Calculos!$B$4),Calculos!$B$2+1-MOD(42-1,Calculos!$B$6)+1),INDEX(Calculos!$B$36:$S$52,IF(A46&lt;=Calculos!$B$4,A46,A46-Calculos!$B$4),MOD(42-1,Calculos!$B$6)+1)),IF(MOD(IF(A46&lt;=Calculos!$B$4,A46,A46-Calculos!$B$4)+MOD(42-1,Calculos!$B$6)+1,2)=0,INDEX(Calculos!$B$36:$S$52,IF(A46&lt;=Calculos!$B$4,A46,A46-Calculos!$B$4),MOD(42-1,Calculos!$B$6)+1),INDEX(Calculos!$B$36:$S$52,IF(A46&lt;=Calculos!$B$4,A46,A46-Calculos!$B$4),Calculos!$B$2+1-MOD(42-1,Calculos!$B$6)+1)))))</f>
        <v>#VALUE!</v>
      </c>
      <c r="G46" s="9" t="str">
        <f t="shared" si="0"/>
        <v>Pendiente</v>
      </c>
      <c r="H46" s="9" t="e">
        <f>IF(OR(C46="",F46=""),"",IF(AND(ISNUMBER(D46),ISNUMBER(E46)),IF(D46&gt;E46,Inicio!$E$6,IF(D46=E46,Inicio!$F$6,Inicio!$G$6)),""))</f>
        <v>#VALUE!</v>
      </c>
      <c r="I46" s="9" t="e">
        <f>IF(OR(C46="",F46=""),"",IF(AND(ISNUMBER(D46),ISNUMBER(E46)),IF(D46&lt;E46,Inicio!$E$6,IF(D46=E46,Inicio!$F$6,Inicio!$G$6)),""))</f>
        <v>#VALUE!</v>
      </c>
      <c r="J46" s="9">
        <f t="shared" si="1"/>
        <v>0</v>
      </c>
      <c r="K46" s="9">
        <f t="shared" si="2"/>
        <v>0</v>
      </c>
      <c r="L46" s="9">
        <f t="shared" si="3"/>
        <v>0</v>
      </c>
      <c r="M46" s="9">
        <f t="shared" si="4"/>
        <v>0</v>
      </c>
      <c r="N46" s="9">
        <f t="shared" si="5"/>
        <v>0</v>
      </c>
      <c r="O46" s="9">
        <f t="shared" si="6"/>
        <v>0</v>
      </c>
    </row>
    <row r="47" spans="1:15" x14ac:dyDescent="0.25">
      <c r="A47" s="9">
        <f>IF(OR(Calculos!$B$7=0,43&gt;Calculos!$B$7),"",INT((43-1)/Calculos!$B$6)+1)</f>
        <v>9</v>
      </c>
      <c r="B47" s="10">
        <f>IF(A47="","",Inicio!$E$5+(A47-1)*Inicio!$B$6)</f>
        <v>46138</v>
      </c>
      <c r="C47" s="11" t="e">
        <f>IF(A47="","",INDEX(Calculos!$B$11:$B$28,IF(A47&gt;Calculos!$B$4,IF(MOD(IF(A47&lt;=Calculos!$B$4,A47,A47-Calculos!$B$4)+MOD(43-1,Calculos!$B$6)+1,2)=0,INDEX(Calculos!$B$36:$S$52,IF(A47&lt;=Calculos!$B$4,A47,A47-Calculos!$B$4),MOD(43-1,Calculos!$B$6)+1),INDEX(Calculos!$B$36:$S$52,IF(A47&lt;=Calculos!$B$4,A47,A47-Calculos!$B$4),Calculos!$B$2+1-MOD(43-1,Calculos!$B$6)+1)),IF(MOD(IF(A47&lt;=Calculos!$B$4,A47,A47-Calculos!$B$4)+MOD(43-1,Calculos!$B$6)+1,2)=0,INDEX(Calculos!$B$36:$S$52,IF(A47&lt;=Calculos!$B$4,A47,A47-Calculos!$B$4),Calculos!$B$2+1-MOD(43-1,Calculos!$B$6)+1),INDEX(Calculos!$B$36:$S$52,IF(A47&lt;=Calculos!$B$4,A47,A47-Calculos!$B$4),MOD(43-1,Calculos!$B$6)+1)))))</f>
        <v>#VALUE!</v>
      </c>
      <c r="D47" s="4"/>
      <c r="E47" s="4"/>
      <c r="F47" s="11" t="e">
        <f>IF(A47="","",INDEX(Calculos!$B$11:$B$28,IF(A47&gt;Calculos!$B$4,IF(MOD(IF(A47&lt;=Calculos!$B$4,A47,A47-Calculos!$B$4)+MOD(43-1,Calculos!$B$6)+1,2)=0,INDEX(Calculos!$B$36:$S$52,IF(A47&lt;=Calculos!$B$4,A47,A47-Calculos!$B$4),Calculos!$B$2+1-MOD(43-1,Calculos!$B$6)+1),INDEX(Calculos!$B$36:$S$52,IF(A47&lt;=Calculos!$B$4,A47,A47-Calculos!$B$4),MOD(43-1,Calculos!$B$6)+1)),IF(MOD(IF(A47&lt;=Calculos!$B$4,A47,A47-Calculos!$B$4)+MOD(43-1,Calculos!$B$6)+1,2)=0,INDEX(Calculos!$B$36:$S$52,IF(A47&lt;=Calculos!$B$4,A47,A47-Calculos!$B$4),MOD(43-1,Calculos!$B$6)+1),INDEX(Calculos!$B$36:$S$52,IF(A47&lt;=Calculos!$B$4,A47,A47-Calculos!$B$4),Calculos!$B$2+1-MOD(43-1,Calculos!$B$6)+1)))))</f>
        <v>#VALUE!</v>
      </c>
      <c r="G47" s="9" t="str">
        <f t="shared" si="0"/>
        <v>Pendiente</v>
      </c>
      <c r="H47" s="9" t="e">
        <f>IF(OR(C47="",F47=""),"",IF(AND(ISNUMBER(D47),ISNUMBER(E47)),IF(D47&gt;E47,Inicio!$E$6,IF(D47=E47,Inicio!$F$6,Inicio!$G$6)),""))</f>
        <v>#VALUE!</v>
      </c>
      <c r="I47" s="9" t="e">
        <f>IF(OR(C47="",F47=""),"",IF(AND(ISNUMBER(D47),ISNUMBER(E47)),IF(D47&lt;E47,Inicio!$E$6,IF(D47=E47,Inicio!$F$6,Inicio!$G$6)),""))</f>
        <v>#VALUE!</v>
      </c>
      <c r="J47" s="9">
        <f t="shared" si="1"/>
        <v>0</v>
      </c>
      <c r="K47" s="9">
        <f t="shared" si="2"/>
        <v>0</v>
      </c>
      <c r="L47" s="9">
        <f t="shared" si="3"/>
        <v>0</v>
      </c>
      <c r="M47" s="9">
        <f t="shared" si="4"/>
        <v>0</v>
      </c>
      <c r="N47" s="9">
        <f t="shared" si="5"/>
        <v>0</v>
      </c>
      <c r="O47" s="9">
        <f t="shared" si="6"/>
        <v>0</v>
      </c>
    </row>
    <row r="48" spans="1:15" x14ac:dyDescent="0.25">
      <c r="A48" s="9">
        <f>IF(OR(Calculos!$B$7=0,44&gt;Calculos!$B$7),"",INT((44-1)/Calculos!$B$6)+1)</f>
        <v>9</v>
      </c>
      <c r="B48" s="10">
        <f>IF(A48="","",Inicio!$E$5+(A48-1)*Inicio!$B$6)</f>
        <v>46138</v>
      </c>
      <c r="C48" s="11" t="e">
        <f>IF(A48="","",INDEX(Calculos!$B$11:$B$28,IF(A48&gt;Calculos!$B$4,IF(MOD(IF(A48&lt;=Calculos!$B$4,A48,A48-Calculos!$B$4)+MOD(44-1,Calculos!$B$6)+1,2)=0,INDEX(Calculos!$B$36:$S$52,IF(A48&lt;=Calculos!$B$4,A48,A48-Calculos!$B$4),MOD(44-1,Calculos!$B$6)+1),INDEX(Calculos!$B$36:$S$52,IF(A48&lt;=Calculos!$B$4,A48,A48-Calculos!$B$4),Calculos!$B$2+1-MOD(44-1,Calculos!$B$6)+1)),IF(MOD(IF(A48&lt;=Calculos!$B$4,A48,A48-Calculos!$B$4)+MOD(44-1,Calculos!$B$6)+1,2)=0,INDEX(Calculos!$B$36:$S$52,IF(A48&lt;=Calculos!$B$4,A48,A48-Calculos!$B$4),Calculos!$B$2+1-MOD(44-1,Calculos!$B$6)+1),INDEX(Calculos!$B$36:$S$52,IF(A48&lt;=Calculos!$B$4,A48,A48-Calculos!$B$4),MOD(44-1,Calculos!$B$6)+1)))))</f>
        <v>#VALUE!</v>
      </c>
      <c r="D48" s="4"/>
      <c r="E48" s="4"/>
      <c r="F48" s="11" t="e">
        <f>IF(A48="","",INDEX(Calculos!$B$11:$B$28,IF(A48&gt;Calculos!$B$4,IF(MOD(IF(A48&lt;=Calculos!$B$4,A48,A48-Calculos!$B$4)+MOD(44-1,Calculos!$B$6)+1,2)=0,INDEX(Calculos!$B$36:$S$52,IF(A48&lt;=Calculos!$B$4,A48,A48-Calculos!$B$4),Calculos!$B$2+1-MOD(44-1,Calculos!$B$6)+1),INDEX(Calculos!$B$36:$S$52,IF(A48&lt;=Calculos!$B$4,A48,A48-Calculos!$B$4),MOD(44-1,Calculos!$B$6)+1)),IF(MOD(IF(A48&lt;=Calculos!$B$4,A48,A48-Calculos!$B$4)+MOD(44-1,Calculos!$B$6)+1,2)=0,INDEX(Calculos!$B$36:$S$52,IF(A48&lt;=Calculos!$B$4,A48,A48-Calculos!$B$4),MOD(44-1,Calculos!$B$6)+1),INDEX(Calculos!$B$36:$S$52,IF(A48&lt;=Calculos!$B$4,A48,A48-Calculos!$B$4),Calculos!$B$2+1-MOD(44-1,Calculos!$B$6)+1)))))</f>
        <v>#VALUE!</v>
      </c>
      <c r="G48" s="9" t="str">
        <f t="shared" si="0"/>
        <v>Pendiente</v>
      </c>
      <c r="H48" s="9" t="e">
        <f>IF(OR(C48="",F48=""),"",IF(AND(ISNUMBER(D48),ISNUMBER(E48)),IF(D48&gt;E48,Inicio!$E$6,IF(D48=E48,Inicio!$F$6,Inicio!$G$6)),""))</f>
        <v>#VALUE!</v>
      </c>
      <c r="I48" s="9" t="e">
        <f>IF(OR(C48="",F48=""),"",IF(AND(ISNUMBER(D48),ISNUMBER(E48)),IF(D48&lt;E48,Inicio!$E$6,IF(D48=E48,Inicio!$F$6,Inicio!$G$6)),""))</f>
        <v>#VALUE!</v>
      </c>
      <c r="J48" s="9">
        <f t="shared" si="1"/>
        <v>0</v>
      </c>
      <c r="K48" s="9">
        <f t="shared" si="2"/>
        <v>0</v>
      </c>
      <c r="L48" s="9">
        <f t="shared" si="3"/>
        <v>0</v>
      </c>
      <c r="M48" s="9">
        <f t="shared" si="4"/>
        <v>0</v>
      </c>
      <c r="N48" s="9">
        <f t="shared" si="5"/>
        <v>0</v>
      </c>
      <c r="O48" s="9">
        <f t="shared" si="6"/>
        <v>0</v>
      </c>
    </row>
    <row r="49" spans="1:15" x14ac:dyDescent="0.25">
      <c r="A49" s="9">
        <f>IF(OR(Calculos!$B$7=0,45&gt;Calculos!$B$7),"",INT((45-1)/Calculos!$B$6)+1)</f>
        <v>9</v>
      </c>
      <c r="B49" s="10">
        <f>IF(A49="","",Inicio!$E$5+(A49-1)*Inicio!$B$6)</f>
        <v>46138</v>
      </c>
      <c r="C49" s="11" t="e">
        <f>IF(A49="","",INDEX(Calculos!$B$11:$B$28,IF(A49&gt;Calculos!$B$4,IF(MOD(IF(A49&lt;=Calculos!$B$4,A49,A49-Calculos!$B$4)+MOD(45-1,Calculos!$B$6)+1,2)=0,INDEX(Calculos!$B$36:$S$52,IF(A49&lt;=Calculos!$B$4,A49,A49-Calculos!$B$4),MOD(45-1,Calculos!$B$6)+1),INDEX(Calculos!$B$36:$S$52,IF(A49&lt;=Calculos!$B$4,A49,A49-Calculos!$B$4),Calculos!$B$2+1-MOD(45-1,Calculos!$B$6)+1)),IF(MOD(IF(A49&lt;=Calculos!$B$4,A49,A49-Calculos!$B$4)+MOD(45-1,Calculos!$B$6)+1,2)=0,INDEX(Calculos!$B$36:$S$52,IF(A49&lt;=Calculos!$B$4,A49,A49-Calculos!$B$4),Calculos!$B$2+1-MOD(45-1,Calculos!$B$6)+1),INDEX(Calculos!$B$36:$S$52,IF(A49&lt;=Calculos!$B$4,A49,A49-Calculos!$B$4),MOD(45-1,Calculos!$B$6)+1)))))</f>
        <v>#VALUE!</v>
      </c>
      <c r="D49" s="4"/>
      <c r="E49" s="4"/>
      <c r="F49" s="11" t="e">
        <f>IF(A49="","",INDEX(Calculos!$B$11:$B$28,IF(A49&gt;Calculos!$B$4,IF(MOD(IF(A49&lt;=Calculos!$B$4,A49,A49-Calculos!$B$4)+MOD(45-1,Calculos!$B$6)+1,2)=0,INDEX(Calculos!$B$36:$S$52,IF(A49&lt;=Calculos!$B$4,A49,A49-Calculos!$B$4),Calculos!$B$2+1-MOD(45-1,Calculos!$B$6)+1),INDEX(Calculos!$B$36:$S$52,IF(A49&lt;=Calculos!$B$4,A49,A49-Calculos!$B$4),MOD(45-1,Calculos!$B$6)+1)),IF(MOD(IF(A49&lt;=Calculos!$B$4,A49,A49-Calculos!$B$4)+MOD(45-1,Calculos!$B$6)+1,2)=0,INDEX(Calculos!$B$36:$S$52,IF(A49&lt;=Calculos!$B$4,A49,A49-Calculos!$B$4),MOD(45-1,Calculos!$B$6)+1),INDEX(Calculos!$B$36:$S$52,IF(A49&lt;=Calculos!$B$4,A49,A49-Calculos!$B$4),Calculos!$B$2+1-MOD(45-1,Calculos!$B$6)+1)))))</f>
        <v>#VALUE!</v>
      </c>
      <c r="G49" s="9" t="str">
        <f t="shared" si="0"/>
        <v>Pendiente</v>
      </c>
      <c r="H49" s="9" t="e">
        <f>IF(OR(C49="",F49=""),"",IF(AND(ISNUMBER(D49),ISNUMBER(E49)),IF(D49&gt;E49,Inicio!$E$6,IF(D49=E49,Inicio!$F$6,Inicio!$G$6)),""))</f>
        <v>#VALUE!</v>
      </c>
      <c r="I49" s="9" t="e">
        <f>IF(OR(C49="",F49=""),"",IF(AND(ISNUMBER(D49),ISNUMBER(E49)),IF(D49&lt;E49,Inicio!$E$6,IF(D49=E49,Inicio!$F$6,Inicio!$G$6)),""))</f>
        <v>#VALUE!</v>
      </c>
      <c r="J49" s="9">
        <f t="shared" si="1"/>
        <v>0</v>
      </c>
      <c r="K49" s="9">
        <f t="shared" si="2"/>
        <v>0</v>
      </c>
      <c r="L49" s="9">
        <f t="shared" si="3"/>
        <v>0</v>
      </c>
      <c r="M49" s="9">
        <f t="shared" si="4"/>
        <v>0</v>
      </c>
      <c r="N49" s="9">
        <f t="shared" si="5"/>
        <v>0</v>
      </c>
      <c r="O49" s="9">
        <f t="shared" si="6"/>
        <v>0</v>
      </c>
    </row>
    <row r="50" spans="1:15" x14ac:dyDescent="0.25">
      <c r="A50" s="9">
        <f>IF(OR(Calculos!$B$7=0,46&gt;Calculos!$B$7),"",INT((46-1)/Calculos!$B$6)+1)</f>
        <v>10</v>
      </c>
      <c r="B50" s="10">
        <f>IF(A50="","",Inicio!$E$5+(A50-1)*Inicio!$B$6)</f>
        <v>46145</v>
      </c>
      <c r="C50" s="11" t="e">
        <f>IF(A50="","",INDEX(Calculos!$B$11:$B$28,IF(A50&gt;Calculos!$B$4,IF(MOD(IF(A50&lt;=Calculos!$B$4,A50,A50-Calculos!$B$4)+MOD(46-1,Calculos!$B$6)+1,2)=0,INDEX(Calculos!$B$36:$S$52,IF(A50&lt;=Calculos!$B$4,A50,A50-Calculos!$B$4),MOD(46-1,Calculos!$B$6)+1),INDEX(Calculos!$B$36:$S$52,IF(A50&lt;=Calculos!$B$4,A50,A50-Calculos!$B$4),Calculos!$B$2+1-MOD(46-1,Calculos!$B$6)+1)),IF(MOD(IF(A50&lt;=Calculos!$B$4,A50,A50-Calculos!$B$4)+MOD(46-1,Calculos!$B$6)+1,2)=0,INDEX(Calculos!$B$36:$S$52,IF(A50&lt;=Calculos!$B$4,A50,A50-Calculos!$B$4),Calculos!$B$2+1-MOD(46-1,Calculos!$B$6)+1),INDEX(Calculos!$B$36:$S$52,IF(A50&lt;=Calculos!$B$4,A50,A50-Calculos!$B$4),MOD(46-1,Calculos!$B$6)+1)))))</f>
        <v>#VALUE!</v>
      </c>
      <c r="D50" s="4"/>
      <c r="E50" s="4"/>
      <c r="F50" s="11" t="e">
        <f>IF(A50="","",INDEX(Calculos!$B$11:$B$28,IF(A50&gt;Calculos!$B$4,IF(MOD(IF(A50&lt;=Calculos!$B$4,A50,A50-Calculos!$B$4)+MOD(46-1,Calculos!$B$6)+1,2)=0,INDEX(Calculos!$B$36:$S$52,IF(A50&lt;=Calculos!$B$4,A50,A50-Calculos!$B$4),Calculos!$B$2+1-MOD(46-1,Calculos!$B$6)+1),INDEX(Calculos!$B$36:$S$52,IF(A50&lt;=Calculos!$B$4,A50,A50-Calculos!$B$4),MOD(46-1,Calculos!$B$6)+1)),IF(MOD(IF(A50&lt;=Calculos!$B$4,A50,A50-Calculos!$B$4)+MOD(46-1,Calculos!$B$6)+1,2)=0,INDEX(Calculos!$B$36:$S$52,IF(A50&lt;=Calculos!$B$4,A50,A50-Calculos!$B$4),MOD(46-1,Calculos!$B$6)+1),INDEX(Calculos!$B$36:$S$52,IF(A50&lt;=Calculos!$B$4,A50,A50-Calculos!$B$4),Calculos!$B$2+1-MOD(46-1,Calculos!$B$6)+1)))))</f>
        <v>#VALUE!</v>
      </c>
      <c r="G50" s="9" t="str">
        <f t="shared" si="0"/>
        <v>Pendiente</v>
      </c>
      <c r="H50" s="9" t="e">
        <f>IF(OR(C50="",F50=""),"",IF(AND(ISNUMBER(D50),ISNUMBER(E50)),IF(D50&gt;E50,Inicio!$E$6,IF(D50=E50,Inicio!$F$6,Inicio!$G$6)),""))</f>
        <v>#VALUE!</v>
      </c>
      <c r="I50" s="9" t="e">
        <f>IF(OR(C50="",F50=""),"",IF(AND(ISNUMBER(D50),ISNUMBER(E50)),IF(D50&lt;E50,Inicio!$E$6,IF(D50=E50,Inicio!$F$6,Inicio!$G$6)),""))</f>
        <v>#VALUE!</v>
      </c>
      <c r="J50" s="9">
        <f t="shared" si="1"/>
        <v>0</v>
      </c>
      <c r="K50" s="9">
        <f t="shared" si="2"/>
        <v>0</v>
      </c>
      <c r="L50" s="9">
        <f t="shared" si="3"/>
        <v>0</v>
      </c>
      <c r="M50" s="9">
        <f t="shared" si="4"/>
        <v>0</v>
      </c>
      <c r="N50" s="9">
        <f t="shared" si="5"/>
        <v>0</v>
      </c>
      <c r="O50" s="9">
        <f t="shared" si="6"/>
        <v>0</v>
      </c>
    </row>
    <row r="51" spans="1:15" x14ac:dyDescent="0.25">
      <c r="A51" s="9">
        <f>IF(OR(Calculos!$B$7=0,47&gt;Calculos!$B$7),"",INT((47-1)/Calculos!$B$6)+1)</f>
        <v>10</v>
      </c>
      <c r="B51" s="10">
        <f>IF(A51="","",Inicio!$E$5+(A51-1)*Inicio!$B$6)</f>
        <v>46145</v>
      </c>
      <c r="C51" s="11" t="e">
        <f>IF(A51="","",INDEX(Calculos!$B$11:$B$28,IF(A51&gt;Calculos!$B$4,IF(MOD(IF(A51&lt;=Calculos!$B$4,A51,A51-Calculos!$B$4)+MOD(47-1,Calculos!$B$6)+1,2)=0,INDEX(Calculos!$B$36:$S$52,IF(A51&lt;=Calculos!$B$4,A51,A51-Calculos!$B$4),MOD(47-1,Calculos!$B$6)+1),INDEX(Calculos!$B$36:$S$52,IF(A51&lt;=Calculos!$B$4,A51,A51-Calculos!$B$4),Calculos!$B$2+1-MOD(47-1,Calculos!$B$6)+1)),IF(MOD(IF(A51&lt;=Calculos!$B$4,A51,A51-Calculos!$B$4)+MOD(47-1,Calculos!$B$6)+1,2)=0,INDEX(Calculos!$B$36:$S$52,IF(A51&lt;=Calculos!$B$4,A51,A51-Calculos!$B$4),Calculos!$B$2+1-MOD(47-1,Calculos!$B$6)+1),INDEX(Calculos!$B$36:$S$52,IF(A51&lt;=Calculos!$B$4,A51,A51-Calculos!$B$4),MOD(47-1,Calculos!$B$6)+1)))))</f>
        <v>#VALUE!</v>
      </c>
      <c r="D51" s="4"/>
      <c r="E51" s="4"/>
      <c r="F51" s="11" t="e">
        <f>IF(A51="","",INDEX(Calculos!$B$11:$B$28,IF(A51&gt;Calculos!$B$4,IF(MOD(IF(A51&lt;=Calculos!$B$4,A51,A51-Calculos!$B$4)+MOD(47-1,Calculos!$B$6)+1,2)=0,INDEX(Calculos!$B$36:$S$52,IF(A51&lt;=Calculos!$B$4,A51,A51-Calculos!$B$4),Calculos!$B$2+1-MOD(47-1,Calculos!$B$6)+1),INDEX(Calculos!$B$36:$S$52,IF(A51&lt;=Calculos!$B$4,A51,A51-Calculos!$B$4),MOD(47-1,Calculos!$B$6)+1)),IF(MOD(IF(A51&lt;=Calculos!$B$4,A51,A51-Calculos!$B$4)+MOD(47-1,Calculos!$B$6)+1,2)=0,INDEX(Calculos!$B$36:$S$52,IF(A51&lt;=Calculos!$B$4,A51,A51-Calculos!$B$4),MOD(47-1,Calculos!$B$6)+1),INDEX(Calculos!$B$36:$S$52,IF(A51&lt;=Calculos!$B$4,A51,A51-Calculos!$B$4),Calculos!$B$2+1-MOD(47-1,Calculos!$B$6)+1)))))</f>
        <v>#VALUE!</v>
      </c>
      <c r="G51" s="9" t="str">
        <f t="shared" si="0"/>
        <v>Pendiente</v>
      </c>
      <c r="H51" s="9" t="e">
        <f>IF(OR(C51="",F51=""),"",IF(AND(ISNUMBER(D51),ISNUMBER(E51)),IF(D51&gt;E51,Inicio!$E$6,IF(D51=E51,Inicio!$F$6,Inicio!$G$6)),""))</f>
        <v>#VALUE!</v>
      </c>
      <c r="I51" s="9" t="e">
        <f>IF(OR(C51="",F51=""),"",IF(AND(ISNUMBER(D51),ISNUMBER(E51)),IF(D51&lt;E51,Inicio!$E$6,IF(D51=E51,Inicio!$F$6,Inicio!$G$6)),""))</f>
        <v>#VALUE!</v>
      </c>
      <c r="J51" s="9">
        <f t="shared" si="1"/>
        <v>0</v>
      </c>
      <c r="K51" s="9">
        <f t="shared" si="2"/>
        <v>0</v>
      </c>
      <c r="L51" s="9">
        <f t="shared" si="3"/>
        <v>0</v>
      </c>
      <c r="M51" s="9">
        <f t="shared" si="4"/>
        <v>0</v>
      </c>
      <c r="N51" s="9">
        <f t="shared" si="5"/>
        <v>0</v>
      </c>
      <c r="O51" s="9">
        <f t="shared" si="6"/>
        <v>0</v>
      </c>
    </row>
    <row r="52" spans="1:15" x14ac:dyDescent="0.25">
      <c r="A52" s="9">
        <f>IF(OR(Calculos!$B$7=0,48&gt;Calculos!$B$7),"",INT((48-1)/Calculos!$B$6)+1)</f>
        <v>10</v>
      </c>
      <c r="B52" s="10">
        <f>IF(A52="","",Inicio!$E$5+(A52-1)*Inicio!$B$6)</f>
        <v>46145</v>
      </c>
      <c r="C52" s="11" t="e">
        <f>IF(A52="","",INDEX(Calculos!$B$11:$B$28,IF(A52&gt;Calculos!$B$4,IF(MOD(IF(A52&lt;=Calculos!$B$4,A52,A52-Calculos!$B$4)+MOD(48-1,Calculos!$B$6)+1,2)=0,INDEX(Calculos!$B$36:$S$52,IF(A52&lt;=Calculos!$B$4,A52,A52-Calculos!$B$4),MOD(48-1,Calculos!$B$6)+1),INDEX(Calculos!$B$36:$S$52,IF(A52&lt;=Calculos!$B$4,A52,A52-Calculos!$B$4),Calculos!$B$2+1-MOD(48-1,Calculos!$B$6)+1)),IF(MOD(IF(A52&lt;=Calculos!$B$4,A52,A52-Calculos!$B$4)+MOD(48-1,Calculos!$B$6)+1,2)=0,INDEX(Calculos!$B$36:$S$52,IF(A52&lt;=Calculos!$B$4,A52,A52-Calculos!$B$4),Calculos!$B$2+1-MOD(48-1,Calculos!$B$6)+1),INDEX(Calculos!$B$36:$S$52,IF(A52&lt;=Calculos!$B$4,A52,A52-Calculos!$B$4),MOD(48-1,Calculos!$B$6)+1)))))</f>
        <v>#VALUE!</v>
      </c>
      <c r="D52" s="4"/>
      <c r="E52" s="4"/>
      <c r="F52" s="11" t="e">
        <f>IF(A52="","",INDEX(Calculos!$B$11:$B$28,IF(A52&gt;Calculos!$B$4,IF(MOD(IF(A52&lt;=Calculos!$B$4,A52,A52-Calculos!$B$4)+MOD(48-1,Calculos!$B$6)+1,2)=0,INDEX(Calculos!$B$36:$S$52,IF(A52&lt;=Calculos!$B$4,A52,A52-Calculos!$B$4),Calculos!$B$2+1-MOD(48-1,Calculos!$B$6)+1),INDEX(Calculos!$B$36:$S$52,IF(A52&lt;=Calculos!$B$4,A52,A52-Calculos!$B$4),MOD(48-1,Calculos!$B$6)+1)),IF(MOD(IF(A52&lt;=Calculos!$B$4,A52,A52-Calculos!$B$4)+MOD(48-1,Calculos!$B$6)+1,2)=0,INDEX(Calculos!$B$36:$S$52,IF(A52&lt;=Calculos!$B$4,A52,A52-Calculos!$B$4),MOD(48-1,Calculos!$B$6)+1),INDEX(Calculos!$B$36:$S$52,IF(A52&lt;=Calculos!$B$4,A52,A52-Calculos!$B$4),Calculos!$B$2+1-MOD(48-1,Calculos!$B$6)+1)))))</f>
        <v>#VALUE!</v>
      </c>
      <c r="G52" s="9" t="str">
        <f t="shared" si="0"/>
        <v>Pendiente</v>
      </c>
      <c r="H52" s="9" t="e">
        <f>IF(OR(C52="",F52=""),"",IF(AND(ISNUMBER(D52),ISNUMBER(E52)),IF(D52&gt;E52,Inicio!$E$6,IF(D52=E52,Inicio!$F$6,Inicio!$G$6)),""))</f>
        <v>#VALUE!</v>
      </c>
      <c r="I52" s="9" t="e">
        <f>IF(OR(C52="",F52=""),"",IF(AND(ISNUMBER(D52),ISNUMBER(E52)),IF(D52&lt;E52,Inicio!$E$6,IF(D52=E52,Inicio!$F$6,Inicio!$G$6)),""))</f>
        <v>#VALUE!</v>
      </c>
      <c r="J52" s="9">
        <f t="shared" si="1"/>
        <v>0</v>
      </c>
      <c r="K52" s="9">
        <f t="shared" si="2"/>
        <v>0</v>
      </c>
      <c r="L52" s="9">
        <f t="shared" si="3"/>
        <v>0</v>
      </c>
      <c r="M52" s="9">
        <f t="shared" si="4"/>
        <v>0</v>
      </c>
      <c r="N52" s="9">
        <f t="shared" si="5"/>
        <v>0</v>
      </c>
      <c r="O52" s="9">
        <f t="shared" si="6"/>
        <v>0</v>
      </c>
    </row>
    <row r="53" spans="1:15" x14ac:dyDescent="0.25">
      <c r="A53" s="9">
        <f>IF(OR(Calculos!$B$7=0,49&gt;Calculos!$B$7),"",INT((49-1)/Calculos!$B$6)+1)</f>
        <v>10</v>
      </c>
      <c r="B53" s="10">
        <f>IF(A53="","",Inicio!$E$5+(A53-1)*Inicio!$B$6)</f>
        <v>46145</v>
      </c>
      <c r="C53" s="11" t="e">
        <f>IF(A53="","",INDEX(Calculos!$B$11:$B$28,IF(A53&gt;Calculos!$B$4,IF(MOD(IF(A53&lt;=Calculos!$B$4,A53,A53-Calculos!$B$4)+MOD(49-1,Calculos!$B$6)+1,2)=0,INDEX(Calculos!$B$36:$S$52,IF(A53&lt;=Calculos!$B$4,A53,A53-Calculos!$B$4),MOD(49-1,Calculos!$B$6)+1),INDEX(Calculos!$B$36:$S$52,IF(A53&lt;=Calculos!$B$4,A53,A53-Calculos!$B$4),Calculos!$B$2+1-MOD(49-1,Calculos!$B$6)+1)),IF(MOD(IF(A53&lt;=Calculos!$B$4,A53,A53-Calculos!$B$4)+MOD(49-1,Calculos!$B$6)+1,2)=0,INDEX(Calculos!$B$36:$S$52,IF(A53&lt;=Calculos!$B$4,A53,A53-Calculos!$B$4),Calculos!$B$2+1-MOD(49-1,Calculos!$B$6)+1),INDEX(Calculos!$B$36:$S$52,IF(A53&lt;=Calculos!$B$4,A53,A53-Calculos!$B$4),MOD(49-1,Calculos!$B$6)+1)))))</f>
        <v>#VALUE!</v>
      </c>
      <c r="D53" s="4"/>
      <c r="E53" s="4"/>
      <c r="F53" s="11" t="e">
        <f>IF(A53="","",INDEX(Calculos!$B$11:$B$28,IF(A53&gt;Calculos!$B$4,IF(MOD(IF(A53&lt;=Calculos!$B$4,A53,A53-Calculos!$B$4)+MOD(49-1,Calculos!$B$6)+1,2)=0,INDEX(Calculos!$B$36:$S$52,IF(A53&lt;=Calculos!$B$4,A53,A53-Calculos!$B$4),Calculos!$B$2+1-MOD(49-1,Calculos!$B$6)+1),INDEX(Calculos!$B$36:$S$52,IF(A53&lt;=Calculos!$B$4,A53,A53-Calculos!$B$4),MOD(49-1,Calculos!$B$6)+1)),IF(MOD(IF(A53&lt;=Calculos!$B$4,A53,A53-Calculos!$B$4)+MOD(49-1,Calculos!$B$6)+1,2)=0,INDEX(Calculos!$B$36:$S$52,IF(A53&lt;=Calculos!$B$4,A53,A53-Calculos!$B$4),MOD(49-1,Calculos!$B$6)+1),INDEX(Calculos!$B$36:$S$52,IF(A53&lt;=Calculos!$B$4,A53,A53-Calculos!$B$4),Calculos!$B$2+1-MOD(49-1,Calculos!$B$6)+1)))))</f>
        <v>#VALUE!</v>
      </c>
      <c r="G53" s="9" t="str">
        <f t="shared" si="0"/>
        <v>Pendiente</v>
      </c>
      <c r="H53" s="9" t="e">
        <f>IF(OR(C53="",F53=""),"",IF(AND(ISNUMBER(D53),ISNUMBER(E53)),IF(D53&gt;E53,Inicio!$E$6,IF(D53=E53,Inicio!$F$6,Inicio!$G$6)),""))</f>
        <v>#VALUE!</v>
      </c>
      <c r="I53" s="9" t="e">
        <f>IF(OR(C53="",F53=""),"",IF(AND(ISNUMBER(D53),ISNUMBER(E53)),IF(D53&lt;E53,Inicio!$E$6,IF(D53=E53,Inicio!$F$6,Inicio!$G$6)),""))</f>
        <v>#VALUE!</v>
      </c>
      <c r="J53" s="9">
        <f t="shared" si="1"/>
        <v>0</v>
      </c>
      <c r="K53" s="9">
        <f t="shared" si="2"/>
        <v>0</v>
      </c>
      <c r="L53" s="9">
        <f t="shared" si="3"/>
        <v>0</v>
      </c>
      <c r="M53" s="9">
        <f t="shared" si="4"/>
        <v>0</v>
      </c>
      <c r="N53" s="9">
        <f t="shared" si="5"/>
        <v>0</v>
      </c>
      <c r="O53" s="9">
        <f t="shared" si="6"/>
        <v>0</v>
      </c>
    </row>
    <row r="54" spans="1:15" x14ac:dyDescent="0.25">
      <c r="A54" s="9">
        <f>IF(OR(Calculos!$B$7=0,50&gt;Calculos!$B$7),"",INT((50-1)/Calculos!$B$6)+1)</f>
        <v>10</v>
      </c>
      <c r="B54" s="10">
        <f>IF(A54="","",Inicio!$E$5+(A54-1)*Inicio!$B$6)</f>
        <v>46145</v>
      </c>
      <c r="C54" s="11" t="e">
        <f>IF(A54="","",INDEX(Calculos!$B$11:$B$28,IF(A54&gt;Calculos!$B$4,IF(MOD(IF(A54&lt;=Calculos!$B$4,A54,A54-Calculos!$B$4)+MOD(50-1,Calculos!$B$6)+1,2)=0,INDEX(Calculos!$B$36:$S$52,IF(A54&lt;=Calculos!$B$4,A54,A54-Calculos!$B$4),MOD(50-1,Calculos!$B$6)+1),INDEX(Calculos!$B$36:$S$52,IF(A54&lt;=Calculos!$B$4,A54,A54-Calculos!$B$4),Calculos!$B$2+1-MOD(50-1,Calculos!$B$6)+1)),IF(MOD(IF(A54&lt;=Calculos!$B$4,A54,A54-Calculos!$B$4)+MOD(50-1,Calculos!$B$6)+1,2)=0,INDEX(Calculos!$B$36:$S$52,IF(A54&lt;=Calculos!$B$4,A54,A54-Calculos!$B$4),Calculos!$B$2+1-MOD(50-1,Calculos!$B$6)+1),INDEX(Calculos!$B$36:$S$52,IF(A54&lt;=Calculos!$B$4,A54,A54-Calculos!$B$4),MOD(50-1,Calculos!$B$6)+1)))))</f>
        <v>#VALUE!</v>
      </c>
      <c r="D54" s="4"/>
      <c r="E54" s="4"/>
      <c r="F54" s="11" t="e">
        <f>IF(A54="","",INDEX(Calculos!$B$11:$B$28,IF(A54&gt;Calculos!$B$4,IF(MOD(IF(A54&lt;=Calculos!$B$4,A54,A54-Calculos!$B$4)+MOD(50-1,Calculos!$B$6)+1,2)=0,INDEX(Calculos!$B$36:$S$52,IF(A54&lt;=Calculos!$B$4,A54,A54-Calculos!$B$4),Calculos!$B$2+1-MOD(50-1,Calculos!$B$6)+1),INDEX(Calculos!$B$36:$S$52,IF(A54&lt;=Calculos!$B$4,A54,A54-Calculos!$B$4),MOD(50-1,Calculos!$B$6)+1)),IF(MOD(IF(A54&lt;=Calculos!$B$4,A54,A54-Calculos!$B$4)+MOD(50-1,Calculos!$B$6)+1,2)=0,INDEX(Calculos!$B$36:$S$52,IF(A54&lt;=Calculos!$B$4,A54,A54-Calculos!$B$4),MOD(50-1,Calculos!$B$6)+1),INDEX(Calculos!$B$36:$S$52,IF(A54&lt;=Calculos!$B$4,A54,A54-Calculos!$B$4),Calculos!$B$2+1-MOD(50-1,Calculos!$B$6)+1)))))</f>
        <v>#VALUE!</v>
      </c>
      <c r="G54" s="9" t="str">
        <f t="shared" si="0"/>
        <v>Pendiente</v>
      </c>
      <c r="H54" s="9" t="e">
        <f>IF(OR(C54="",F54=""),"",IF(AND(ISNUMBER(D54),ISNUMBER(E54)),IF(D54&gt;E54,Inicio!$E$6,IF(D54=E54,Inicio!$F$6,Inicio!$G$6)),""))</f>
        <v>#VALUE!</v>
      </c>
      <c r="I54" s="9" t="e">
        <f>IF(OR(C54="",F54=""),"",IF(AND(ISNUMBER(D54),ISNUMBER(E54)),IF(D54&lt;E54,Inicio!$E$6,IF(D54=E54,Inicio!$F$6,Inicio!$G$6)),""))</f>
        <v>#VALUE!</v>
      </c>
      <c r="J54" s="9">
        <f t="shared" si="1"/>
        <v>0</v>
      </c>
      <c r="K54" s="9">
        <f t="shared" si="2"/>
        <v>0</v>
      </c>
      <c r="L54" s="9">
        <f t="shared" si="3"/>
        <v>0</v>
      </c>
      <c r="M54" s="9">
        <f t="shared" si="4"/>
        <v>0</v>
      </c>
      <c r="N54" s="9">
        <f t="shared" si="5"/>
        <v>0</v>
      </c>
      <c r="O54" s="9">
        <f t="shared" si="6"/>
        <v>0</v>
      </c>
    </row>
    <row r="55" spans="1:15" x14ac:dyDescent="0.25">
      <c r="A55" s="9">
        <f>IF(OR(Calculos!$B$7=0,51&gt;Calculos!$B$7),"",INT((51-1)/Calculos!$B$6)+1)</f>
        <v>11</v>
      </c>
      <c r="B55" s="10">
        <f>IF(A55="","",Inicio!$E$5+(A55-1)*Inicio!$B$6)</f>
        <v>46152</v>
      </c>
      <c r="C55" s="11" t="e">
        <f>IF(A55="","",INDEX(Calculos!$B$11:$B$28,IF(A55&gt;Calculos!$B$4,IF(MOD(IF(A55&lt;=Calculos!$B$4,A55,A55-Calculos!$B$4)+MOD(51-1,Calculos!$B$6)+1,2)=0,INDEX(Calculos!$B$36:$S$52,IF(A55&lt;=Calculos!$B$4,A55,A55-Calculos!$B$4),MOD(51-1,Calculos!$B$6)+1),INDEX(Calculos!$B$36:$S$52,IF(A55&lt;=Calculos!$B$4,A55,A55-Calculos!$B$4),Calculos!$B$2+1-MOD(51-1,Calculos!$B$6)+1)),IF(MOD(IF(A55&lt;=Calculos!$B$4,A55,A55-Calculos!$B$4)+MOD(51-1,Calculos!$B$6)+1,2)=0,INDEX(Calculos!$B$36:$S$52,IF(A55&lt;=Calculos!$B$4,A55,A55-Calculos!$B$4),Calculos!$B$2+1-MOD(51-1,Calculos!$B$6)+1),INDEX(Calculos!$B$36:$S$52,IF(A55&lt;=Calculos!$B$4,A55,A55-Calculos!$B$4),MOD(51-1,Calculos!$B$6)+1)))))</f>
        <v>#VALUE!</v>
      </c>
      <c r="D55" s="4"/>
      <c r="E55" s="4"/>
      <c r="F55" s="11" t="e">
        <f>IF(A55="","",INDEX(Calculos!$B$11:$B$28,IF(A55&gt;Calculos!$B$4,IF(MOD(IF(A55&lt;=Calculos!$B$4,A55,A55-Calculos!$B$4)+MOD(51-1,Calculos!$B$6)+1,2)=0,INDEX(Calculos!$B$36:$S$52,IF(A55&lt;=Calculos!$B$4,A55,A55-Calculos!$B$4),Calculos!$B$2+1-MOD(51-1,Calculos!$B$6)+1),INDEX(Calculos!$B$36:$S$52,IF(A55&lt;=Calculos!$B$4,A55,A55-Calculos!$B$4),MOD(51-1,Calculos!$B$6)+1)),IF(MOD(IF(A55&lt;=Calculos!$B$4,A55,A55-Calculos!$B$4)+MOD(51-1,Calculos!$B$6)+1,2)=0,INDEX(Calculos!$B$36:$S$52,IF(A55&lt;=Calculos!$B$4,A55,A55-Calculos!$B$4),MOD(51-1,Calculos!$B$6)+1),INDEX(Calculos!$B$36:$S$52,IF(A55&lt;=Calculos!$B$4,A55,A55-Calculos!$B$4),Calculos!$B$2+1-MOD(51-1,Calculos!$B$6)+1)))))</f>
        <v>#VALUE!</v>
      </c>
      <c r="G55" s="9" t="str">
        <f t="shared" si="0"/>
        <v>Pendiente</v>
      </c>
      <c r="H55" s="9" t="e">
        <f>IF(OR(C55="",F55=""),"",IF(AND(ISNUMBER(D55),ISNUMBER(E55)),IF(D55&gt;E55,Inicio!$E$6,IF(D55=E55,Inicio!$F$6,Inicio!$G$6)),""))</f>
        <v>#VALUE!</v>
      </c>
      <c r="I55" s="9" t="e">
        <f>IF(OR(C55="",F55=""),"",IF(AND(ISNUMBER(D55),ISNUMBER(E55)),IF(D55&lt;E55,Inicio!$E$6,IF(D55=E55,Inicio!$F$6,Inicio!$G$6)),""))</f>
        <v>#VALUE!</v>
      </c>
      <c r="J55" s="9">
        <f t="shared" si="1"/>
        <v>0</v>
      </c>
      <c r="K55" s="9">
        <f t="shared" si="2"/>
        <v>0</v>
      </c>
      <c r="L55" s="9">
        <f t="shared" si="3"/>
        <v>0</v>
      </c>
      <c r="M55" s="9">
        <f t="shared" si="4"/>
        <v>0</v>
      </c>
      <c r="N55" s="9">
        <f t="shared" si="5"/>
        <v>0</v>
      </c>
      <c r="O55" s="9">
        <f t="shared" si="6"/>
        <v>0</v>
      </c>
    </row>
    <row r="56" spans="1:15" x14ac:dyDescent="0.25">
      <c r="A56" s="9">
        <f>IF(OR(Calculos!$B$7=0,52&gt;Calculos!$B$7),"",INT((52-1)/Calculos!$B$6)+1)</f>
        <v>11</v>
      </c>
      <c r="B56" s="10">
        <f>IF(A56="","",Inicio!$E$5+(A56-1)*Inicio!$B$6)</f>
        <v>46152</v>
      </c>
      <c r="C56" s="11" t="e">
        <f>IF(A56="","",INDEX(Calculos!$B$11:$B$28,IF(A56&gt;Calculos!$B$4,IF(MOD(IF(A56&lt;=Calculos!$B$4,A56,A56-Calculos!$B$4)+MOD(52-1,Calculos!$B$6)+1,2)=0,INDEX(Calculos!$B$36:$S$52,IF(A56&lt;=Calculos!$B$4,A56,A56-Calculos!$B$4),MOD(52-1,Calculos!$B$6)+1),INDEX(Calculos!$B$36:$S$52,IF(A56&lt;=Calculos!$B$4,A56,A56-Calculos!$B$4),Calculos!$B$2+1-MOD(52-1,Calculos!$B$6)+1)),IF(MOD(IF(A56&lt;=Calculos!$B$4,A56,A56-Calculos!$B$4)+MOD(52-1,Calculos!$B$6)+1,2)=0,INDEX(Calculos!$B$36:$S$52,IF(A56&lt;=Calculos!$B$4,A56,A56-Calculos!$B$4),Calculos!$B$2+1-MOD(52-1,Calculos!$B$6)+1),INDEX(Calculos!$B$36:$S$52,IF(A56&lt;=Calculos!$B$4,A56,A56-Calculos!$B$4),MOD(52-1,Calculos!$B$6)+1)))))</f>
        <v>#VALUE!</v>
      </c>
      <c r="D56" s="4"/>
      <c r="E56" s="4"/>
      <c r="F56" s="11" t="e">
        <f>IF(A56="","",INDEX(Calculos!$B$11:$B$28,IF(A56&gt;Calculos!$B$4,IF(MOD(IF(A56&lt;=Calculos!$B$4,A56,A56-Calculos!$B$4)+MOD(52-1,Calculos!$B$6)+1,2)=0,INDEX(Calculos!$B$36:$S$52,IF(A56&lt;=Calculos!$B$4,A56,A56-Calculos!$B$4),Calculos!$B$2+1-MOD(52-1,Calculos!$B$6)+1),INDEX(Calculos!$B$36:$S$52,IF(A56&lt;=Calculos!$B$4,A56,A56-Calculos!$B$4),MOD(52-1,Calculos!$B$6)+1)),IF(MOD(IF(A56&lt;=Calculos!$B$4,A56,A56-Calculos!$B$4)+MOD(52-1,Calculos!$B$6)+1,2)=0,INDEX(Calculos!$B$36:$S$52,IF(A56&lt;=Calculos!$B$4,A56,A56-Calculos!$B$4),MOD(52-1,Calculos!$B$6)+1),INDEX(Calculos!$B$36:$S$52,IF(A56&lt;=Calculos!$B$4,A56,A56-Calculos!$B$4),Calculos!$B$2+1-MOD(52-1,Calculos!$B$6)+1)))))</f>
        <v>#VALUE!</v>
      </c>
      <c r="G56" s="9" t="str">
        <f t="shared" si="0"/>
        <v>Pendiente</v>
      </c>
      <c r="H56" s="9" t="e">
        <f>IF(OR(C56="",F56=""),"",IF(AND(ISNUMBER(D56),ISNUMBER(E56)),IF(D56&gt;E56,Inicio!$E$6,IF(D56=E56,Inicio!$F$6,Inicio!$G$6)),""))</f>
        <v>#VALUE!</v>
      </c>
      <c r="I56" s="9" t="e">
        <f>IF(OR(C56="",F56=""),"",IF(AND(ISNUMBER(D56),ISNUMBER(E56)),IF(D56&lt;E56,Inicio!$E$6,IF(D56=E56,Inicio!$F$6,Inicio!$G$6)),""))</f>
        <v>#VALUE!</v>
      </c>
      <c r="J56" s="9">
        <f t="shared" si="1"/>
        <v>0</v>
      </c>
      <c r="K56" s="9">
        <f t="shared" si="2"/>
        <v>0</v>
      </c>
      <c r="L56" s="9">
        <f t="shared" si="3"/>
        <v>0</v>
      </c>
      <c r="M56" s="9">
        <f t="shared" si="4"/>
        <v>0</v>
      </c>
      <c r="N56" s="9">
        <f t="shared" si="5"/>
        <v>0</v>
      </c>
      <c r="O56" s="9">
        <f t="shared" si="6"/>
        <v>0</v>
      </c>
    </row>
    <row r="57" spans="1:15" x14ac:dyDescent="0.25">
      <c r="A57" s="9">
        <f>IF(OR(Calculos!$B$7=0,53&gt;Calculos!$B$7),"",INT((53-1)/Calculos!$B$6)+1)</f>
        <v>11</v>
      </c>
      <c r="B57" s="10">
        <f>IF(A57="","",Inicio!$E$5+(A57-1)*Inicio!$B$6)</f>
        <v>46152</v>
      </c>
      <c r="C57" s="11" t="e">
        <f>IF(A57="","",INDEX(Calculos!$B$11:$B$28,IF(A57&gt;Calculos!$B$4,IF(MOD(IF(A57&lt;=Calculos!$B$4,A57,A57-Calculos!$B$4)+MOD(53-1,Calculos!$B$6)+1,2)=0,INDEX(Calculos!$B$36:$S$52,IF(A57&lt;=Calculos!$B$4,A57,A57-Calculos!$B$4),MOD(53-1,Calculos!$B$6)+1),INDEX(Calculos!$B$36:$S$52,IF(A57&lt;=Calculos!$B$4,A57,A57-Calculos!$B$4),Calculos!$B$2+1-MOD(53-1,Calculos!$B$6)+1)),IF(MOD(IF(A57&lt;=Calculos!$B$4,A57,A57-Calculos!$B$4)+MOD(53-1,Calculos!$B$6)+1,2)=0,INDEX(Calculos!$B$36:$S$52,IF(A57&lt;=Calculos!$B$4,A57,A57-Calculos!$B$4),Calculos!$B$2+1-MOD(53-1,Calculos!$B$6)+1),INDEX(Calculos!$B$36:$S$52,IF(A57&lt;=Calculos!$B$4,A57,A57-Calculos!$B$4),MOD(53-1,Calculos!$B$6)+1)))))</f>
        <v>#VALUE!</v>
      </c>
      <c r="D57" s="4"/>
      <c r="E57" s="4"/>
      <c r="F57" s="11" t="e">
        <f>IF(A57="","",INDEX(Calculos!$B$11:$B$28,IF(A57&gt;Calculos!$B$4,IF(MOD(IF(A57&lt;=Calculos!$B$4,A57,A57-Calculos!$B$4)+MOD(53-1,Calculos!$B$6)+1,2)=0,INDEX(Calculos!$B$36:$S$52,IF(A57&lt;=Calculos!$B$4,A57,A57-Calculos!$B$4),Calculos!$B$2+1-MOD(53-1,Calculos!$B$6)+1),INDEX(Calculos!$B$36:$S$52,IF(A57&lt;=Calculos!$B$4,A57,A57-Calculos!$B$4),MOD(53-1,Calculos!$B$6)+1)),IF(MOD(IF(A57&lt;=Calculos!$B$4,A57,A57-Calculos!$B$4)+MOD(53-1,Calculos!$B$6)+1,2)=0,INDEX(Calculos!$B$36:$S$52,IF(A57&lt;=Calculos!$B$4,A57,A57-Calculos!$B$4),MOD(53-1,Calculos!$B$6)+1),INDEX(Calculos!$B$36:$S$52,IF(A57&lt;=Calculos!$B$4,A57,A57-Calculos!$B$4),Calculos!$B$2+1-MOD(53-1,Calculos!$B$6)+1)))))</f>
        <v>#VALUE!</v>
      </c>
      <c r="G57" s="9" t="str">
        <f t="shared" si="0"/>
        <v>Pendiente</v>
      </c>
      <c r="H57" s="9" t="e">
        <f>IF(OR(C57="",F57=""),"",IF(AND(ISNUMBER(D57),ISNUMBER(E57)),IF(D57&gt;E57,Inicio!$E$6,IF(D57=E57,Inicio!$F$6,Inicio!$G$6)),""))</f>
        <v>#VALUE!</v>
      </c>
      <c r="I57" s="9" t="e">
        <f>IF(OR(C57="",F57=""),"",IF(AND(ISNUMBER(D57),ISNUMBER(E57)),IF(D57&lt;E57,Inicio!$E$6,IF(D57=E57,Inicio!$F$6,Inicio!$G$6)),""))</f>
        <v>#VALUE!</v>
      </c>
      <c r="J57" s="9">
        <f t="shared" si="1"/>
        <v>0</v>
      </c>
      <c r="K57" s="9">
        <f t="shared" si="2"/>
        <v>0</v>
      </c>
      <c r="L57" s="9">
        <f t="shared" si="3"/>
        <v>0</v>
      </c>
      <c r="M57" s="9">
        <f t="shared" si="4"/>
        <v>0</v>
      </c>
      <c r="N57" s="9">
        <f t="shared" si="5"/>
        <v>0</v>
      </c>
      <c r="O57" s="9">
        <f t="shared" si="6"/>
        <v>0</v>
      </c>
    </row>
    <row r="58" spans="1:15" x14ac:dyDescent="0.25">
      <c r="A58" s="9">
        <f>IF(OR(Calculos!$B$7=0,54&gt;Calculos!$B$7),"",INT((54-1)/Calculos!$B$6)+1)</f>
        <v>11</v>
      </c>
      <c r="B58" s="10">
        <f>IF(A58="","",Inicio!$E$5+(A58-1)*Inicio!$B$6)</f>
        <v>46152</v>
      </c>
      <c r="C58" s="11" t="e">
        <f>IF(A58="","",INDEX(Calculos!$B$11:$B$28,IF(A58&gt;Calculos!$B$4,IF(MOD(IF(A58&lt;=Calculos!$B$4,A58,A58-Calculos!$B$4)+MOD(54-1,Calculos!$B$6)+1,2)=0,INDEX(Calculos!$B$36:$S$52,IF(A58&lt;=Calculos!$B$4,A58,A58-Calculos!$B$4),MOD(54-1,Calculos!$B$6)+1),INDEX(Calculos!$B$36:$S$52,IF(A58&lt;=Calculos!$B$4,A58,A58-Calculos!$B$4),Calculos!$B$2+1-MOD(54-1,Calculos!$B$6)+1)),IF(MOD(IF(A58&lt;=Calculos!$B$4,A58,A58-Calculos!$B$4)+MOD(54-1,Calculos!$B$6)+1,2)=0,INDEX(Calculos!$B$36:$S$52,IF(A58&lt;=Calculos!$B$4,A58,A58-Calculos!$B$4),Calculos!$B$2+1-MOD(54-1,Calculos!$B$6)+1),INDEX(Calculos!$B$36:$S$52,IF(A58&lt;=Calculos!$B$4,A58,A58-Calculos!$B$4),MOD(54-1,Calculos!$B$6)+1)))))</f>
        <v>#VALUE!</v>
      </c>
      <c r="D58" s="4"/>
      <c r="E58" s="4"/>
      <c r="F58" s="11" t="e">
        <f>IF(A58="","",INDEX(Calculos!$B$11:$B$28,IF(A58&gt;Calculos!$B$4,IF(MOD(IF(A58&lt;=Calculos!$B$4,A58,A58-Calculos!$B$4)+MOD(54-1,Calculos!$B$6)+1,2)=0,INDEX(Calculos!$B$36:$S$52,IF(A58&lt;=Calculos!$B$4,A58,A58-Calculos!$B$4),Calculos!$B$2+1-MOD(54-1,Calculos!$B$6)+1),INDEX(Calculos!$B$36:$S$52,IF(A58&lt;=Calculos!$B$4,A58,A58-Calculos!$B$4),MOD(54-1,Calculos!$B$6)+1)),IF(MOD(IF(A58&lt;=Calculos!$B$4,A58,A58-Calculos!$B$4)+MOD(54-1,Calculos!$B$6)+1,2)=0,INDEX(Calculos!$B$36:$S$52,IF(A58&lt;=Calculos!$B$4,A58,A58-Calculos!$B$4),MOD(54-1,Calculos!$B$6)+1),INDEX(Calculos!$B$36:$S$52,IF(A58&lt;=Calculos!$B$4,A58,A58-Calculos!$B$4),Calculos!$B$2+1-MOD(54-1,Calculos!$B$6)+1)))))</f>
        <v>#VALUE!</v>
      </c>
      <c r="G58" s="9" t="str">
        <f t="shared" si="0"/>
        <v>Pendiente</v>
      </c>
      <c r="H58" s="9" t="e">
        <f>IF(OR(C58="",F58=""),"",IF(AND(ISNUMBER(D58),ISNUMBER(E58)),IF(D58&gt;E58,Inicio!$E$6,IF(D58=E58,Inicio!$F$6,Inicio!$G$6)),""))</f>
        <v>#VALUE!</v>
      </c>
      <c r="I58" s="9" t="e">
        <f>IF(OR(C58="",F58=""),"",IF(AND(ISNUMBER(D58),ISNUMBER(E58)),IF(D58&lt;E58,Inicio!$E$6,IF(D58=E58,Inicio!$F$6,Inicio!$G$6)),""))</f>
        <v>#VALUE!</v>
      </c>
      <c r="J58" s="9">
        <f t="shared" si="1"/>
        <v>0</v>
      </c>
      <c r="K58" s="9">
        <f t="shared" si="2"/>
        <v>0</v>
      </c>
      <c r="L58" s="9">
        <f t="shared" si="3"/>
        <v>0</v>
      </c>
      <c r="M58" s="9">
        <f t="shared" si="4"/>
        <v>0</v>
      </c>
      <c r="N58" s="9">
        <f t="shared" si="5"/>
        <v>0</v>
      </c>
      <c r="O58" s="9">
        <f t="shared" si="6"/>
        <v>0</v>
      </c>
    </row>
    <row r="59" spans="1:15" x14ac:dyDescent="0.25">
      <c r="A59" s="9">
        <f>IF(OR(Calculos!$B$7=0,55&gt;Calculos!$B$7),"",INT((55-1)/Calculos!$B$6)+1)</f>
        <v>11</v>
      </c>
      <c r="B59" s="10">
        <f>IF(A59="","",Inicio!$E$5+(A59-1)*Inicio!$B$6)</f>
        <v>46152</v>
      </c>
      <c r="C59" s="11" t="e">
        <f>IF(A59="","",INDEX(Calculos!$B$11:$B$28,IF(A59&gt;Calculos!$B$4,IF(MOD(IF(A59&lt;=Calculos!$B$4,A59,A59-Calculos!$B$4)+MOD(55-1,Calculos!$B$6)+1,2)=0,INDEX(Calculos!$B$36:$S$52,IF(A59&lt;=Calculos!$B$4,A59,A59-Calculos!$B$4),MOD(55-1,Calculos!$B$6)+1),INDEX(Calculos!$B$36:$S$52,IF(A59&lt;=Calculos!$B$4,A59,A59-Calculos!$B$4),Calculos!$B$2+1-MOD(55-1,Calculos!$B$6)+1)),IF(MOD(IF(A59&lt;=Calculos!$B$4,A59,A59-Calculos!$B$4)+MOD(55-1,Calculos!$B$6)+1,2)=0,INDEX(Calculos!$B$36:$S$52,IF(A59&lt;=Calculos!$B$4,A59,A59-Calculos!$B$4),Calculos!$B$2+1-MOD(55-1,Calculos!$B$6)+1),INDEX(Calculos!$B$36:$S$52,IF(A59&lt;=Calculos!$B$4,A59,A59-Calculos!$B$4),MOD(55-1,Calculos!$B$6)+1)))))</f>
        <v>#VALUE!</v>
      </c>
      <c r="D59" s="4"/>
      <c r="E59" s="4"/>
      <c r="F59" s="11" t="e">
        <f>IF(A59="","",INDEX(Calculos!$B$11:$B$28,IF(A59&gt;Calculos!$B$4,IF(MOD(IF(A59&lt;=Calculos!$B$4,A59,A59-Calculos!$B$4)+MOD(55-1,Calculos!$B$6)+1,2)=0,INDEX(Calculos!$B$36:$S$52,IF(A59&lt;=Calculos!$B$4,A59,A59-Calculos!$B$4),Calculos!$B$2+1-MOD(55-1,Calculos!$B$6)+1),INDEX(Calculos!$B$36:$S$52,IF(A59&lt;=Calculos!$B$4,A59,A59-Calculos!$B$4),MOD(55-1,Calculos!$B$6)+1)),IF(MOD(IF(A59&lt;=Calculos!$B$4,A59,A59-Calculos!$B$4)+MOD(55-1,Calculos!$B$6)+1,2)=0,INDEX(Calculos!$B$36:$S$52,IF(A59&lt;=Calculos!$B$4,A59,A59-Calculos!$B$4),MOD(55-1,Calculos!$B$6)+1),INDEX(Calculos!$B$36:$S$52,IF(A59&lt;=Calculos!$B$4,A59,A59-Calculos!$B$4),Calculos!$B$2+1-MOD(55-1,Calculos!$B$6)+1)))))</f>
        <v>#VALUE!</v>
      </c>
      <c r="G59" s="9" t="str">
        <f t="shared" si="0"/>
        <v>Pendiente</v>
      </c>
      <c r="H59" s="9" t="e">
        <f>IF(OR(C59="",F59=""),"",IF(AND(ISNUMBER(D59),ISNUMBER(E59)),IF(D59&gt;E59,Inicio!$E$6,IF(D59=E59,Inicio!$F$6,Inicio!$G$6)),""))</f>
        <v>#VALUE!</v>
      </c>
      <c r="I59" s="9" t="e">
        <f>IF(OR(C59="",F59=""),"",IF(AND(ISNUMBER(D59),ISNUMBER(E59)),IF(D59&lt;E59,Inicio!$E$6,IF(D59=E59,Inicio!$F$6,Inicio!$G$6)),""))</f>
        <v>#VALUE!</v>
      </c>
      <c r="J59" s="9">
        <f t="shared" si="1"/>
        <v>0</v>
      </c>
      <c r="K59" s="9">
        <f t="shared" si="2"/>
        <v>0</v>
      </c>
      <c r="L59" s="9">
        <f t="shared" si="3"/>
        <v>0</v>
      </c>
      <c r="M59" s="9">
        <f t="shared" si="4"/>
        <v>0</v>
      </c>
      <c r="N59" s="9">
        <f t="shared" si="5"/>
        <v>0</v>
      </c>
      <c r="O59" s="9">
        <f t="shared" si="6"/>
        <v>0</v>
      </c>
    </row>
    <row r="60" spans="1:15" x14ac:dyDescent="0.25">
      <c r="A60" s="9">
        <f>IF(OR(Calculos!$B$7=0,56&gt;Calculos!$B$7),"",INT((56-1)/Calculos!$B$6)+1)</f>
        <v>12</v>
      </c>
      <c r="B60" s="10">
        <f>IF(A60="","",Inicio!$E$5+(A60-1)*Inicio!$B$6)</f>
        <v>46159</v>
      </c>
      <c r="C60" s="11" t="e">
        <f>IF(A60="","",INDEX(Calculos!$B$11:$B$28,IF(A60&gt;Calculos!$B$4,IF(MOD(IF(A60&lt;=Calculos!$B$4,A60,A60-Calculos!$B$4)+MOD(56-1,Calculos!$B$6)+1,2)=0,INDEX(Calculos!$B$36:$S$52,IF(A60&lt;=Calculos!$B$4,A60,A60-Calculos!$B$4),MOD(56-1,Calculos!$B$6)+1),INDEX(Calculos!$B$36:$S$52,IF(A60&lt;=Calculos!$B$4,A60,A60-Calculos!$B$4),Calculos!$B$2+1-MOD(56-1,Calculos!$B$6)+1)),IF(MOD(IF(A60&lt;=Calculos!$B$4,A60,A60-Calculos!$B$4)+MOD(56-1,Calculos!$B$6)+1,2)=0,INDEX(Calculos!$B$36:$S$52,IF(A60&lt;=Calculos!$B$4,A60,A60-Calculos!$B$4),Calculos!$B$2+1-MOD(56-1,Calculos!$B$6)+1),INDEX(Calculos!$B$36:$S$52,IF(A60&lt;=Calculos!$B$4,A60,A60-Calculos!$B$4),MOD(56-1,Calculos!$B$6)+1)))))</f>
        <v>#VALUE!</v>
      </c>
      <c r="D60" s="4"/>
      <c r="E60" s="4"/>
      <c r="F60" s="11" t="e">
        <f>IF(A60="","",INDEX(Calculos!$B$11:$B$28,IF(A60&gt;Calculos!$B$4,IF(MOD(IF(A60&lt;=Calculos!$B$4,A60,A60-Calculos!$B$4)+MOD(56-1,Calculos!$B$6)+1,2)=0,INDEX(Calculos!$B$36:$S$52,IF(A60&lt;=Calculos!$B$4,A60,A60-Calculos!$B$4),Calculos!$B$2+1-MOD(56-1,Calculos!$B$6)+1),INDEX(Calculos!$B$36:$S$52,IF(A60&lt;=Calculos!$B$4,A60,A60-Calculos!$B$4),MOD(56-1,Calculos!$B$6)+1)),IF(MOD(IF(A60&lt;=Calculos!$B$4,A60,A60-Calculos!$B$4)+MOD(56-1,Calculos!$B$6)+1,2)=0,INDEX(Calculos!$B$36:$S$52,IF(A60&lt;=Calculos!$B$4,A60,A60-Calculos!$B$4),MOD(56-1,Calculos!$B$6)+1),INDEX(Calculos!$B$36:$S$52,IF(A60&lt;=Calculos!$B$4,A60,A60-Calculos!$B$4),Calculos!$B$2+1-MOD(56-1,Calculos!$B$6)+1)))))</f>
        <v>#VALUE!</v>
      </c>
      <c r="G60" s="9" t="str">
        <f t="shared" si="0"/>
        <v>Pendiente</v>
      </c>
      <c r="H60" s="9" t="e">
        <f>IF(OR(C60="",F60=""),"",IF(AND(ISNUMBER(D60),ISNUMBER(E60)),IF(D60&gt;E60,Inicio!$E$6,IF(D60=E60,Inicio!$F$6,Inicio!$G$6)),""))</f>
        <v>#VALUE!</v>
      </c>
      <c r="I60" s="9" t="e">
        <f>IF(OR(C60="",F60=""),"",IF(AND(ISNUMBER(D60),ISNUMBER(E60)),IF(D60&lt;E60,Inicio!$E$6,IF(D60=E60,Inicio!$F$6,Inicio!$G$6)),""))</f>
        <v>#VALUE!</v>
      </c>
      <c r="J60" s="9">
        <f t="shared" si="1"/>
        <v>0</v>
      </c>
      <c r="K60" s="9">
        <f t="shared" si="2"/>
        <v>0</v>
      </c>
      <c r="L60" s="9">
        <f t="shared" si="3"/>
        <v>0</v>
      </c>
      <c r="M60" s="9">
        <f t="shared" si="4"/>
        <v>0</v>
      </c>
      <c r="N60" s="9">
        <f t="shared" si="5"/>
        <v>0</v>
      </c>
      <c r="O60" s="9">
        <f t="shared" si="6"/>
        <v>0</v>
      </c>
    </row>
    <row r="61" spans="1:15" x14ac:dyDescent="0.25">
      <c r="A61" s="9">
        <f>IF(OR(Calculos!$B$7=0,57&gt;Calculos!$B$7),"",INT((57-1)/Calculos!$B$6)+1)</f>
        <v>12</v>
      </c>
      <c r="B61" s="10">
        <f>IF(A61="","",Inicio!$E$5+(A61-1)*Inicio!$B$6)</f>
        <v>46159</v>
      </c>
      <c r="C61" s="11" t="e">
        <f>IF(A61="","",INDEX(Calculos!$B$11:$B$28,IF(A61&gt;Calculos!$B$4,IF(MOD(IF(A61&lt;=Calculos!$B$4,A61,A61-Calculos!$B$4)+MOD(57-1,Calculos!$B$6)+1,2)=0,INDEX(Calculos!$B$36:$S$52,IF(A61&lt;=Calculos!$B$4,A61,A61-Calculos!$B$4),MOD(57-1,Calculos!$B$6)+1),INDEX(Calculos!$B$36:$S$52,IF(A61&lt;=Calculos!$B$4,A61,A61-Calculos!$B$4),Calculos!$B$2+1-MOD(57-1,Calculos!$B$6)+1)),IF(MOD(IF(A61&lt;=Calculos!$B$4,A61,A61-Calculos!$B$4)+MOD(57-1,Calculos!$B$6)+1,2)=0,INDEX(Calculos!$B$36:$S$52,IF(A61&lt;=Calculos!$B$4,A61,A61-Calculos!$B$4),Calculos!$B$2+1-MOD(57-1,Calculos!$B$6)+1),INDEX(Calculos!$B$36:$S$52,IF(A61&lt;=Calculos!$B$4,A61,A61-Calculos!$B$4),MOD(57-1,Calculos!$B$6)+1)))))</f>
        <v>#VALUE!</v>
      </c>
      <c r="D61" s="4"/>
      <c r="E61" s="4"/>
      <c r="F61" s="11" t="e">
        <f>IF(A61="","",INDEX(Calculos!$B$11:$B$28,IF(A61&gt;Calculos!$B$4,IF(MOD(IF(A61&lt;=Calculos!$B$4,A61,A61-Calculos!$B$4)+MOD(57-1,Calculos!$B$6)+1,2)=0,INDEX(Calculos!$B$36:$S$52,IF(A61&lt;=Calculos!$B$4,A61,A61-Calculos!$B$4),Calculos!$B$2+1-MOD(57-1,Calculos!$B$6)+1),INDEX(Calculos!$B$36:$S$52,IF(A61&lt;=Calculos!$B$4,A61,A61-Calculos!$B$4),MOD(57-1,Calculos!$B$6)+1)),IF(MOD(IF(A61&lt;=Calculos!$B$4,A61,A61-Calculos!$B$4)+MOD(57-1,Calculos!$B$6)+1,2)=0,INDEX(Calculos!$B$36:$S$52,IF(A61&lt;=Calculos!$B$4,A61,A61-Calculos!$B$4),MOD(57-1,Calculos!$B$6)+1),INDEX(Calculos!$B$36:$S$52,IF(A61&lt;=Calculos!$B$4,A61,A61-Calculos!$B$4),Calculos!$B$2+1-MOD(57-1,Calculos!$B$6)+1)))))</f>
        <v>#VALUE!</v>
      </c>
      <c r="G61" s="9" t="str">
        <f t="shared" si="0"/>
        <v>Pendiente</v>
      </c>
      <c r="H61" s="9" t="e">
        <f>IF(OR(C61="",F61=""),"",IF(AND(ISNUMBER(D61),ISNUMBER(E61)),IF(D61&gt;E61,Inicio!$E$6,IF(D61=E61,Inicio!$F$6,Inicio!$G$6)),""))</f>
        <v>#VALUE!</v>
      </c>
      <c r="I61" s="9" t="e">
        <f>IF(OR(C61="",F61=""),"",IF(AND(ISNUMBER(D61),ISNUMBER(E61)),IF(D61&lt;E61,Inicio!$E$6,IF(D61=E61,Inicio!$F$6,Inicio!$G$6)),""))</f>
        <v>#VALUE!</v>
      </c>
      <c r="J61" s="9">
        <f t="shared" si="1"/>
        <v>0</v>
      </c>
      <c r="K61" s="9">
        <f t="shared" si="2"/>
        <v>0</v>
      </c>
      <c r="L61" s="9">
        <f t="shared" si="3"/>
        <v>0</v>
      </c>
      <c r="M61" s="9">
        <f t="shared" si="4"/>
        <v>0</v>
      </c>
      <c r="N61" s="9">
        <f t="shared" si="5"/>
        <v>0</v>
      </c>
      <c r="O61" s="9">
        <f t="shared" si="6"/>
        <v>0</v>
      </c>
    </row>
    <row r="62" spans="1:15" x14ac:dyDescent="0.25">
      <c r="A62" s="9">
        <f>IF(OR(Calculos!$B$7=0,58&gt;Calculos!$B$7),"",INT((58-1)/Calculos!$B$6)+1)</f>
        <v>12</v>
      </c>
      <c r="B62" s="10">
        <f>IF(A62="","",Inicio!$E$5+(A62-1)*Inicio!$B$6)</f>
        <v>46159</v>
      </c>
      <c r="C62" s="11" t="e">
        <f>IF(A62="","",INDEX(Calculos!$B$11:$B$28,IF(A62&gt;Calculos!$B$4,IF(MOD(IF(A62&lt;=Calculos!$B$4,A62,A62-Calculos!$B$4)+MOD(58-1,Calculos!$B$6)+1,2)=0,INDEX(Calculos!$B$36:$S$52,IF(A62&lt;=Calculos!$B$4,A62,A62-Calculos!$B$4),MOD(58-1,Calculos!$B$6)+1),INDEX(Calculos!$B$36:$S$52,IF(A62&lt;=Calculos!$B$4,A62,A62-Calculos!$B$4),Calculos!$B$2+1-MOD(58-1,Calculos!$B$6)+1)),IF(MOD(IF(A62&lt;=Calculos!$B$4,A62,A62-Calculos!$B$4)+MOD(58-1,Calculos!$B$6)+1,2)=0,INDEX(Calculos!$B$36:$S$52,IF(A62&lt;=Calculos!$B$4,A62,A62-Calculos!$B$4),Calculos!$B$2+1-MOD(58-1,Calculos!$B$6)+1),INDEX(Calculos!$B$36:$S$52,IF(A62&lt;=Calculos!$B$4,A62,A62-Calculos!$B$4),MOD(58-1,Calculos!$B$6)+1)))))</f>
        <v>#VALUE!</v>
      </c>
      <c r="D62" s="4"/>
      <c r="E62" s="4"/>
      <c r="F62" s="11" t="e">
        <f>IF(A62="","",INDEX(Calculos!$B$11:$B$28,IF(A62&gt;Calculos!$B$4,IF(MOD(IF(A62&lt;=Calculos!$B$4,A62,A62-Calculos!$B$4)+MOD(58-1,Calculos!$B$6)+1,2)=0,INDEX(Calculos!$B$36:$S$52,IF(A62&lt;=Calculos!$B$4,A62,A62-Calculos!$B$4),Calculos!$B$2+1-MOD(58-1,Calculos!$B$6)+1),INDEX(Calculos!$B$36:$S$52,IF(A62&lt;=Calculos!$B$4,A62,A62-Calculos!$B$4),MOD(58-1,Calculos!$B$6)+1)),IF(MOD(IF(A62&lt;=Calculos!$B$4,A62,A62-Calculos!$B$4)+MOD(58-1,Calculos!$B$6)+1,2)=0,INDEX(Calculos!$B$36:$S$52,IF(A62&lt;=Calculos!$B$4,A62,A62-Calculos!$B$4),MOD(58-1,Calculos!$B$6)+1),INDEX(Calculos!$B$36:$S$52,IF(A62&lt;=Calculos!$B$4,A62,A62-Calculos!$B$4),Calculos!$B$2+1-MOD(58-1,Calculos!$B$6)+1)))))</f>
        <v>#VALUE!</v>
      </c>
      <c r="G62" s="9" t="str">
        <f t="shared" si="0"/>
        <v>Pendiente</v>
      </c>
      <c r="H62" s="9" t="e">
        <f>IF(OR(C62="",F62=""),"",IF(AND(ISNUMBER(D62),ISNUMBER(E62)),IF(D62&gt;E62,Inicio!$E$6,IF(D62=E62,Inicio!$F$6,Inicio!$G$6)),""))</f>
        <v>#VALUE!</v>
      </c>
      <c r="I62" s="9" t="e">
        <f>IF(OR(C62="",F62=""),"",IF(AND(ISNUMBER(D62),ISNUMBER(E62)),IF(D62&lt;E62,Inicio!$E$6,IF(D62=E62,Inicio!$F$6,Inicio!$G$6)),""))</f>
        <v>#VALUE!</v>
      </c>
      <c r="J62" s="9">
        <f t="shared" si="1"/>
        <v>0</v>
      </c>
      <c r="K62" s="9">
        <f t="shared" si="2"/>
        <v>0</v>
      </c>
      <c r="L62" s="9">
        <f t="shared" si="3"/>
        <v>0</v>
      </c>
      <c r="M62" s="9">
        <f t="shared" si="4"/>
        <v>0</v>
      </c>
      <c r="N62" s="9">
        <f t="shared" si="5"/>
        <v>0</v>
      </c>
      <c r="O62" s="9">
        <f t="shared" si="6"/>
        <v>0</v>
      </c>
    </row>
    <row r="63" spans="1:15" x14ac:dyDescent="0.25">
      <c r="A63" s="9">
        <f>IF(OR(Calculos!$B$7=0,59&gt;Calculos!$B$7),"",INT((59-1)/Calculos!$B$6)+1)</f>
        <v>12</v>
      </c>
      <c r="B63" s="10">
        <f>IF(A63="","",Inicio!$E$5+(A63-1)*Inicio!$B$6)</f>
        <v>46159</v>
      </c>
      <c r="C63" s="11" t="e">
        <f>IF(A63="","",INDEX(Calculos!$B$11:$B$28,IF(A63&gt;Calculos!$B$4,IF(MOD(IF(A63&lt;=Calculos!$B$4,A63,A63-Calculos!$B$4)+MOD(59-1,Calculos!$B$6)+1,2)=0,INDEX(Calculos!$B$36:$S$52,IF(A63&lt;=Calculos!$B$4,A63,A63-Calculos!$B$4),MOD(59-1,Calculos!$B$6)+1),INDEX(Calculos!$B$36:$S$52,IF(A63&lt;=Calculos!$B$4,A63,A63-Calculos!$B$4),Calculos!$B$2+1-MOD(59-1,Calculos!$B$6)+1)),IF(MOD(IF(A63&lt;=Calculos!$B$4,A63,A63-Calculos!$B$4)+MOD(59-1,Calculos!$B$6)+1,2)=0,INDEX(Calculos!$B$36:$S$52,IF(A63&lt;=Calculos!$B$4,A63,A63-Calculos!$B$4),Calculos!$B$2+1-MOD(59-1,Calculos!$B$6)+1),INDEX(Calculos!$B$36:$S$52,IF(A63&lt;=Calculos!$B$4,A63,A63-Calculos!$B$4),MOD(59-1,Calculos!$B$6)+1)))))</f>
        <v>#VALUE!</v>
      </c>
      <c r="D63" s="4"/>
      <c r="E63" s="4"/>
      <c r="F63" s="11" t="e">
        <f>IF(A63="","",INDEX(Calculos!$B$11:$B$28,IF(A63&gt;Calculos!$B$4,IF(MOD(IF(A63&lt;=Calculos!$B$4,A63,A63-Calculos!$B$4)+MOD(59-1,Calculos!$B$6)+1,2)=0,INDEX(Calculos!$B$36:$S$52,IF(A63&lt;=Calculos!$B$4,A63,A63-Calculos!$B$4),Calculos!$B$2+1-MOD(59-1,Calculos!$B$6)+1),INDEX(Calculos!$B$36:$S$52,IF(A63&lt;=Calculos!$B$4,A63,A63-Calculos!$B$4),MOD(59-1,Calculos!$B$6)+1)),IF(MOD(IF(A63&lt;=Calculos!$B$4,A63,A63-Calculos!$B$4)+MOD(59-1,Calculos!$B$6)+1,2)=0,INDEX(Calculos!$B$36:$S$52,IF(A63&lt;=Calculos!$B$4,A63,A63-Calculos!$B$4),MOD(59-1,Calculos!$B$6)+1),INDEX(Calculos!$B$36:$S$52,IF(A63&lt;=Calculos!$B$4,A63,A63-Calculos!$B$4),Calculos!$B$2+1-MOD(59-1,Calculos!$B$6)+1)))))</f>
        <v>#VALUE!</v>
      </c>
      <c r="G63" s="9" t="str">
        <f t="shared" si="0"/>
        <v>Pendiente</v>
      </c>
      <c r="H63" s="9" t="e">
        <f>IF(OR(C63="",F63=""),"",IF(AND(ISNUMBER(D63),ISNUMBER(E63)),IF(D63&gt;E63,Inicio!$E$6,IF(D63=E63,Inicio!$F$6,Inicio!$G$6)),""))</f>
        <v>#VALUE!</v>
      </c>
      <c r="I63" s="9" t="e">
        <f>IF(OR(C63="",F63=""),"",IF(AND(ISNUMBER(D63),ISNUMBER(E63)),IF(D63&lt;E63,Inicio!$E$6,IF(D63=E63,Inicio!$F$6,Inicio!$G$6)),""))</f>
        <v>#VALUE!</v>
      </c>
      <c r="J63" s="9">
        <f t="shared" si="1"/>
        <v>0</v>
      </c>
      <c r="K63" s="9">
        <f t="shared" si="2"/>
        <v>0</v>
      </c>
      <c r="L63" s="9">
        <f t="shared" si="3"/>
        <v>0</v>
      </c>
      <c r="M63" s="9">
        <f t="shared" si="4"/>
        <v>0</v>
      </c>
      <c r="N63" s="9">
        <f t="shared" si="5"/>
        <v>0</v>
      </c>
      <c r="O63" s="9">
        <f t="shared" si="6"/>
        <v>0</v>
      </c>
    </row>
    <row r="64" spans="1:15" x14ac:dyDescent="0.25">
      <c r="A64" s="9">
        <f>IF(OR(Calculos!$B$7=0,60&gt;Calculos!$B$7),"",INT((60-1)/Calculos!$B$6)+1)</f>
        <v>12</v>
      </c>
      <c r="B64" s="10">
        <f>IF(A64="","",Inicio!$E$5+(A64-1)*Inicio!$B$6)</f>
        <v>46159</v>
      </c>
      <c r="C64" s="11" t="e">
        <f>IF(A64="","",INDEX(Calculos!$B$11:$B$28,IF(A64&gt;Calculos!$B$4,IF(MOD(IF(A64&lt;=Calculos!$B$4,A64,A64-Calculos!$B$4)+MOD(60-1,Calculos!$B$6)+1,2)=0,INDEX(Calculos!$B$36:$S$52,IF(A64&lt;=Calculos!$B$4,A64,A64-Calculos!$B$4),MOD(60-1,Calculos!$B$6)+1),INDEX(Calculos!$B$36:$S$52,IF(A64&lt;=Calculos!$B$4,A64,A64-Calculos!$B$4),Calculos!$B$2+1-MOD(60-1,Calculos!$B$6)+1)),IF(MOD(IF(A64&lt;=Calculos!$B$4,A64,A64-Calculos!$B$4)+MOD(60-1,Calculos!$B$6)+1,2)=0,INDEX(Calculos!$B$36:$S$52,IF(A64&lt;=Calculos!$B$4,A64,A64-Calculos!$B$4),Calculos!$B$2+1-MOD(60-1,Calculos!$B$6)+1),INDEX(Calculos!$B$36:$S$52,IF(A64&lt;=Calculos!$B$4,A64,A64-Calculos!$B$4),MOD(60-1,Calculos!$B$6)+1)))))</f>
        <v>#VALUE!</v>
      </c>
      <c r="D64" s="4"/>
      <c r="E64" s="4"/>
      <c r="F64" s="11" t="e">
        <f>IF(A64="","",INDEX(Calculos!$B$11:$B$28,IF(A64&gt;Calculos!$B$4,IF(MOD(IF(A64&lt;=Calculos!$B$4,A64,A64-Calculos!$B$4)+MOD(60-1,Calculos!$B$6)+1,2)=0,INDEX(Calculos!$B$36:$S$52,IF(A64&lt;=Calculos!$B$4,A64,A64-Calculos!$B$4),Calculos!$B$2+1-MOD(60-1,Calculos!$B$6)+1),INDEX(Calculos!$B$36:$S$52,IF(A64&lt;=Calculos!$B$4,A64,A64-Calculos!$B$4),MOD(60-1,Calculos!$B$6)+1)),IF(MOD(IF(A64&lt;=Calculos!$B$4,A64,A64-Calculos!$B$4)+MOD(60-1,Calculos!$B$6)+1,2)=0,INDEX(Calculos!$B$36:$S$52,IF(A64&lt;=Calculos!$B$4,A64,A64-Calculos!$B$4),MOD(60-1,Calculos!$B$6)+1),INDEX(Calculos!$B$36:$S$52,IF(A64&lt;=Calculos!$B$4,A64,A64-Calculos!$B$4),Calculos!$B$2+1-MOD(60-1,Calculos!$B$6)+1)))))</f>
        <v>#VALUE!</v>
      </c>
      <c r="G64" s="9" t="str">
        <f t="shared" si="0"/>
        <v>Pendiente</v>
      </c>
      <c r="H64" s="9" t="e">
        <f>IF(OR(C64="",F64=""),"",IF(AND(ISNUMBER(D64),ISNUMBER(E64)),IF(D64&gt;E64,Inicio!$E$6,IF(D64=E64,Inicio!$F$6,Inicio!$G$6)),""))</f>
        <v>#VALUE!</v>
      </c>
      <c r="I64" s="9" t="e">
        <f>IF(OR(C64="",F64=""),"",IF(AND(ISNUMBER(D64),ISNUMBER(E64)),IF(D64&lt;E64,Inicio!$E$6,IF(D64=E64,Inicio!$F$6,Inicio!$G$6)),""))</f>
        <v>#VALUE!</v>
      </c>
      <c r="J64" s="9">
        <f t="shared" si="1"/>
        <v>0</v>
      </c>
      <c r="K64" s="9">
        <f t="shared" si="2"/>
        <v>0</v>
      </c>
      <c r="L64" s="9">
        <f t="shared" si="3"/>
        <v>0</v>
      </c>
      <c r="M64" s="9">
        <f t="shared" si="4"/>
        <v>0</v>
      </c>
      <c r="N64" s="9">
        <f t="shared" si="5"/>
        <v>0</v>
      </c>
      <c r="O64" s="9">
        <f t="shared" si="6"/>
        <v>0</v>
      </c>
    </row>
    <row r="65" spans="1:15" x14ac:dyDescent="0.25">
      <c r="A65" s="9">
        <f>IF(OR(Calculos!$B$7=0,61&gt;Calculos!$B$7),"",INT((61-1)/Calculos!$B$6)+1)</f>
        <v>13</v>
      </c>
      <c r="B65" s="10">
        <f>IF(A65="","",Inicio!$E$5+(A65-1)*Inicio!$B$6)</f>
        <v>46166</v>
      </c>
      <c r="C65" s="11" t="e">
        <f>IF(A65="","",INDEX(Calculos!$B$11:$B$28,IF(A65&gt;Calculos!$B$4,IF(MOD(IF(A65&lt;=Calculos!$B$4,A65,A65-Calculos!$B$4)+MOD(61-1,Calculos!$B$6)+1,2)=0,INDEX(Calculos!$B$36:$S$52,IF(A65&lt;=Calculos!$B$4,A65,A65-Calculos!$B$4),MOD(61-1,Calculos!$B$6)+1),INDEX(Calculos!$B$36:$S$52,IF(A65&lt;=Calculos!$B$4,A65,A65-Calculos!$B$4),Calculos!$B$2+1-MOD(61-1,Calculos!$B$6)+1)),IF(MOD(IF(A65&lt;=Calculos!$B$4,A65,A65-Calculos!$B$4)+MOD(61-1,Calculos!$B$6)+1,2)=0,INDEX(Calculos!$B$36:$S$52,IF(A65&lt;=Calculos!$B$4,A65,A65-Calculos!$B$4),Calculos!$B$2+1-MOD(61-1,Calculos!$B$6)+1),INDEX(Calculos!$B$36:$S$52,IF(A65&lt;=Calculos!$B$4,A65,A65-Calculos!$B$4),MOD(61-1,Calculos!$B$6)+1)))))</f>
        <v>#VALUE!</v>
      </c>
      <c r="D65" s="4"/>
      <c r="E65" s="4"/>
      <c r="F65" s="11" t="e">
        <f>IF(A65="","",INDEX(Calculos!$B$11:$B$28,IF(A65&gt;Calculos!$B$4,IF(MOD(IF(A65&lt;=Calculos!$B$4,A65,A65-Calculos!$B$4)+MOD(61-1,Calculos!$B$6)+1,2)=0,INDEX(Calculos!$B$36:$S$52,IF(A65&lt;=Calculos!$B$4,A65,A65-Calculos!$B$4),Calculos!$B$2+1-MOD(61-1,Calculos!$B$6)+1),INDEX(Calculos!$B$36:$S$52,IF(A65&lt;=Calculos!$B$4,A65,A65-Calculos!$B$4),MOD(61-1,Calculos!$B$6)+1)),IF(MOD(IF(A65&lt;=Calculos!$B$4,A65,A65-Calculos!$B$4)+MOD(61-1,Calculos!$B$6)+1,2)=0,INDEX(Calculos!$B$36:$S$52,IF(A65&lt;=Calculos!$B$4,A65,A65-Calculos!$B$4),MOD(61-1,Calculos!$B$6)+1),INDEX(Calculos!$B$36:$S$52,IF(A65&lt;=Calculos!$B$4,A65,A65-Calculos!$B$4),Calculos!$B$2+1-MOD(61-1,Calculos!$B$6)+1)))))</f>
        <v>#VALUE!</v>
      </c>
      <c r="G65" s="9" t="str">
        <f t="shared" si="0"/>
        <v>Pendiente</v>
      </c>
      <c r="H65" s="9" t="e">
        <f>IF(OR(C65="",F65=""),"",IF(AND(ISNUMBER(D65),ISNUMBER(E65)),IF(D65&gt;E65,Inicio!$E$6,IF(D65=E65,Inicio!$F$6,Inicio!$G$6)),""))</f>
        <v>#VALUE!</v>
      </c>
      <c r="I65" s="9" t="e">
        <f>IF(OR(C65="",F65=""),"",IF(AND(ISNUMBER(D65),ISNUMBER(E65)),IF(D65&lt;E65,Inicio!$E$6,IF(D65=E65,Inicio!$F$6,Inicio!$G$6)),""))</f>
        <v>#VALUE!</v>
      </c>
      <c r="J65" s="9">
        <f t="shared" si="1"/>
        <v>0</v>
      </c>
      <c r="K65" s="9">
        <f t="shared" si="2"/>
        <v>0</v>
      </c>
      <c r="L65" s="9">
        <f t="shared" si="3"/>
        <v>0</v>
      </c>
      <c r="M65" s="9">
        <f t="shared" si="4"/>
        <v>0</v>
      </c>
      <c r="N65" s="9">
        <f t="shared" si="5"/>
        <v>0</v>
      </c>
      <c r="O65" s="9">
        <f t="shared" si="6"/>
        <v>0</v>
      </c>
    </row>
    <row r="66" spans="1:15" x14ac:dyDescent="0.25">
      <c r="A66" s="9">
        <f>IF(OR(Calculos!$B$7=0,62&gt;Calculos!$B$7),"",INT((62-1)/Calculos!$B$6)+1)</f>
        <v>13</v>
      </c>
      <c r="B66" s="10">
        <f>IF(A66="","",Inicio!$E$5+(A66-1)*Inicio!$B$6)</f>
        <v>46166</v>
      </c>
      <c r="C66" s="11" t="e">
        <f>IF(A66="","",INDEX(Calculos!$B$11:$B$28,IF(A66&gt;Calculos!$B$4,IF(MOD(IF(A66&lt;=Calculos!$B$4,A66,A66-Calculos!$B$4)+MOD(62-1,Calculos!$B$6)+1,2)=0,INDEX(Calculos!$B$36:$S$52,IF(A66&lt;=Calculos!$B$4,A66,A66-Calculos!$B$4),MOD(62-1,Calculos!$B$6)+1),INDEX(Calculos!$B$36:$S$52,IF(A66&lt;=Calculos!$B$4,A66,A66-Calculos!$B$4),Calculos!$B$2+1-MOD(62-1,Calculos!$B$6)+1)),IF(MOD(IF(A66&lt;=Calculos!$B$4,A66,A66-Calculos!$B$4)+MOD(62-1,Calculos!$B$6)+1,2)=0,INDEX(Calculos!$B$36:$S$52,IF(A66&lt;=Calculos!$B$4,A66,A66-Calculos!$B$4),Calculos!$B$2+1-MOD(62-1,Calculos!$B$6)+1),INDEX(Calculos!$B$36:$S$52,IF(A66&lt;=Calculos!$B$4,A66,A66-Calculos!$B$4),MOD(62-1,Calculos!$B$6)+1)))))</f>
        <v>#VALUE!</v>
      </c>
      <c r="D66" s="4"/>
      <c r="E66" s="4"/>
      <c r="F66" s="11" t="e">
        <f>IF(A66="","",INDEX(Calculos!$B$11:$B$28,IF(A66&gt;Calculos!$B$4,IF(MOD(IF(A66&lt;=Calculos!$B$4,A66,A66-Calculos!$B$4)+MOD(62-1,Calculos!$B$6)+1,2)=0,INDEX(Calculos!$B$36:$S$52,IF(A66&lt;=Calculos!$B$4,A66,A66-Calculos!$B$4),Calculos!$B$2+1-MOD(62-1,Calculos!$B$6)+1),INDEX(Calculos!$B$36:$S$52,IF(A66&lt;=Calculos!$B$4,A66,A66-Calculos!$B$4),MOD(62-1,Calculos!$B$6)+1)),IF(MOD(IF(A66&lt;=Calculos!$B$4,A66,A66-Calculos!$B$4)+MOD(62-1,Calculos!$B$6)+1,2)=0,INDEX(Calculos!$B$36:$S$52,IF(A66&lt;=Calculos!$B$4,A66,A66-Calculos!$B$4),MOD(62-1,Calculos!$B$6)+1),INDEX(Calculos!$B$36:$S$52,IF(A66&lt;=Calculos!$B$4,A66,A66-Calculos!$B$4),Calculos!$B$2+1-MOD(62-1,Calculos!$B$6)+1)))))</f>
        <v>#VALUE!</v>
      </c>
      <c r="G66" s="9" t="str">
        <f t="shared" si="0"/>
        <v>Pendiente</v>
      </c>
      <c r="H66" s="9" t="e">
        <f>IF(OR(C66="",F66=""),"",IF(AND(ISNUMBER(D66),ISNUMBER(E66)),IF(D66&gt;E66,Inicio!$E$6,IF(D66=E66,Inicio!$F$6,Inicio!$G$6)),""))</f>
        <v>#VALUE!</v>
      </c>
      <c r="I66" s="9" t="e">
        <f>IF(OR(C66="",F66=""),"",IF(AND(ISNUMBER(D66),ISNUMBER(E66)),IF(D66&lt;E66,Inicio!$E$6,IF(D66=E66,Inicio!$F$6,Inicio!$G$6)),""))</f>
        <v>#VALUE!</v>
      </c>
      <c r="J66" s="9">
        <f t="shared" si="1"/>
        <v>0</v>
      </c>
      <c r="K66" s="9">
        <f t="shared" si="2"/>
        <v>0</v>
      </c>
      <c r="L66" s="9">
        <f t="shared" si="3"/>
        <v>0</v>
      </c>
      <c r="M66" s="9">
        <f t="shared" si="4"/>
        <v>0</v>
      </c>
      <c r="N66" s="9">
        <f t="shared" si="5"/>
        <v>0</v>
      </c>
      <c r="O66" s="9">
        <f t="shared" si="6"/>
        <v>0</v>
      </c>
    </row>
    <row r="67" spans="1:15" x14ac:dyDescent="0.25">
      <c r="A67" s="9">
        <f>IF(OR(Calculos!$B$7=0,63&gt;Calculos!$B$7),"",INT((63-1)/Calculos!$B$6)+1)</f>
        <v>13</v>
      </c>
      <c r="B67" s="10">
        <f>IF(A67="","",Inicio!$E$5+(A67-1)*Inicio!$B$6)</f>
        <v>46166</v>
      </c>
      <c r="C67" s="11" t="e">
        <f>IF(A67="","",INDEX(Calculos!$B$11:$B$28,IF(A67&gt;Calculos!$B$4,IF(MOD(IF(A67&lt;=Calculos!$B$4,A67,A67-Calculos!$B$4)+MOD(63-1,Calculos!$B$6)+1,2)=0,INDEX(Calculos!$B$36:$S$52,IF(A67&lt;=Calculos!$B$4,A67,A67-Calculos!$B$4),MOD(63-1,Calculos!$B$6)+1),INDEX(Calculos!$B$36:$S$52,IF(A67&lt;=Calculos!$B$4,A67,A67-Calculos!$B$4),Calculos!$B$2+1-MOD(63-1,Calculos!$B$6)+1)),IF(MOD(IF(A67&lt;=Calculos!$B$4,A67,A67-Calculos!$B$4)+MOD(63-1,Calculos!$B$6)+1,2)=0,INDEX(Calculos!$B$36:$S$52,IF(A67&lt;=Calculos!$B$4,A67,A67-Calculos!$B$4),Calculos!$B$2+1-MOD(63-1,Calculos!$B$6)+1),INDEX(Calculos!$B$36:$S$52,IF(A67&lt;=Calculos!$B$4,A67,A67-Calculos!$B$4),MOD(63-1,Calculos!$B$6)+1)))))</f>
        <v>#VALUE!</v>
      </c>
      <c r="D67" s="4"/>
      <c r="E67" s="4"/>
      <c r="F67" s="11" t="e">
        <f>IF(A67="","",INDEX(Calculos!$B$11:$B$28,IF(A67&gt;Calculos!$B$4,IF(MOD(IF(A67&lt;=Calculos!$B$4,A67,A67-Calculos!$B$4)+MOD(63-1,Calculos!$B$6)+1,2)=0,INDEX(Calculos!$B$36:$S$52,IF(A67&lt;=Calculos!$B$4,A67,A67-Calculos!$B$4),Calculos!$B$2+1-MOD(63-1,Calculos!$B$6)+1),INDEX(Calculos!$B$36:$S$52,IF(A67&lt;=Calculos!$B$4,A67,A67-Calculos!$B$4),MOD(63-1,Calculos!$B$6)+1)),IF(MOD(IF(A67&lt;=Calculos!$B$4,A67,A67-Calculos!$B$4)+MOD(63-1,Calculos!$B$6)+1,2)=0,INDEX(Calculos!$B$36:$S$52,IF(A67&lt;=Calculos!$B$4,A67,A67-Calculos!$B$4),MOD(63-1,Calculos!$B$6)+1),INDEX(Calculos!$B$36:$S$52,IF(A67&lt;=Calculos!$B$4,A67,A67-Calculos!$B$4),Calculos!$B$2+1-MOD(63-1,Calculos!$B$6)+1)))))</f>
        <v>#VALUE!</v>
      </c>
      <c r="G67" s="9" t="str">
        <f t="shared" si="0"/>
        <v>Pendiente</v>
      </c>
      <c r="H67" s="9" t="e">
        <f>IF(OR(C67="",F67=""),"",IF(AND(ISNUMBER(D67),ISNUMBER(E67)),IF(D67&gt;E67,Inicio!$E$6,IF(D67=E67,Inicio!$F$6,Inicio!$G$6)),""))</f>
        <v>#VALUE!</v>
      </c>
      <c r="I67" s="9" t="e">
        <f>IF(OR(C67="",F67=""),"",IF(AND(ISNUMBER(D67),ISNUMBER(E67)),IF(D67&lt;E67,Inicio!$E$6,IF(D67=E67,Inicio!$F$6,Inicio!$G$6)),""))</f>
        <v>#VALUE!</v>
      </c>
      <c r="J67" s="9">
        <f t="shared" si="1"/>
        <v>0</v>
      </c>
      <c r="K67" s="9">
        <f t="shared" si="2"/>
        <v>0</v>
      </c>
      <c r="L67" s="9">
        <f t="shared" si="3"/>
        <v>0</v>
      </c>
      <c r="M67" s="9">
        <f t="shared" si="4"/>
        <v>0</v>
      </c>
      <c r="N67" s="9">
        <f t="shared" si="5"/>
        <v>0</v>
      </c>
      <c r="O67" s="9">
        <f t="shared" si="6"/>
        <v>0</v>
      </c>
    </row>
    <row r="68" spans="1:15" x14ac:dyDescent="0.25">
      <c r="A68" s="9">
        <f>IF(OR(Calculos!$B$7=0,64&gt;Calculos!$B$7),"",INT((64-1)/Calculos!$B$6)+1)</f>
        <v>13</v>
      </c>
      <c r="B68" s="10">
        <f>IF(A68="","",Inicio!$E$5+(A68-1)*Inicio!$B$6)</f>
        <v>46166</v>
      </c>
      <c r="C68" s="11" t="e">
        <f>IF(A68="","",INDEX(Calculos!$B$11:$B$28,IF(A68&gt;Calculos!$B$4,IF(MOD(IF(A68&lt;=Calculos!$B$4,A68,A68-Calculos!$B$4)+MOD(64-1,Calculos!$B$6)+1,2)=0,INDEX(Calculos!$B$36:$S$52,IF(A68&lt;=Calculos!$B$4,A68,A68-Calculos!$B$4),MOD(64-1,Calculos!$B$6)+1),INDEX(Calculos!$B$36:$S$52,IF(A68&lt;=Calculos!$B$4,A68,A68-Calculos!$B$4),Calculos!$B$2+1-MOD(64-1,Calculos!$B$6)+1)),IF(MOD(IF(A68&lt;=Calculos!$B$4,A68,A68-Calculos!$B$4)+MOD(64-1,Calculos!$B$6)+1,2)=0,INDEX(Calculos!$B$36:$S$52,IF(A68&lt;=Calculos!$B$4,A68,A68-Calculos!$B$4),Calculos!$B$2+1-MOD(64-1,Calculos!$B$6)+1),INDEX(Calculos!$B$36:$S$52,IF(A68&lt;=Calculos!$B$4,A68,A68-Calculos!$B$4),MOD(64-1,Calculos!$B$6)+1)))))</f>
        <v>#VALUE!</v>
      </c>
      <c r="D68" s="4"/>
      <c r="E68" s="4"/>
      <c r="F68" s="11" t="e">
        <f>IF(A68="","",INDEX(Calculos!$B$11:$B$28,IF(A68&gt;Calculos!$B$4,IF(MOD(IF(A68&lt;=Calculos!$B$4,A68,A68-Calculos!$B$4)+MOD(64-1,Calculos!$B$6)+1,2)=0,INDEX(Calculos!$B$36:$S$52,IF(A68&lt;=Calculos!$B$4,A68,A68-Calculos!$B$4),Calculos!$B$2+1-MOD(64-1,Calculos!$B$6)+1),INDEX(Calculos!$B$36:$S$52,IF(A68&lt;=Calculos!$B$4,A68,A68-Calculos!$B$4),MOD(64-1,Calculos!$B$6)+1)),IF(MOD(IF(A68&lt;=Calculos!$B$4,A68,A68-Calculos!$B$4)+MOD(64-1,Calculos!$B$6)+1,2)=0,INDEX(Calculos!$B$36:$S$52,IF(A68&lt;=Calculos!$B$4,A68,A68-Calculos!$B$4),MOD(64-1,Calculos!$B$6)+1),INDEX(Calculos!$B$36:$S$52,IF(A68&lt;=Calculos!$B$4,A68,A68-Calculos!$B$4),Calculos!$B$2+1-MOD(64-1,Calculos!$B$6)+1)))))</f>
        <v>#VALUE!</v>
      </c>
      <c r="G68" s="9" t="str">
        <f t="shared" si="0"/>
        <v>Pendiente</v>
      </c>
      <c r="H68" s="9" t="e">
        <f>IF(OR(C68="",F68=""),"",IF(AND(ISNUMBER(D68),ISNUMBER(E68)),IF(D68&gt;E68,Inicio!$E$6,IF(D68=E68,Inicio!$F$6,Inicio!$G$6)),""))</f>
        <v>#VALUE!</v>
      </c>
      <c r="I68" s="9" t="e">
        <f>IF(OR(C68="",F68=""),"",IF(AND(ISNUMBER(D68),ISNUMBER(E68)),IF(D68&lt;E68,Inicio!$E$6,IF(D68=E68,Inicio!$F$6,Inicio!$G$6)),""))</f>
        <v>#VALUE!</v>
      </c>
      <c r="J68" s="9">
        <f t="shared" si="1"/>
        <v>0</v>
      </c>
      <c r="K68" s="9">
        <f t="shared" si="2"/>
        <v>0</v>
      </c>
      <c r="L68" s="9">
        <f t="shared" si="3"/>
        <v>0</v>
      </c>
      <c r="M68" s="9">
        <f t="shared" si="4"/>
        <v>0</v>
      </c>
      <c r="N68" s="9">
        <f t="shared" si="5"/>
        <v>0</v>
      </c>
      <c r="O68" s="9">
        <f t="shared" si="6"/>
        <v>0</v>
      </c>
    </row>
    <row r="69" spans="1:15" x14ac:dyDescent="0.25">
      <c r="A69" s="9">
        <f>IF(OR(Calculos!$B$7=0,65&gt;Calculos!$B$7),"",INT((65-1)/Calculos!$B$6)+1)</f>
        <v>13</v>
      </c>
      <c r="B69" s="10">
        <f>IF(A69="","",Inicio!$E$5+(A69-1)*Inicio!$B$6)</f>
        <v>46166</v>
      </c>
      <c r="C69" s="11" t="e">
        <f>IF(A69="","",INDEX(Calculos!$B$11:$B$28,IF(A69&gt;Calculos!$B$4,IF(MOD(IF(A69&lt;=Calculos!$B$4,A69,A69-Calculos!$B$4)+MOD(65-1,Calculos!$B$6)+1,2)=0,INDEX(Calculos!$B$36:$S$52,IF(A69&lt;=Calculos!$B$4,A69,A69-Calculos!$B$4),MOD(65-1,Calculos!$B$6)+1),INDEX(Calculos!$B$36:$S$52,IF(A69&lt;=Calculos!$B$4,A69,A69-Calculos!$B$4),Calculos!$B$2+1-MOD(65-1,Calculos!$B$6)+1)),IF(MOD(IF(A69&lt;=Calculos!$B$4,A69,A69-Calculos!$B$4)+MOD(65-1,Calculos!$B$6)+1,2)=0,INDEX(Calculos!$B$36:$S$52,IF(A69&lt;=Calculos!$B$4,A69,A69-Calculos!$B$4),Calculos!$B$2+1-MOD(65-1,Calculos!$B$6)+1),INDEX(Calculos!$B$36:$S$52,IF(A69&lt;=Calculos!$B$4,A69,A69-Calculos!$B$4),MOD(65-1,Calculos!$B$6)+1)))))</f>
        <v>#VALUE!</v>
      </c>
      <c r="D69" s="4"/>
      <c r="E69" s="4"/>
      <c r="F69" s="11" t="e">
        <f>IF(A69="","",INDEX(Calculos!$B$11:$B$28,IF(A69&gt;Calculos!$B$4,IF(MOD(IF(A69&lt;=Calculos!$B$4,A69,A69-Calculos!$B$4)+MOD(65-1,Calculos!$B$6)+1,2)=0,INDEX(Calculos!$B$36:$S$52,IF(A69&lt;=Calculos!$B$4,A69,A69-Calculos!$B$4),Calculos!$B$2+1-MOD(65-1,Calculos!$B$6)+1),INDEX(Calculos!$B$36:$S$52,IF(A69&lt;=Calculos!$B$4,A69,A69-Calculos!$B$4),MOD(65-1,Calculos!$B$6)+1)),IF(MOD(IF(A69&lt;=Calculos!$B$4,A69,A69-Calculos!$B$4)+MOD(65-1,Calculos!$B$6)+1,2)=0,INDEX(Calculos!$B$36:$S$52,IF(A69&lt;=Calculos!$B$4,A69,A69-Calculos!$B$4),MOD(65-1,Calculos!$B$6)+1),INDEX(Calculos!$B$36:$S$52,IF(A69&lt;=Calculos!$B$4,A69,A69-Calculos!$B$4),Calculos!$B$2+1-MOD(65-1,Calculos!$B$6)+1)))))</f>
        <v>#VALUE!</v>
      </c>
      <c r="G69" s="9" t="str">
        <f t="shared" ref="G69:G132" si="7">IF(A69="","",IF(AND(ISNUMBER(D69),ISNUMBER(E69)),"Jugado","Pendiente"))</f>
        <v>Pendiente</v>
      </c>
      <c r="H69" s="9" t="e">
        <f>IF(OR(C69="",F69=""),"",IF(AND(ISNUMBER(D69),ISNUMBER(E69)),IF(D69&gt;E69,Inicio!$E$6,IF(D69=E69,Inicio!$F$6,Inicio!$G$6)),""))</f>
        <v>#VALUE!</v>
      </c>
      <c r="I69" s="9" t="e">
        <f>IF(OR(C69="",F69=""),"",IF(AND(ISNUMBER(D69),ISNUMBER(E69)),IF(D69&lt;E69,Inicio!$E$6,IF(D69=E69,Inicio!$F$6,Inicio!$G$6)),""))</f>
        <v>#VALUE!</v>
      </c>
      <c r="J69" s="9">
        <f t="shared" ref="J69:J132" si="8">IF(AND(ISNUMBER(D69),ISNUMBER(E69),D69&gt;E69),1,0)</f>
        <v>0</v>
      </c>
      <c r="K69" s="9">
        <f t="shared" ref="K69:K132" si="9">IF(AND(ISNUMBER(D69),ISNUMBER(E69),D69=E69),1,0)</f>
        <v>0</v>
      </c>
      <c r="L69" s="9">
        <f t="shared" ref="L69:L132" si="10">IF(AND(ISNUMBER(D69),ISNUMBER(E69),D69&lt;E69),1,0)</f>
        <v>0</v>
      </c>
      <c r="M69" s="9">
        <f t="shared" ref="M69:M132" si="11">IF(AND(ISNUMBER(D69),ISNUMBER(E69),D69&lt;E69),1,0)</f>
        <v>0</v>
      </c>
      <c r="N69" s="9">
        <f t="shared" ref="N69:N132" si="12">IF(AND(ISNUMBER(D69),ISNUMBER(E69),D69=E69),1,0)</f>
        <v>0</v>
      </c>
      <c r="O69" s="9">
        <f t="shared" ref="O69:O132" si="13">IF(AND(ISNUMBER(D69),ISNUMBER(E69),D69&gt;E69),1,0)</f>
        <v>0</v>
      </c>
    </row>
    <row r="70" spans="1:15" x14ac:dyDescent="0.25">
      <c r="A70" s="9">
        <f>IF(OR(Calculos!$B$7=0,66&gt;Calculos!$B$7),"",INT((66-1)/Calculos!$B$6)+1)</f>
        <v>14</v>
      </c>
      <c r="B70" s="10">
        <f>IF(A70="","",Inicio!$E$5+(A70-1)*Inicio!$B$6)</f>
        <v>46173</v>
      </c>
      <c r="C70" s="11" t="e">
        <f>IF(A70="","",INDEX(Calculos!$B$11:$B$28,IF(A70&gt;Calculos!$B$4,IF(MOD(IF(A70&lt;=Calculos!$B$4,A70,A70-Calculos!$B$4)+MOD(66-1,Calculos!$B$6)+1,2)=0,INDEX(Calculos!$B$36:$S$52,IF(A70&lt;=Calculos!$B$4,A70,A70-Calculos!$B$4),MOD(66-1,Calculos!$B$6)+1),INDEX(Calculos!$B$36:$S$52,IF(A70&lt;=Calculos!$B$4,A70,A70-Calculos!$B$4),Calculos!$B$2+1-MOD(66-1,Calculos!$B$6)+1)),IF(MOD(IF(A70&lt;=Calculos!$B$4,A70,A70-Calculos!$B$4)+MOD(66-1,Calculos!$B$6)+1,2)=0,INDEX(Calculos!$B$36:$S$52,IF(A70&lt;=Calculos!$B$4,A70,A70-Calculos!$B$4),Calculos!$B$2+1-MOD(66-1,Calculos!$B$6)+1),INDEX(Calculos!$B$36:$S$52,IF(A70&lt;=Calculos!$B$4,A70,A70-Calculos!$B$4),MOD(66-1,Calculos!$B$6)+1)))))</f>
        <v>#VALUE!</v>
      </c>
      <c r="D70" s="4"/>
      <c r="E70" s="4"/>
      <c r="F70" s="11" t="e">
        <f>IF(A70="","",INDEX(Calculos!$B$11:$B$28,IF(A70&gt;Calculos!$B$4,IF(MOD(IF(A70&lt;=Calculos!$B$4,A70,A70-Calculos!$B$4)+MOD(66-1,Calculos!$B$6)+1,2)=0,INDEX(Calculos!$B$36:$S$52,IF(A70&lt;=Calculos!$B$4,A70,A70-Calculos!$B$4),Calculos!$B$2+1-MOD(66-1,Calculos!$B$6)+1),INDEX(Calculos!$B$36:$S$52,IF(A70&lt;=Calculos!$B$4,A70,A70-Calculos!$B$4),MOD(66-1,Calculos!$B$6)+1)),IF(MOD(IF(A70&lt;=Calculos!$B$4,A70,A70-Calculos!$B$4)+MOD(66-1,Calculos!$B$6)+1,2)=0,INDEX(Calculos!$B$36:$S$52,IF(A70&lt;=Calculos!$B$4,A70,A70-Calculos!$B$4),MOD(66-1,Calculos!$B$6)+1),INDEX(Calculos!$B$36:$S$52,IF(A70&lt;=Calculos!$B$4,A70,A70-Calculos!$B$4),Calculos!$B$2+1-MOD(66-1,Calculos!$B$6)+1)))))</f>
        <v>#VALUE!</v>
      </c>
      <c r="G70" s="9" t="str">
        <f t="shared" si="7"/>
        <v>Pendiente</v>
      </c>
      <c r="H70" s="9" t="e">
        <f>IF(OR(C70="",F70=""),"",IF(AND(ISNUMBER(D70),ISNUMBER(E70)),IF(D70&gt;E70,Inicio!$E$6,IF(D70=E70,Inicio!$F$6,Inicio!$G$6)),""))</f>
        <v>#VALUE!</v>
      </c>
      <c r="I70" s="9" t="e">
        <f>IF(OR(C70="",F70=""),"",IF(AND(ISNUMBER(D70),ISNUMBER(E70)),IF(D70&lt;E70,Inicio!$E$6,IF(D70=E70,Inicio!$F$6,Inicio!$G$6)),""))</f>
        <v>#VALUE!</v>
      </c>
      <c r="J70" s="9">
        <f t="shared" si="8"/>
        <v>0</v>
      </c>
      <c r="K70" s="9">
        <f t="shared" si="9"/>
        <v>0</v>
      </c>
      <c r="L70" s="9">
        <f t="shared" si="10"/>
        <v>0</v>
      </c>
      <c r="M70" s="9">
        <f t="shared" si="11"/>
        <v>0</v>
      </c>
      <c r="N70" s="9">
        <f t="shared" si="12"/>
        <v>0</v>
      </c>
      <c r="O70" s="9">
        <f t="shared" si="13"/>
        <v>0</v>
      </c>
    </row>
    <row r="71" spans="1:15" x14ac:dyDescent="0.25">
      <c r="A71" s="9">
        <f>IF(OR(Calculos!$B$7=0,67&gt;Calculos!$B$7),"",INT((67-1)/Calculos!$B$6)+1)</f>
        <v>14</v>
      </c>
      <c r="B71" s="10">
        <f>IF(A71="","",Inicio!$E$5+(A71-1)*Inicio!$B$6)</f>
        <v>46173</v>
      </c>
      <c r="C71" s="11" t="e">
        <f>IF(A71="","",INDEX(Calculos!$B$11:$B$28,IF(A71&gt;Calculos!$B$4,IF(MOD(IF(A71&lt;=Calculos!$B$4,A71,A71-Calculos!$B$4)+MOD(67-1,Calculos!$B$6)+1,2)=0,INDEX(Calculos!$B$36:$S$52,IF(A71&lt;=Calculos!$B$4,A71,A71-Calculos!$B$4),MOD(67-1,Calculos!$B$6)+1),INDEX(Calculos!$B$36:$S$52,IF(A71&lt;=Calculos!$B$4,A71,A71-Calculos!$B$4),Calculos!$B$2+1-MOD(67-1,Calculos!$B$6)+1)),IF(MOD(IF(A71&lt;=Calculos!$B$4,A71,A71-Calculos!$B$4)+MOD(67-1,Calculos!$B$6)+1,2)=0,INDEX(Calculos!$B$36:$S$52,IF(A71&lt;=Calculos!$B$4,A71,A71-Calculos!$B$4),Calculos!$B$2+1-MOD(67-1,Calculos!$B$6)+1),INDEX(Calculos!$B$36:$S$52,IF(A71&lt;=Calculos!$B$4,A71,A71-Calculos!$B$4),MOD(67-1,Calculos!$B$6)+1)))))</f>
        <v>#VALUE!</v>
      </c>
      <c r="D71" s="4"/>
      <c r="E71" s="4"/>
      <c r="F71" s="11" t="e">
        <f>IF(A71="","",INDEX(Calculos!$B$11:$B$28,IF(A71&gt;Calculos!$B$4,IF(MOD(IF(A71&lt;=Calculos!$B$4,A71,A71-Calculos!$B$4)+MOD(67-1,Calculos!$B$6)+1,2)=0,INDEX(Calculos!$B$36:$S$52,IF(A71&lt;=Calculos!$B$4,A71,A71-Calculos!$B$4),Calculos!$B$2+1-MOD(67-1,Calculos!$B$6)+1),INDEX(Calculos!$B$36:$S$52,IF(A71&lt;=Calculos!$B$4,A71,A71-Calculos!$B$4),MOD(67-1,Calculos!$B$6)+1)),IF(MOD(IF(A71&lt;=Calculos!$B$4,A71,A71-Calculos!$B$4)+MOD(67-1,Calculos!$B$6)+1,2)=0,INDEX(Calculos!$B$36:$S$52,IF(A71&lt;=Calculos!$B$4,A71,A71-Calculos!$B$4),MOD(67-1,Calculos!$B$6)+1),INDEX(Calculos!$B$36:$S$52,IF(A71&lt;=Calculos!$B$4,A71,A71-Calculos!$B$4),Calculos!$B$2+1-MOD(67-1,Calculos!$B$6)+1)))))</f>
        <v>#VALUE!</v>
      </c>
      <c r="G71" s="9" t="str">
        <f t="shared" si="7"/>
        <v>Pendiente</v>
      </c>
      <c r="H71" s="9" t="e">
        <f>IF(OR(C71="",F71=""),"",IF(AND(ISNUMBER(D71),ISNUMBER(E71)),IF(D71&gt;E71,Inicio!$E$6,IF(D71=E71,Inicio!$F$6,Inicio!$G$6)),""))</f>
        <v>#VALUE!</v>
      </c>
      <c r="I71" s="9" t="e">
        <f>IF(OR(C71="",F71=""),"",IF(AND(ISNUMBER(D71),ISNUMBER(E71)),IF(D71&lt;E71,Inicio!$E$6,IF(D71=E71,Inicio!$F$6,Inicio!$G$6)),""))</f>
        <v>#VALUE!</v>
      </c>
      <c r="J71" s="9">
        <f t="shared" si="8"/>
        <v>0</v>
      </c>
      <c r="K71" s="9">
        <f t="shared" si="9"/>
        <v>0</v>
      </c>
      <c r="L71" s="9">
        <f t="shared" si="10"/>
        <v>0</v>
      </c>
      <c r="M71" s="9">
        <f t="shared" si="11"/>
        <v>0</v>
      </c>
      <c r="N71" s="9">
        <f t="shared" si="12"/>
        <v>0</v>
      </c>
      <c r="O71" s="9">
        <f t="shared" si="13"/>
        <v>0</v>
      </c>
    </row>
    <row r="72" spans="1:15" x14ac:dyDescent="0.25">
      <c r="A72" s="9">
        <f>IF(OR(Calculos!$B$7=0,68&gt;Calculos!$B$7),"",INT((68-1)/Calculos!$B$6)+1)</f>
        <v>14</v>
      </c>
      <c r="B72" s="10">
        <f>IF(A72="","",Inicio!$E$5+(A72-1)*Inicio!$B$6)</f>
        <v>46173</v>
      </c>
      <c r="C72" s="11" t="e">
        <f>IF(A72="","",INDEX(Calculos!$B$11:$B$28,IF(A72&gt;Calculos!$B$4,IF(MOD(IF(A72&lt;=Calculos!$B$4,A72,A72-Calculos!$B$4)+MOD(68-1,Calculos!$B$6)+1,2)=0,INDEX(Calculos!$B$36:$S$52,IF(A72&lt;=Calculos!$B$4,A72,A72-Calculos!$B$4),MOD(68-1,Calculos!$B$6)+1),INDEX(Calculos!$B$36:$S$52,IF(A72&lt;=Calculos!$B$4,A72,A72-Calculos!$B$4),Calculos!$B$2+1-MOD(68-1,Calculos!$B$6)+1)),IF(MOD(IF(A72&lt;=Calculos!$B$4,A72,A72-Calculos!$B$4)+MOD(68-1,Calculos!$B$6)+1,2)=0,INDEX(Calculos!$B$36:$S$52,IF(A72&lt;=Calculos!$B$4,A72,A72-Calculos!$B$4),Calculos!$B$2+1-MOD(68-1,Calculos!$B$6)+1),INDEX(Calculos!$B$36:$S$52,IF(A72&lt;=Calculos!$B$4,A72,A72-Calculos!$B$4),MOD(68-1,Calculos!$B$6)+1)))))</f>
        <v>#VALUE!</v>
      </c>
      <c r="D72" s="4"/>
      <c r="E72" s="4"/>
      <c r="F72" s="11" t="e">
        <f>IF(A72="","",INDEX(Calculos!$B$11:$B$28,IF(A72&gt;Calculos!$B$4,IF(MOD(IF(A72&lt;=Calculos!$B$4,A72,A72-Calculos!$B$4)+MOD(68-1,Calculos!$B$6)+1,2)=0,INDEX(Calculos!$B$36:$S$52,IF(A72&lt;=Calculos!$B$4,A72,A72-Calculos!$B$4),Calculos!$B$2+1-MOD(68-1,Calculos!$B$6)+1),INDEX(Calculos!$B$36:$S$52,IF(A72&lt;=Calculos!$B$4,A72,A72-Calculos!$B$4),MOD(68-1,Calculos!$B$6)+1)),IF(MOD(IF(A72&lt;=Calculos!$B$4,A72,A72-Calculos!$B$4)+MOD(68-1,Calculos!$B$6)+1,2)=0,INDEX(Calculos!$B$36:$S$52,IF(A72&lt;=Calculos!$B$4,A72,A72-Calculos!$B$4),MOD(68-1,Calculos!$B$6)+1),INDEX(Calculos!$B$36:$S$52,IF(A72&lt;=Calculos!$B$4,A72,A72-Calculos!$B$4),Calculos!$B$2+1-MOD(68-1,Calculos!$B$6)+1)))))</f>
        <v>#VALUE!</v>
      </c>
      <c r="G72" s="9" t="str">
        <f t="shared" si="7"/>
        <v>Pendiente</v>
      </c>
      <c r="H72" s="9" t="e">
        <f>IF(OR(C72="",F72=""),"",IF(AND(ISNUMBER(D72),ISNUMBER(E72)),IF(D72&gt;E72,Inicio!$E$6,IF(D72=E72,Inicio!$F$6,Inicio!$G$6)),""))</f>
        <v>#VALUE!</v>
      </c>
      <c r="I72" s="9" t="e">
        <f>IF(OR(C72="",F72=""),"",IF(AND(ISNUMBER(D72),ISNUMBER(E72)),IF(D72&lt;E72,Inicio!$E$6,IF(D72=E72,Inicio!$F$6,Inicio!$G$6)),""))</f>
        <v>#VALUE!</v>
      </c>
      <c r="J72" s="9">
        <f t="shared" si="8"/>
        <v>0</v>
      </c>
      <c r="K72" s="9">
        <f t="shared" si="9"/>
        <v>0</v>
      </c>
      <c r="L72" s="9">
        <f t="shared" si="10"/>
        <v>0</v>
      </c>
      <c r="M72" s="9">
        <f t="shared" si="11"/>
        <v>0</v>
      </c>
      <c r="N72" s="9">
        <f t="shared" si="12"/>
        <v>0</v>
      </c>
      <c r="O72" s="9">
        <f t="shared" si="13"/>
        <v>0</v>
      </c>
    </row>
    <row r="73" spans="1:15" x14ac:dyDescent="0.25">
      <c r="A73" s="9">
        <f>IF(OR(Calculos!$B$7=0,69&gt;Calculos!$B$7),"",INT((69-1)/Calculos!$B$6)+1)</f>
        <v>14</v>
      </c>
      <c r="B73" s="10">
        <f>IF(A73="","",Inicio!$E$5+(A73-1)*Inicio!$B$6)</f>
        <v>46173</v>
      </c>
      <c r="C73" s="11" t="e">
        <f>IF(A73="","",INDEX(Calculos!$B$11:$B$28,IF(A73&gt;Calculos!$B$4,IF(MOD(IF(A73&lt;=Calculos!$B$4,A73,A73-Calculos!$B$4)+MOD(69-1,Calculos!$B$6)+1,2)=0,INDEX(Calculos!$B$36:$S$52,IF(A73&lt;=Calculos!$B$4,A73,A73-Calculos!$B$4),MOD(69-1,Calculos!$B$6)+1),INDEX(Calculos!$B$36:$S$52,IF(A73&lt;=Calculos!$B$4,A73,A73-Calculos!$B$4),Calculos!$B$2+1-MOD(69-1,Calculos!$B$6)+1)),IF(MOD(IF(A73&lt;=Calculos!$B$4,A73,A73-Calculos!$B$4)+MOD(69-1,Calculos!$B$6)+1,2)=0,INDEX(Calculos!$B$36:$S$52,IF(A73&lt;=Calculos!$B$4,A73,A73-Calculos!$B$4),Calculos!$B$2+1-MOD(69-1,Calculos!$B$6)+1),INDEX(Calculos!$B$36:$S$52,IF(A73&lt;=Calculos!$B$4,A73,A73-Calculos!$B$4),MOD(69-1,Calculos!$B$6)+1)))))</f>
        <v>#VALUE!</v>
      </c>
      <c r="D73" s="4"/>
      <c r="E73" s="4"/>
      <c r="F73" s="11" t="e">
        <f>IF(A73="","",INDEX(Calculos!$B$11:$B$28,IF(A73&gt;Calculos!$B$4,IF(MOD(IF(A73&lt;=Calculos!$B$4,A73,A73-Calculos!$B$4)+MOD(69-1,Calculos!$B$6)+1,2)=0,INDEX(Calculos!$B$36:$S$52,IF(A73&lt;=Calculos!$B$4,A73,A73-Calculos!$B$4),Calculos!$B$2+1-MOD(69-1,Calculos!$B$6)+1),INDEX(Calculos!$B$36:$S$52,IF(A73&lt;=Calculos!$B$4,A73,A73-Calculos!$B$4),MOD(69-1,Calculos!$B$6)+1)),IF(MOD(IF(A73&lt;=Calculos!$B$4,A73,A73-Calculos!$B$4)+MOD(69-1,Calculos!$B$6)+1,2)=0,INDEX(Calculos!$B$36:$S$52,IF(A73&lt;=Calculos!$B$4,A73,A73-Calculos!$B$4),MOD(69-1,Calculos!$B$6)+1),INDEX(Calculos!$B$36:$S$52,IF(A73&lt;=Calculos!$B$4,A73,A73-Calculos!$B$4),Calculos!$B$2+1-MOD(69-1,Calculos!$B$6)+1)))))</f>
        <v>#VALUE!</v>
      </c>
      <c r="G73" s="9" t="str">
        <f t="shared" si="7"/>
        <v>Pendiente</v>
      </c>
      <c r="H73" s="9" t="e">
        <f>IF(OR(C73="",F73=""),"",IF(AND(ISNUMBER(D73),ISNUMBER(E73)),IF(D73&gt;E73,Inicio!$E$6,IF(D73=E73,Inicio!$F$6,Inicio!$G$6)),""))</f>
        <v>#VALUE!</v>
      </c>
      <c r="I73" s="9" t="e">
        <f>IF(OR(C73="",F73=""),"",IF(AND(ISNUMBER(D73),ISNUMBER(E73)),IF(D73&lt;E73,Inicio!$E$6,IF(D73=E73,Inicio!$F$6,Inicio!$G$6)),""))</f>
        <v>#VALUE!</v>
      </c>
      <c r="J73" s="9">
        <f t="shared" si="8"/>
        <v>0</v>
      </c>
      <c r="K73" s="9">
        <f t="shared" si="9"/>
        <v>0</v>
      </c>
      <c r="L73" s="9">
        <f t="shared" si="10"/>
        <v>0</v>
      </c>
      <c r="M73" s="9">
        <f t="shared" si="11"/>
        <v>0</v>
      </c>
      <c r="N73" s="9">
        <f t="shared" si="12"/>
        <v>0</v>
      </c>
      <c r="O73" s="9">
        <f t="shared" si="13"/>
        <v>0</v>
      </c>
    </row>
    <row r="74" spans="1:15" x14ac:dyDescent="0.25">
      <c r="A74" s="9">
        <f>IF(OR(Calculos!$B$7=0,70&gt;Calculos!$B$7),"",INT((70-1)/Calculos!$B$6)+1)</f>
        <v>14</v>
      </c>
      <c r="B74" s="10">
        <f>IF(A74="","",Inicio!$E$5+(A74-1)*Inicio!$B$6)</f>
        <v>46173</v>
      </c>
      <c r="C74" s="11" t="e">
        <f>IF(A74="","",INDEX(Calculos!$B$11:$B$28,IF(A74&gt;Calculos!$B$4,IF(MOD(IF(A74&lt;=Calculos!$B$4,A74,A74-Calculos!$B$4)+MOD(70-1,Calculos!$B$6)+1,2)=0,INDEX(Calculos!$B$36:$S$52,IF(A74&lt;=Calculos!$B$4,A74,A74-Calculos!$B$4),MOD(70-1,Calculos!$B$6)+1),INDEX(Calculos!$B$36:$S$52,IF(A74&lt;=Calculos!$B$4,A74,A74-Calculos!$B$4),Calculos!$B$2+1-MOD(70-1,Calculos!$B$6)+1)),IF(MOD(IF(A74&lt;=Calculos!$B$4,A74,A74-Calculos!$B$4)+MOD(70-1,Calculos!$B$6)+1,2)=0,INDEX(Calculos!$B$36:$S$52,IF(A74&lt;=Calculos!$B$4,A74,A74-Calculos!$B$4),Calculos!$B$2+1-MOD(70-1,Calculos!$B$6)+1),INDEX(Calculos!$B$36:$S$52,IF(A74&lt;=Calculos!$B$4,A74,A74-Calculos!$B$4),MOD(70-1,Calculos!$B$6)+1)))))</f>
        <v>#VALUE!</v>
      </c>
      <c r="D74" s="4"/>
      <c r="E74" s="4"/>
      <c r="F74" s="11" t="e">
        <f>IF(A74="","",INDEX(Calculos!$B$11:$B$28,IF(A74&gt;Calculos!$B$4,IF(MOD(IF(A74&lt;=Calculos!$B$4,A74,A74-Calculos!$B$4)+MOD(70-1,Calculos!$B$6)+1,2)=0,INDEX(Calculos!$B$36:$S$52,IF(A74&lt;=Calculos!$B$4,A74,A74-Calculos!$B$4),Calculos!$B$2+1-MOD(70-1,Calculos!$B$6)+1),INDEX(Calculos!$B$36:$S$52,IF(A74&lt;=Calculos!$B$4,A74,A74-Calculos!$B$4),MOD(70-1,Calculos!$B$6)+1)),IF(MOD(IF(A74&lt;=Calculos!$B$4,A74,A74-Calculos!$B$4)+MOD(70-1,Calculos!$B$6)+1,2)=0,INDEX(Calculos!$B$36:$S$52,IF(A74&lt;=Calculos!$B$4,A74,A74-Calculos!$B$4),MOD(70-1,Calculos!$B$6)+1),INDEX(Calculos!$B$36:$S$52,IF(A74&lt;=Calculos!$B$4,A74,A74-Calculos!$B$4),Calculos!$B$2+1-MOD(70-1,Calculos!$B$6)+1)))))</f>
        <v>#VALUE!</v>
      </c>
      <c r="G74" s="9" t="str">
        <f t="shared" si="7"/>
        <v>Pendiente</v>
      </c>
      <c r="H74" s="9" t="e">
        <f>IF(OR(C74="",F74=""),"",IF(AND(ISNUMBER(D74),ISNUMBER(E74)),IF(D74&gt;E74,Inicio!$E$6,IF(D74=E74,Inicio!$F$6,Inicio!$G$6)),""))</f>
        <v>#VALUE!</v>
      </c>
      <c r="I74" s="9" t="e">
        <f>IF(OR(C74="",F74=""),"",IF(AND(ISNUMBER(D74),ISNUMBER(E74)),IF(D74&lt;E74,Inicio!$E$6,IF(D74=E74,Inicio!$F$6,Inicio!$G$6)),""))</f>
        <v>#VALUE!</v>
      </c>
      <c r="J74" s="9">
        <f t="shared" si="8"/>
        <v>0</v>
      </c>
      <c r="K74" s="9">
        <f t="shared" si="9"/>
        <v>0</v>
      </c>
      <c r="L74" s="9">
        <f t="shared" si="10"/>
        <v>0</v>
      </c>
      <c r="M74" s="9">
        <f t="shared" si="11"/>
        <v>0</v>
      </c>
      <c r="N74" s="9">
        <f t="shared" si="12"/>
        <v>0</v>
      </c>
      <c r="O74" s="9">
        <f t="shared" si="13"/>
        <v>0</v>
      </c>
    </row>
    <row r="75" spans="1:15" x14ac:dyDescent="0.25">
      <c r="A75" s="9">
        <f>IF(OR(Calculos!$B$7=0,71&gt;Calculos!$B$7),"",INT((71-1)/Calculos!$B$6)+1)</f>
        <v>15</v>
      </c>
      <c r="B75" s="10">
        <f>IF(A75="","",Inicio!$E$5+(A75-1)*Inicio!$B$6)</f>
        <v>46180</v>
      </c>
      <c r="C75" s="11" t="e">
        <f>IF(A75="","",INDEX(Calculos!$B$11:$B$28,IF(A75&gt;Calculos!$B$4,IF(MOD(IF(A75&lt;=Calculos!$B$4,A75,A75-Calculos!$B$4)+MOD(71-1,Calculos!$B$6)+1,2)=0,INDEX(Calculos!$B$36:$S$52,IF(A75&lt;=Calculos!$B$4,A75,A75-Calculos!$B$4),MOD(71-1,Calculos!$B$6)+1),INDEX(Calculos!$B$36:$S$52,IF(A75&lt;=Calculos!$B$4,A75,A75-Calculos!$B$4),Calculos!$B$2+1-MOD(71-1,Calculos!$B$6)+1)),IF(MOD(IF(A75&lt;=Calculos!$B$4,A75,A75-Calculos!$B$4)+MOD(71-1,Calculos!$B$6)+1,2)=0,INDEX(Calculos!$B$36:$S$52,IF(A75&lt;=Calculos!$B$4,A75,A75-Calculos!$B$4),Calculos!$B$2+1-MOD(71-1,Calculos!$B$6)+1),INDEX(Calculos!$B$36:$S$52,IF(A75&lt;=Calculos!$B$4,A75,A75-Calculos!$B$4),MOD(71-1,Calculos!$B$6)+1)))))</f>
        <v>#VALUE!</v>
      </c>
      <c r="D75" s="4"/>
      <c r="E75" s="4"/>
      <c r="F75" s="11" t="e">
        <f>IF(A75="","",INDEX(Calculos!$B$11:$B$28,IF(A75&gt;Calculos!$B$4,IF(MOD(IF(A75&lt;=Calculos!$B$4,A75,A75-Calculos!$B$4)+MOD(71-1,Calculos!$B$6)+1,2)=0,INDEX(Calculos!$B$36:$S$52,IF(A75&lt;=Calculos!$B$4,A75,A75-Calculos!$B$4),Calculos!$B$2+1-MOD(71-1,Calculos!$B$6)+1),INDEX(Calculos!$B$36:$S$52,IF(A75&lt;=Calculos!$B$4,A75,A75-Calculos!$B$4),MOD(71-1,Calculos!$B$6)+1)),IF(MOD(IF(A75&lt;=Calculos!$B$4,A75,A75-Calculos!$B$4)+MOD(71-1,Calculos!$B$6)+1,2)=0,INDEX(Calculos!$B$36:$S$52,IF(A75&lt;=Calculos!$B$4,A75,A75-Calculos!$B$4),MOD(71-1,Calculos!$B$6)+1),INDEX(Calculos!$B$36:$S$52,IF(A75&lt;=Calculos!$B$4,A75,A75-Calculos!$B$4),Calculos!$B$2+1-MOD(71-1,Calculos!$B$6)+1)))))</f>
        <v>#VALUE!</v>
      </c>
      <c r="G75" s="9" t="str">
        <f t="shared" si="7"/>
        <v>Pendiente</v>
      </c>
      <c r="H75" s="9" t="e">
        <f>IF(OR(C75="",F75=""),"",IF(AND(ISNUMBER(D75),ISNUMBER(E75)),IF(D75&gt;E75,Inicio!$E$6,IF(D75=E75,Inicio!$F$6,Inicio!$G$6)),""))</f>
        <v>#VALUE!</v>
      </c>
      <c r="I75" s="9" t="e">
        <f>IF(OR(C75="",F75=""),"",IF(AND(ISNUMBER(D75),ISNUMBER(E75)),IF(D75&lt;E75,Inicio!$E$6,IF(D75=E75,Inicio!$F$6,Inicio!$G$6)),""))</f>
        <v>#VALUE!</v>
      </c>
      <c r="J75" s="9">
        <f t="shared" si="8"/>
        <v>0</v>
      </c>
      <c r="K75" s="9">
        <f t="shared" si="9"/>
        <v>0</v>
      </c>
      <c r="L75" s="9">
        <f t="shared" si="10"/>
        <v>0</v>
      </c>
      <c r="M75" s="9">
        <f t="shared" si="11"/>
        <v>0</v>
      </c>
      <c r="N75" s="9">
        <f t="shared" si="12"/>
        <v>0</v>
      </c>
      <c r="O75" s="9">
        <f t="shared" si="13"/>
        <v>0</v>
      </c>
    </row>
    <row r="76" spans="1:15" x14ac:dyDescent="0.25">
      <c r="A76" s="9">
        <f>IF(OR(Calculos!$B$7=0,72&gt;Calculos!$B$7),"",INT((72-1)/Calculos!$B$6)+1)</f>
        <v>15</v>
      </c>
      <c r="B76" s="10">
        <f>IF(A76="","",Inicio!$E$5+(A76-1)*Inicio!$B$6)</f>
        <v>46180</v>
      </c>
      <c r="C76" s="11" t="e">
        <f>IF(A76="","",INDEX(Calculos!$B$11:$B$28,IF(A76&gt;Calculos!$B$4,IF(MOD(IF(A76&lt;=Calculos!$B$4,A76,A76-Calculos!$B$4)+MOD(72-1,Calculos!$B$6)+1,2)=0,INDEX(Calculos!$B$36:$S$52,IF(A76&lt;=Calculos!$B$4,A76,A76-Calculos!$B$4),MOD(72-1,Calculos!$B$6)+1),INDEX(Calculos!$B$36:$S$52,IF(A76&lt;=Calculos!$B$4,A76,A76-Calculos!$B$4),Calculos!$B$2+1-MOD(72-1,Calculos!$B$6)+1)),IF(MOD(IF(A76&lt;=Calculos!$B$4,A76,A76-Calculos!$B$4)+MOD(72-1,Calculos!$B$6)+1,2)=0,INDEX(Calculos!$B$36:$S$52,IF(A76&lt;=Calculos!$B$4,A76,A76-Calculos!$B$4),Calculos!$B$2+1-MOD(72-1,Calculos!$B$6)+1),INDEX(Calculos!$B$36:$S$52,IF(A76&lt;=Calculos!$B$4,A76,A76-Calculos!$B$4),MOD(72-1,Calculos!$B$6)+1)))))</f>
        <v>#VALUE!</v>
      </c>
      <c r="D76" s="4"/>
      <c r="E76" s="4"/>
      <c r="F76" s="11" t="e">
        <f>IF(A76="","",INDEX(Calculos!$B$11:$B$28,IF(A76&gt;Calculos!$B$4,IF(MOD(IF(A76&lt;=Calculos!$B$4,A76,A76-Calculos!$B$4)+MOD(72-1,Calculos!$B$6)+1,2)=0,INDEX(Calculos!$B$36:$S$52,IF(A76&lt;=Calculos!$B$4,A76,A76-Calculos!$B$4),Calculos!$B$2+1-MOD(72-1,Calculos!$B$6)+1),INDEX(Calculos!$B$36:$S$52,IF(A76&lt;=Calculos!$B$4,A76,A76-Calculos!$B$4),MOD(72-1,Calculos!$B$6)+1)),IF(MOD(IF(A76&lt;=Calculos!$B$4,A76,A76-Calculos!$B$4)+MOD(72-1,Calculos!$B$6)+1,2)=0,INDEX(Calculos!$B$36:$S$52,IF(A76&lt;=Calculos!$B$4,A76,A76-Calculos!$B$4),MOD(72-1,Calculos!$B$6)+1),INDEX(Calculos!$B$36:$S$52,IF(A76&lt;=Calculos!$B$4,A76,A76-Calculos!$B$4),Calculos!$B$2+1-MOD(72-1,Calculos!$B$6)+1)))))</f>
        <v>#VALUE!</v>
      </c>
      <c r="G76" s="9" t="str">
        <f t="shared" si="7"/>
        <v>Pendiente</v>
      </c>
      <c r="H76" s="9" t="e">
        <f>IF(OR(C76="",F76=""),"",IF(AND(ISNUMBER(D76),ISNUMBER(E76)),IF(D76&gt;E76,Inicio!$E$6,IF(D76=E76,Inicio!$F$6,Inicio!$G$6)),""))</f>
        <v>#VALUE!</v>
      </c>
      <c r="I76" s="9" t="e">
        <f>IF(OR(C76="",F76=""),"",IF(AND(ISNUMBER(D76),ISNUMBER(E76)),IF(D76&lt;E76,Inicio!$E$6,IF(D76=E76,Inicio!$F$6,Inicio!$G$6)),""))</f>
        <v>#VALUE!</v>
      </c>
      <c r="J76" s="9">
        <f t="shared" si="8"/>
        <v>0</v>
      </c>
      <c r="K76" s="9">
        <f t="shared" si="9"/>
        <v>0</v>
      </c>
      <c r="L76" s="9">
        <f t="shared" si="10"/>
        <v>0</v>
      </c>
      <c r="M76" s="9">
        <f t="shared" si="11"/>
        <v>0</v>
      </c>
      <c r="N76" s="9">
        <f t="shared" si="12"/>
        <v>0</v>
      </c>
      <c r="O76" s="9">
        <f t="shared" si="13"/>
        <v>0</v>
      </c>
    </row>
    <row r="77" spans="1:15" x14ac:dyDescent="0.25">
      <c r="A77" s="9">
        <f>IF(OR(Calculos!$B$7=0,73&gt;Calculos!$B$7),"",INT((73-1)/Calculos!$B$6)+1)</f>
        <v>15</v>
      </c>
      <c r="B77" s="10">
        <f>IF(A77="","",Inicio!$E$5+(A77-1)*Inicio!$B$6)</f>
        <v>46180</v>
      </c>
      <c r="C77" s="11" t="e">
        <f>IF(A77="","",INDEX(Calculos!$B$11:$B$28,IF(A77&gt;Calculos!$B$4,IF(MOD(IF(A77&lt;=Calculos!$B$4,A77,A77-Calculos!$B$4)+MOD(73-1,Calculos!$B$6)+1,2)=0,INDEX(Calculos!$B$36:$S$52,IF(A77&lt;=Calculos!$B$4,A77,A77-Calculos!$B$4),MOD(73-1,Calculos!$B$6)+1),INDEX(Calculos!$B$36:$S$52,IF(A77&lt;=Calculos!$B$4,A77,A77-Calculos!$B$4),Calculos!$B$2+1-MOD(73-1,Calculos!$B$6)+1)),IF(MOD(IF(A77&lt;=Calculos!$B$4,A77,A77-Calculos!$B$4)+MOD(73-1,Calculos!$B$6)+1,2)=0,INDEX(Calculos!$B$36:$S$52,IF(A77&lt;=Calculos!$B$4,A77,A77-Calculos!$B$4),Calculos!$B$2+1-MOD(73-1,Calculos!$B$6)+1),INDEX(Calculos!$B$36:$S$52,IF(A77&lt;=Calculos!$B$4,A77,A77-Calculos!$B$4),MOD(73-1,Calculos!$B$6)+1)))))</f>
        <v>#VALUE!</v>
      </c>
      <c r="D77" s="4"/>
      <c r="E77" s="4"/>
      <c r="F77" s="11" t="e">
        <f>IF(A77="","",INDEX(Calculos!$B$11:$B$28,IF(A77&gt;Calculos!$B$4,IF(MOD(IF(A77&lt;=Calculos!$B$4,A77,A77-Calculos!$B$4)+MOD(73-1,Calculos!$B$6)+1,2)=0,INDEX(Calculos!$B$36:$S$52,IF(A77&lt;=Calculos!$B$4,A77,A77-Calculos!$B$4),Calculos!$B$2+1-MOD(73-1,Calculos!$B$6)+1),INDEX(Calculos!$B$36:$S$52,IF(A77&lt;=Calculos!$B$4,A77,A77-Calculos!$B$4),MOD(73-1,Calculos!$B$6)+1)),IF(MOD(IF(A77&lt;=Calculos!$B$4,A77,A77-Calculos!$B$4)+MOD(73-1,Calculos!$B$6)+1,2)=0,INDEX(Calculos!$B$36:$S$52,IF(A77&lt;=Calculos!$B$4,A77,A77-Calculos!$B$4),MOD(73-1,Calculos!$B$6)+1),INDEX(Calculos!$B$36:$S$52,IF(A77&lt;=Calculos!$B$4,A77,A77-Calculos!$B$4),Calculos!$B$2+1-MOD(73-1,Calculos!$B$6)+1)))))</f>
        <v>#VALUE!</v>
      </c>
      <c r="G77" s="9" t="str">
        <f t="shared" si="7"/>
        <v>Pendiente</v>
      </c>
      <c r="H77" s="9" t="e">
        <f>IF(OR(C77="",F77=""),"",IF(AND(ISNUMBER(D77),ISNUMBER(E77)),IF(D77&gt;E77,Inicio!$E$6,IF(D77=E77,Inicio!$F$6,Inicio!$G$6)),""))</f>
        <v>#VALUE!</v>
      </c>
      <c r="I77" s="9" t="e">
        <f>IF(OR(C77="",F77=""),"",IF(AND(ISNUMBER(D77),ISNUMBER(E77)),IF(D77&lt;E77,Inicio!$E$6,IF(D77=E77,Inicio!$F$6,Inicio!$G$6)),""))</f>
        <v>#VALUE!</v>
      </c>
      <c r="J77" s="9">
        <f t="shared" si="8"/>
        <v>0</v>
      </c>
      <c r="K77" s="9">
        <f t="shared" si="9"/>
        <v>0</v>
      </c>
      <c r="L77" s="9">
        <f t="shared" si="10"/>
        <v>0</v>
      </c>
      <c r="M77" s="9">
        <f t="shared" si="11"/>
        <v>0</v>
      </c>
      <c r="N77" s="9">
        <f t="shared" si="12"/>
        <v>0</v>
      </c>
      <c r="O77" s="9">
        <f t="shared" si="13"/>
        <v>0</v>
      </c>
    </row>
    <row r="78" spans="1:15" x14ac:dyDescent="0.25">
      <c r="A78" s="9">
        <f>IF(OR(Calculos!$B$7=0,74&gt;Calculos!$B$7),"",INT((74-1)/Calculos!$B$6)+1)</f>
        <v>15</v>
      </c>
      <c r="B78" s="10">
        <f>IF(A78="","",Inicio!$E$5+(A78-1)*Inicio!$B$6)</f>
        <v>46180</v>
      </c>
      <c r="C78" s="11" t="e">
        <f>IF(A78="","",INDEX(Calculos!$B$11:$B$28,IF(A78&gt;Calculos!$B$4,IF(MOD(IF(A78&lt;=Calculos!$B$4,A78,A78-Calculos!$B$4)+MOD(74-1,Calculos!$B$6)+1,2)=0,INDEX(Calculos!$B$36:$S$52,IF(A78&lt;=Calculos!$B$4,A78,A78-Calculos!$B$4),MOD(74-1,Calculos!$B$6)+1),INDEX(Calculos!$B$36:$S$52,IF(A78&lt;=Calculos!$B$4,A78,A78-Calculos!$B$4),Calculos!$B$2+1-MOD(74-1,Calculos!$B$6)+1)),IF(MOD(IF(A78&lt;=Calculos!$B$4,A78,A78-Calculos!$B$4)+MOD(74-1,Calculos!$B$6)+1,2)=0,INDEX(Calculos!$B$36:$S$52,IF(A78&lt;=Calculos!$B$4,A78,A78-Calculos!$B$4),Calculos!$B$2+1-MOD(74-1,Calculos!$B$6)+1),INDEX(Calculos!$B$36:$S$52,IF(A78&lt;=Calculos!$B$4,A78,A78-Calculos!$B$4),MOD(74-1,Calculos!$B$6)+1)))))</f>
        <v>#VALUE!</v>
      </c>
      <c r="D78" s="4"/>
      <c r="E78" s="4"/>
      <c r="F78" s="11" t="e">
        <f>IF(A78="","",INDEX(Calculos!$B$11:$B$28,IF(A78&gt;Calculos!$B$4,IF(MOD(IF(A78&lt;=Calculos!$B$4,A78,A78-Calculos!$B$4)+MOD(74-1,Calculos!$B$6)+1,2)=0,INDEX(Calculos!$B$36:$S$52,IF(A78&lt;=Calculos!$B$4,A78,A78-Calculos!$B$4),Calculos!$B$2+1-MOD(74-1,Calculos!$B$6)+1),INDEX(Calculos!$B$36:$S$52,IF(A78&lt;=Calculos!$B$4,A78,A78-Calculos!$B$4),MOD(74-1,Calculos!$B$6)+1)),IF(MOD(IF(A78&lt;=Calculos!$B$4,A78,A78-Calculos!$B$4)+MOD(74-1,Calculos!$B$6)+1,2)=0,INDEX(Calculos!$B$36:$S$52,IF(A78&lt;=Calculos!$B$4,A78,A78-Calculos!$B$4),MOD(74-1,Calculos!$B$6)+1),INDEX(Calculos!$B$36:$S$52,IF(A78&lt;=Calculos!$B$4,A78,A78-Calculos!$B$4),Calculos!$B$2+1-MOD(74-1,Calculos!$B$6)+1)))))</f>
        <v>#VALUE!</v>
      </c>
      <c r="G78" s="9" t="str">
        <f t="shared" si="7"/>
        <v>Pendiente</v>
      </c>
      <c r="H78" s="9" t="e">
        <f>IF(OR(C78="",F78=""),"",IF(AND(ISNUMBER(D78),ISNUMBER(E78)),IF(D78&gt;E78,Inicio!$E$6,IF(D78=E78,Inicio!$F$6,Inicio!$G$6)),""))</f>
        <v>#VALUE!</v>
      </c>
      <c r="I78" s="9" t="e">
        <f>IF(OR(C78="",F78=""),"",IF(AND(ISNUMBER(D78),ISNUMBER(E78)),IF(D78&lt;E78,Inicio!$E$6,IF(D78=E78,Inicio!$F$6,Inicio!$G$6)),""))</f>
        <v>#VALUE!</v>
      </c>
      <c r="J78" s="9">
        <f t="shared" si="8"/>
        <v>0</v>
      </c>
      <c r="K78" s="9">
        <f t="shared" si="9"/>
        <v>0</v>
      </c>
      <c r="L78" s="9">
        <f t="shared" si="10"/>
        <v>0</v>
      </c>
      <c r="M78" s="9">
        <f t="shared" si="11"/>
        <v>0</v>
      </c>
      <c r="N78" s="9">
        <f t="shared" si="12"/>
        <v>0</v>
      </c>
      <c r="O78" s="9">
        <f t="shared" si="13"/>
        <v>0</v>
      </c>
    </row>
    <row r="79" spans="1:15" x14ac:dyDescent="0.25">
      <c r="A79" s="9">
        <f>IF(OR(Calculos!$B$7=0,75&gt;Calculos!$B$7),"",INT((75-1)/Calculos!$B$6)+1)</f>
        <v>15</v>
      </c>
      <c r="B79" s="10">
        <f>IF(A79="","",Inicio!$E$5+(A79-1)*Inicio!$B$6)</f>
        <v>46180</v>
      </c>
      <c r="C79" s="11" t="e">
        <f>IF(A79="","",INDEX(Calculos!$B$11:$B$28,IF(A79&gt;Calculos!$B$4,IF(MOD(IF(A79&lt;=Calculos!$B$4,A79,A79-Calculos!$B$4)+MOD(75-1,Calculos!$B$6)+1,2)=0,INDEX(Calculos!$B$36:$S$52,IF(A79&lt;=Calculos!$B$4,A79,A79-Calculos!$B$4),MOD(75-1,Calculos!$B$6)+1),INDEX(Calculos!$B$36:$S$52,IF(A79&lt;=Calculos!$B$4,A79,A79-Calculos!$B$4),Calculos!$B$2+1-MOD(75-1,Calculos!$B$6)+1)),IF(MOD(IF(A79&lt;=Calculos!$B$4,A79,A79-Calculos!$B$4)+MOD(75-1,Calculos!$B$6)+1,2)=0,INDEX(Calculos!$B$36:$S$52,IF(A79&lt;=Calculos!$B$4,A79,A79-Calculos!$B$4),Calculos!$B$2+1-MOD(75-1,Calculos!$B$6)+1),INDEX(Calculos!$B$36:$S$52,IF(A79&lt;=Calculos!$B$4,A79,A79-Calculos!$B$4),MOD(75-1,Calculos!$B$6)+1)))))</f>
        <v>#VALUE!</v>
      </c>
      <c r="D79" s="4"/>
      <c r="E79" s="4"/>
      <c r="F79" s="11" t="e">
        <f>IF(A79="","",INDEX(Calculos!$B$11:$B$28,IF(A79&gt;Calculos!$B$4,IF(MOD(IF(A79&lt;=Calculos!$B$4,A79,A79-Calculos!$B$4)+MOD(75-1,Calculos!$B$6)+1,2)=0,INDEX(Calculos!$B$36:$S$52,IF(A79&lt;=Calculos!$B$4,A79,A79-Calculos!$B$4),Calculos!$B$2+1-MOD(75-1,Calculos!$B$6)+1),INDEX(Calculos!$B$36:$S$52,IF(A79&lt;=Calculos!$B$4,A79,A79-Calculos!$B$4),MOD(75-1,Calculos!$B$6)+1)),IF(MOD(IF(A79&lt;=Calculos!$B$4,A79,A79-Calculos!$B$4)+MOD(75-1,Calculos!$B$6)+1,2)=0,INDEX(Calculos!$B$36:$S$52,IF(A79&lt;=Calculos!$B$4,A79,A79-Calculos!$B$4),MOD(75-1,Calculos!$B$6)+1),INDEX(Calculos!$B$36:$S$52,IF(A79&lt;=Calculos!$B$4,A79,A79-Calculos!$B$4),Calculos!$B$2+1-MOD(75-1,Calculos!$B$6)+1)))))</f>
        <v>#VALUE!</v>
      </c>
      <c r="G79" s="9" t="str">
        <f t="shared" si="7"/>
        <v>Pendiente</v>
      </c>
      <c r="H79" s="9" t="e">
        <f>IF(OR(C79="",F79=""),"",IF(AND(ISNUMBER(D79),ISNUMBER(E79)),IF(D79&gt;E79,Inicio!$E$6,IF(D79=E79,Inicio!$F$6,Inicio!$G$6)),""))</f>
        <v>#VALUE!</v>
      </c>
      <c r="I79" s="9" t="e">
        <f>IF(OR(C79="",F79=""),"",IF(AND(ISNUMBER(D79),ISNUMBER(E79)),IF(D79&lt;E79,Inicio!$E$6,IF(D79=E79,Inicio!$F$6,Inicio!$G$6)),""))</f>
        <v>#VALUE!</v>
      </c>
      <c r="J79" s="9">
        <f t="shared" si="8"/>
        <v>0</v>
      </c>
      <c r="K79" s="9">
        <f t="shared" si="9"/>
        <v>0</v>
      </c>
      <c r="L79" s="9">
        <f t="shared" si="10"/>
        <v>0</v>
      </c>
      <c r="M79" s="9">
        <f t="shared" si="11"/>
        <v>0</v>
      </c>
      <c r="N79" s="9">
        <f t="shared" si="12"/>
        <v>0</v>
      </c>
      <c r="O79" s="9">
        <f t="shared" si="13"/>
        <v>0</v>
      </c>
    </row>
    <row r="80" spans="1:15" x14ac:dyDescent="0.25">
      <c r="A80" s="9">
        <f>IF(OR(Calculos!$B$7=0,76&gt;Calculos!$B$7),"",INT((76-1)/Calculos!$B$6)+1)</f>
        <v>16</v>
      </c>
      <c r="B80" s="10">
        <f>IF(A80="","",Inicio!$E$5+(A80-1)*Inicio!$B$6)</f>
        <v>46187</v>
      </c>
      <c r="C80" s="11" t="e">
        <f>IF(A80="","",INDEX(Calculos!$B$11:$B$28,IF(A80&gt;Calculos!$B$4,IF(MOD(IF(A80&lt;=Calculos!$B$4,A80,A80-Calculos!$B$4)+MOD(76-1,Calculos!$B$6)+1,2)=0,INDEX(Calculos!$B$36:$S$52,IF(A80&lt;=Calculos!$B$4,A80,A80-Calculos!$B$4),MOD(76-1,Calculos!$B$6)+1),INDEX(Calculos!$B$36:$S$52,IF(A80&lt;=Calculos!$B$4,A80,A80-Calculos!$B$4),Calculos!$B$2+1-MOD(76-1,Calculos!$B$6)+1)),IF(MOD(IF(A80&lt;=Calculos!$B$4,A80,A80-Calculos!$B$4)+MOD(76-1,Calculos!$B$6)+1,2)=0,INDEX(Calculos!$B$36:$S$52,IF(A80&lt;=Calculos!$B$4,A80,A80-Calculos!$B$4),Calculos!$B$2+1-MOD(76-1,Calculos!$B$6)+1),INDEX(Calculos!$B$36:$S$52,IF(A80&lt;=Calculos!$B$4,A80,A80-Calculos!$B$4),MOD(76-1,Calculos!$B$6)+1)))))</f>
        <v>#VALUE!</v>
      </c>
      <c r="D80" s="4"/>
      <c r="E80" s="4"/>
      <c r="F80" s="11" t="e">
        <f>IF(A80="","",INDEX(Calculos!$B$11:$B$28,IF(A80&gt;Calculos!$B$4,IF(MOD(IF(A80&lt;=Calculos!$B$4,A80,A80-Calculos!$B$4)+MOD(76-1,Calculos!$B$6)+1,2)=0,INDEX(Calculos!$B$36:$S$52,IF(A80&lt;=Calculos!$B$4,A80,A80-Calculos!$B$4),Calculos!$B$2+1-MOD(76-1,Calculos!$B$6)+1),INDEX(Calculos!$B$36:$S$52,IF(A80&lt;=Calculos!$B$4,A80,A80-Calculos!$B$4),MOD(76-1,Calculos!$B$6)+1)),IF(MOD(IF(A80&lt;=Calculos!$B$4,A80,A80-Calculos!$B$4)+MOD(76-1,Calculos!$B$6)+1,2)=0,INDEX(Calculos!$B$36:$S$52,IF(A80&lt;=Calculos!$B$4,A80,A80-Calculos!$B$4),MOD(76-1,Calculos!$B$6)+1),INDEX(Calculos!$B$36:$S$52,IF(A80&lt;=Calculos!$B$4,A80,A80-Calculos!$B$4),Calculos!$B$2+1-MOD(76-1,Calculos!$B$6)+1)))))</f>
        <v>#VALUE!</v>
      </c>
      <c r="G80" s="9" t="str">
        <f t="shared" si="7"/>
        <v>Pendiente</v>
      </c>
      <c r="H80" s="9" t="e">
        <f>IF(OR(C80="",F80=""),"",IF(AND(ISNUMBER(D80),ISNUMBER(E80)),IF(D80&gt;E80,Inicio!$E$6,IF(D80=E80,Inicio!$F$6,Inicio!$G$6)),""))</f>
        <v>#VALUE!</v>
      </c>
      <c r="I80" s="9" t="e">
        <f>IF(OR(C80="",F80=""),"",IF(AND(ISNUMBER(D80),ISNUMBER(E80)),IF(D80&lt;E80,Inicio!$E$6,IF(D80=E80,Inicio!$F$6,Inicio!$G$6)),""))</f>
        <v>#VALUE!</v>
      </c>
      <c r="J80" s="9">
        <f t="shared" si="8"/>
        <v>0</v>
      </c>
      <c r="K80" s="9">
        <f t="shared" si="9"/>
        <v>0</v>
      </c>
      <c r="L80" s="9">
        <f t="shared" si="10"/>
        <v>0</v>
      </c>
      <c r="M80" s="9">
        <f t="shared" si="11"/>
        <v>0</v>
      </c>
      <c r="N80" s="9">
        <f t="shared" si="12"/>
        <v>0</v>
      </c>
      <c r="O80" s="9">
        <f t="shared" si="13"/>
        <v>0</v>
      </c>
    </row>
    <row r="81" spans="1:15" x14ac:dyDescent="0.25">
      <c r="A81" s="9">
        <f>IF(OR(Calculos!$B$7=0,77&gt;Calculos!$B$7),"",INT((77-1)/Calculos!$B$6)+1)</f>
        <v>16</v>
      </c>
      <c r="B81" s="10">
        <f>IF(A81="","",Inicio!$E$5+(A81-1)*Inicio!$B$6)</f>
        <v>46187</v>
      </c>
      <c r="C81" s="11" t="e">
        <f>IF(A81="","",INDEX(Calculos!$B$11:$B$28,IF(A81&gt;Calculos!$B$4,IF(MOD(IF(A81&lt;=Calculos!$B$4,A81,A81-Calculos!$B$4)+MOD(77-1,Calculos!$B$6)+1,2)=0,INDEX(Calculos!$B$36:$S$52,IF(A81&lt;=Calculos!$B$4,A81,A81-Calculos!$B$4),MOD(77-1,Calculos!$B$6)+1),INDEX(Calculos!$B$36:$S$52,IF(A81&lt;=Calculos!$B$4,A81,A81-Calculos!$B$4),Calculos!$B$2+1-MOD(77-1,Calculos!$B$6)+1)),IF(MOD(IF(A81&lt;=Calculos!$B$4,A81,A81-Calculos!$B$4)+MOD(77-1,Calculos!$B$6)+1,2)=0,INDEX(Calculos!$B$36:$S$52,IF(A81&lt;=Calculos!$B$4,A81,A81-Calculos!$B$4),Calculos!$B$2+1-MOD(77-1,Calculos!$B$6)+1),INDEX(Calculos!$B$36:$S$52,IF(A81&lt;=Calculos!$B$4,A81,A81-Calculos!$B$4),MOD(77-1,Calculos!$B$6)+1)))))</f>
        <v>#VALUE!</v>
      </c>
      <c r="D81" s="4"/>
      <c r="E81" s="4"/>
      <c r="F81" s="11" t="e">
        <f>IF(A81="","",INDEX(Calculos!$B$11:$B$28,IF(A81&gt;Calculos!$B$4,IF(MOD(IF(A81&lt;=Calculos!$B$4,A81,A81-Calculos!$B$4)+MOD(77-1,Calculos!$B$6)+1,2)=0,INDEX(Calculos!$B$36:$S$52,IF(A81&lt;=Calculos!$B$4,A81,A81-Calculos!$B$4),Calculos!$B$2+1-MOD(77-1,Calculos!$B$6)+1),INDEX(Calculos!$B$36:$S$52,IF(A81&lt;=Calculos!$B$4,A81,A81-Calculos!$B$4),MOD(77-1,Calculos!$B$6)+1)),IF(MOD(IF(A81&lt;=Calculos!$B$4,A81,A81-Calculos!$B$4)+MOD(77-1,Calculos!$B$6)+1,2)=0,INDEX(Calculos!$B$36:$S$52,IF(A81&lt;=Calculos!$B$4,A81,A81-Calculos!$B$4),MOD(77-1,Calculos!$B$6)+1),INDEX(Calculos!$B$36:$S$52,IF(A81&lt;=Calculos!$B$4,A81,A81-Calculos!$B$4),Calculos!$B$2+1-MOD(77-1,Calculos!$B$6)+1)))))</f>
        <v>#VALUE!</v>
      </c>
      <c r="G81" s="9" t="str">
        <f t="shared" si="7"/>
        <v>Pendiente</v>
      </c>
      <c r="H81" s="9" t="e">
        <f>IF(OR(C81="",F81=""),"",IF(AND(ISNUMBER(D81),ISNUMBER(E81)),IF(D81&gt;E81,Inicio!$E$6,IF(D81=E81,Inicio!$F$6,Inicio!$G$6)),""))</f>
        <v>#VALUE!</v>
      </c>
      <c r="I81" s="9" t="e">
        <f>IF(OR(C81="",F81=""),"",IF(AND(ISNUMBER(D81),ISNUMBER(E81)),IF(D81&lt;E81,Inicio!$E$6,IF(D81=E81,Inicio!$F$6,Inicio!$G$6)),""))</f>
        <v>#VALUE!</v>
      </c>
      <c r="J81" s="9">
        <f t="shared" si="8"/>
        <v>0</v>
      </c>
      <c r="K81" s="9">
        <f t="shared" si="9"/>
        <v>0</v>
      </c>
      <c r="L81" s="9">
        <f t="shared" si="10"/>
        <v>0</v>
      </c>
      <c r="M81" s="9">
        <f t="shared" si="11"/>
        <v>0</v>
      </c>
      <c r="N81" s="9">
        <f t="shared" si="12"/>
        <v>0</v>
      </c>
      <c r="O81" s="9">
        <f t="shared" si="13"/>
        <v>0</v>
      </c>
    </row>
    <row r="82" spans="1:15" x14ac:dyDescent="0.25">
      <c r="A82" s="9">
        <f>IF(OR(Calculos!$B$7=0,78&gt;Calculos!$B$7),"",INT((78-1)/Calculos!$B$6)+1)</f>
        <v>16</v>
      </c>
      <c r="B82" s="10">
        <f>IF(A82="","",Inicio!$E$5+(A82-1)*Inicio!$B$6)</f>
        <v>46187</v>
      </c>
      <c r="C82" s="11" t="e">
        <f>IF(A82="","",INDEX(Calculos!$B$11:$B$28,IF(A82&gt;Calculos!$B$4,IF(MOD(IF(A82&lt;=Calculos!$B$4,A82,A82-Calculos!$B$4)+MOD(78-1,Calculos!$B$6)+1,2)=0,INDEX(Calculos!$B$36:$S$52,IF(A82&lt;=Calculos!$B$4,A82,A82-Calculos!$B$4),MOD(78-1,Calculos!$B$6)+1),INDEX(Calculos!$B$36:$S$52,IF(A82&lt;=Calculos!$B$4,A82,A82-Calculos!$B$4),Calculos!$B$2+1-MOD(78-1,Calculos!$B$6)+1)),IF(MOD(IF(A82&lt;=Calculos!$B$4,A82,A82-Calculos!$B$4)+MOD(78-1,Calculos!$B$6)+1,2)=0,INDEX(Calculos!$B$36:$S$52,IF(A82&lt;=Calculos!$B$4,A82,A82-Calculos!$B$4),Calculos!$B$2+1-MOD(78-1,Calculos!$B$6)+1),INDEX(Calculos!$B$36:$S$52,IF(A82&lt;=Calculos!$B$4,A82,A82-Calculos!$B$4),MOD(78-1,Calculos!$B$6)+1)))))</f>
        <v>#VALUE!</v>
      </c>
      <c r="D82" s="4"/>
      <c r="E82" s="4"/>
      <c r="F82" s="11" t="e">
        <f>IF(A82="","",INDEX(Calculos!$B$11:$B$28,IF(A82&gt;Calculos!$B$4,IF(MOD(IF(A82&lt;=Calculos!$B$4,A82,A82-Calculos!$B$4)+MOD(78-1,Calculos!$B$6)+1,2)=0,INDEX(Calculos!$B$36:$S$52,IF(A82&lt;=Calculos!$B$4,A82,A82-Calculos!$B$4),Calculos!$B$2+1-MOD(78-1,Calculos!$B$6)+1),INDEX(Calculos!$B$36:$S$52,IF(A82&lt;=Calculos!$B$4,A82,A82-Calculos!$B$4),MOD(78-1,Calculos!$B$6)+1)),IF(MOD(IF(A82&lt;=Calculos!$B$4,A82,A82-Calculos!$B$4)+MOD(78-1,Calculos!$B$6)+1,2)=0,INDEX(Calculos!$B$36:$S$52,IF(A82&lt;=Calculos!$B$4,A82,A82-Calculos!$B$4),MOD(78-1,Calculos!$B$6)+1),INDEX(Calculos!$B$36:$S$52,IF(A82&lt;=Calculos!$B$4,A82,A82-Calculos!$B$4),Calculos!$B$2+1-MOD(78-1,Calculos!$B$6)+1)))))</f>
        <v>#VALUE!</v>
      </c>
      <c r="G82" s="9" t="str">
        <f t="shared" si="7"/>
        <v>Pendiente</v>
      </c>
      <c r="H82" s="9" t="e">
        <f>IF(OR(C82="",F82=""),"",IF(AND(ISNUMBER(D82),ISNUMBER(E82)),IF(D82&gt;E82,Inicio!$E$6,IF(D82=E82,Inicio!$F$6,Inicio!$G$6)),""))</f>
        <v>#VALUE!</v>
      </c>
      <c r="I82" s="9" t="e">
        <f>IF(OR(C82="",F82=""),"",IF(AND(ISNUMBER(D82),ISNUMBER(E82)),IF(D82&lt;E82,Inicio!$E$6,IF(D82=E82,Inicio!$F$6,Inicio!$G$6)),""))</f>
        <v>#VALUE!</v>
      </c>
      <c r="J82" s="9">
        <f t="shared" si="8"/>
        <v>0</v>
      </c>
      <c r="K82" s="9">
        <f t="shared" si="9"/>
        <v>0</v>
      </c>
      <c r="L82" s="9">
        <f t="shared" si="10"/>
        <v>0</v>
      </c>
      <c r="M82" s="9">
        <f t="shared" si="11"/>
        <v>0</v>
      </c>
      <c r="N82" s="9">
        <f t="shared" si="12"/>
        <v>0</v>
      </c>
      <c r="O82" s="9">
        <f t="shared" si="13"/>
        <v>0</v>
      </c>
    </row>
    <row r="83" spans="1:15" x14ac:dyDescent="0.25">
      <c r="A83" s="9">
        <f>IF(OR(Calculos!$B$7=0,79&gt;Calculos!$B$7),"",INT((79-1)/Calculos!$B$6)+1)</f>
        <v>16</v>
      </c>
      <c r="B83" s="10">
        <f>IF(A83="","",Inicio!$E$5+(A83-1)*Inicio!$B$6)</f>
        <v>46187</v>
      </c>
      <c r="C83" s="11" t="e">
        <f>IF(A83="","",INDEX(Calculos!$B$11:$B$28,IF(A83&gt;Calculos!$B$4,IF(MOD(IF(A83&lt;=Calculos!$B$4,A83,A83-Calculos!$B$4)+MOD(79-1,Calculos!$B$6)+1,2)=0,INDEX(Calculos!$B$36:$S$52,IF(A83&lt;=Calculos!$B$4,A83,A83-Calculos!$B$4),MOD(79-1,Calculos!$B$6)+1),INDEX(Calculos!$B$36:$S$52,IF(A83&lt;=Calculos!$B$4,A83,A83-Calculos!$B$4),Calculos!$B$2+1-MOD(79-1,Calculos!$B$6)+1)),IF(MOD(IF(A83&lt;=Calculos!$B$4,A83,A83-Calculos!$B$4)+MOD(79-1,Calculos!$B$6)+1,2)=0,INDEX(Calculos!$B$36:$S$52,IF(A83&lt;=Calculos!$B$4,A83,A83-Calculos!$B$4),Calculos!$B$2+1-MOD(79-1,Calculos!$B$6)+1),INDEX(Calculos!$B$36:$S$52,IF(A83&lt;=Calculos!$B$4,A83,A83-Calculos!$B$4),MOD(79-1,Calculos!$B$6)+1)))))</f>
        <v>#VALUE!</v>
      </c>
      <c r="D83" s="4"/>
      <c r="E83" s="4"/>
      <c r="F83" s="11" t="e">
        <f>IF(A83="","",INDEX(Calculos!$B$11:$B$28,IF(A83&gt;Calculos!$B$4,IF(MOD(IF(A83&lt;=Calculos!$B$4,A83,A83-Calculos!$B$4)+MOD(79-1,Calculos!$B$6)+1,2)=0,INDEX(Calculos!$B$36:$S$52,IF(A83&lt;=Calculos!$B$4,A83,A83-Calculos!$B$4),Calculos!$B$2+1-MOD(79-1,Calculos!$B$6)+1),INDEX(Calculos!$B$36:$S$52,IF(A83&lt;=Calculos!$B$4,A83,A83-Calculos!$B$4),MOD(79-1,Calculos!$B$6)+1)),IF(MOD(IF(A83&lt;=Calculos!$B$4,A83,A83-Calculos!$B$4)+MOD(79-1,Calculos!$B$6)+1,2)=0,INDEX(Calculos!$B$36:$S$52,IF(A83&lt;=Calculos!$B$4,A83,A83-Calculos!$B$4),MOD(79-1,Calculos!$B$6)+1),INDEX(Calculos!$B$36:$S$52,IF(A83&lt;=Calculos!$B$4,A83,A83-Calculos!$B$4),Calculos!$B$2+1-MOD(79-1,Calculos!$B$6)+1)))))</f>
        <v>#VALUE!</v>
      </c>
      <c r="G83" s="9" t="str">
        <f t="shared" si="7"/>
        <v>Pendiente</v>
      </c>
      <c r="H83" s="9" t="e">
        <f>IF(OR(C83="",F83=""),"",IF(AND(ISNUMBER(D83),ISNUMBER(E83)),IF(D83&gt;E83,Inicio!$E$6,IF(D83=E83,Inicio!$F$6,Inicio!$G$6)),""))</f>
        <v>#VALUE!</v>
      </c>
      <c r="I83" s="9" t="e">
        <f>IF(OR(C83="",F83=""),"",IF(AND(ISNUMBER(D83),ISNUMBER(E83)),IF(D83&lt;E83,Inicio!$E$6,IF(D83=E83,Inicio!$F$6,Inicio!$G$6)),""))</f>
        <v>#VALUE!</v>
      </c>
      <c r="J83" s="9">
        <f t="shared" si="8"/>
        <v>0</v>
      </c>
      <c r="K83" s="9">
        <f t="shared" si="9"/>
        <v>0</v>
      </c>
      <c r="L83" s="9">
        <f t="shared" si="10"/>
        <v>0</v>
      </c>
      <c r="M83" s="9">
        <f t="shared" si="11"/>
        <v>0</v>
      </c>
      <c r="N83" s="9">
        <f t="shared" si="12"/>
        <v>0</v>
      </c>
      <c r="O83" s="9">
        <f t="shared" si="13"/>
        <v>0</v>
      </c>
    </row>
    <row r="84" spans="1:15" x14ac:dyDescent="0.25">
      <c r="A84" s="9">
        <f>IF(OR(Calculos!$B$7=0,80&gt;Calculos!$B$7),"",INT((80-1)/Calculos!$B$6)+1)</f>
        <v>16</v>
      </c>
      <c r="B84" s="10">
        <f>IF(A84="","",Inicio!$E$5+(A84-1)*Inicio!$B$6)</f>
        <v>46187</v>
      </c>
      <c r="C84" s="11" t="e">
        <f>IF(A84="","",INDEX(Calculos!$B$11:$B$28,IF(A84&gt;Calculos!$B$4,IF(MOD(IF(A84&lt;=Calculos!$B$4,A84,A84-Calculos!$B$4)+MOD(80-1,Calculos!$B$6)+1,2)=0,INDEX(Calculos!$B$36:$S$52,IF(A84&lt;=Calculos!$B$4,A84,A84-Calculos!$B$4),MOD(80-1,Calculos!$B$6)+1),INDEX(Calculos!$B$36:$S$52,IF(A84&lt;=Calculos!$B$4,A84,A84-Calculos!$B$4),Calculos!$B$2+1-MOD(80-1,Calculos!$B$6)+1)),IF(MOD(IF(A84&lt;=Calculos!$B$4,A84,A84-Calculos!$B$4)+MOD(80-1,Calculos!$B$6)+1,2)=0,INDEX(Calculos!$B$36:$S$52,IF(A84&lt;=Calculos!$B$4,A84,A84-Calculos!$B$4),Calculos!$B$2+1-MOD(80-1,Calculos!$B$6)+1),INDEX(Calculos!$B$36:$S$52,IF(A84&lt;=Calculos!$B$4,A84,A84-Calculos!$B$4),MOD(80-1,Calculos!$B$6)+1)))))</f>
        <v>#VALUE!</v>
      </c>
      <c r="D84" s="4"/>
      <c r="E84" s="4"/>
      <c r="F84" s="11" t="e">
        <f>IF(A84="","",INDEX(Calculos!$B$11:$B$28,IF(A84&gt;Calculos!$B$4,IF(MOD(IF(A84&lt;=Calculos!$B$4,A84,A84-Calculos!$B$4)+MOD(80-1,Calculos!$B$6)+1,2)=0,INDEX(Calculos!$B$36:$S$52,IF(A84&lt;=Calculos!$B$4,A84,A84-Calculos!$B$4),Calculos!$B$2+1-MOD(80-1,Calculos!$B$6)+1),INDEX(Calculos!$B$36:$S$52,IF(A84&lt;=Calculos!$B$4,A84,A84-Calculos!$B$4),MOD(80-1,Calculos!$B$6)+1)),IF(MOD(IF(A84&lt;=Calculos!$B$4,A84,A84-Calculos!$B$4)+MOD(80-1,Calculos!$B$6)+1,2)=0,INDEX(Calculos!$B$36:$S$52,IF(A84&lt;=Calculos!$B$4,A84,A84-Calculos!$B$4),MOD(80-1,Calculos!$B$6)+1),INDEX(Calculos!$B$36:$S$52,IF(A84&lt;=Calculos!$B$4,A84,A84-Calculos!$B$4),Calculos!$B$2+1-MOD(80-1,Calculos!$B$6)+1)))))</f>
        <v>#VALUE!</v>
      </c>
      <c r="G84" s="9" t="str">
        <f t="shared" si="7"/>
        <v>Pendiente</v>
      </c>
      <c r="H84" s="9" t="e">
        <f>IF(OR(C84="",F84=""),"",IF(AND(ISNUMBER(D84),ISNUMBER(E84)),IF(D84&gt;E84,Inicio!$E$6,IF(D84=E84,Inicio!$F$6,Inicio!$G$6)),""))</f>
        <v>#VALUE!</v>
      </c>
      <c r="I84" s="9" t="e">
        <f>IF(OR(C84="",F84=""),"",IF(AND(ISNUMBER(D84),ISNUMBER(E84)),IF(D84&lt;E84,Inicio!$E$6,IF(D84=E84,Inicio!$F$6,Inicio!$G$6)),""))</f>
        <v>#VALUE!</v>
      </c>
      <c r="J84" s="9">
        <f t="shared" si="8"/>
        <v>0</v>
      </c>
      <c r="K84" s="9">
        <f t="shared" si="9"/>
        <v>0</v>
      </c>
      <c r="L84" s="9">
        <f t="shared" si="10"/>
        <v>0</v>
      </c>
      <c r="M84" s="9">
        <f t="shared" si="11"/>
        <v>0</v>
      </c>
      <c r="N84" s="9">
        <f t="shared" si="12"/>
        <v>0</v>
      </c>
      <c r="O84" s="9">
        <f t="shared" si="13"/>
        <v>0</v>
      </c>
    </row>
    <row r="85" spans="1:15" x14ac:dyDescent="0.25">
      <c r="A85" s="9">
        <f>IF(OR(Calculos!$B$7=0,81&gt;Calculos!$B$7),"",INT((81-1)/Calculos!$B$6)+1)</f>
        <v>17</v>
      </c>
      <c r="B85" s="10">
        <f>IF(A85="","",Inicio!$E$5+(A85-1)*Inicio!$B$6)</f>
        <v>46194</v>
      </c>
      <c r="C85" s="11" t="e">
        <f>IF(A85="","",INDEX(Calculos!$B$11:$B$28,IF(A85&gt;Calculos!$B$4,IF(MOD(IF(A85&lt;=Calculos!$B$4,A85,A85-Calculos!$B$4)+MOD(81-1,Calculos!$B$6)+1,2)=0,INDEX(Calculos!$B$36:$S$52,IF(A85&lt;=Calculos!$B$4,A85,A85-Calculos!$B$4),MOD(81-1,Calculos!$B$6)+1),INDEX(Calculos!$B$36:$S$52,IF(A85&lt;=Calculos!$B$4,A85,A85-Calculos!$B$4),Calculos!$B$2+1-MOD(81-1,Calculos!$B$6)+1)),IF(MOD(IF(A85&lt;=Calculos!$B$4,A85,A85-Calculos!$B$4)+MOD(81-1,Calculos!$B$6)+1,2)=0,INDEX(Calculos!$B$36:$S$52,IF(A85&lt;=Calculos!$B$4,A85,A85-Calculos!$B$4),Calculos!$B$2+1-MOD(81-1,Calculos!$B$6)+1),INDEX(Calculos!$B$36:$S$52,IF(A85&lt;=Calculos!$B$4,A85,A85-Calculos!$B$4),MOD(81-1,Calculos!$B$6)+1)))))</f>
        <v>#VALUE!</v>
      </c>
      <c r="D85" s="4"/>
      <c r="E85" s="4"/>
      <c r="F85" s="11" t="e">
        <f>IF(A85="","",INDEX(Calculos!$B$11:$B$28,IF(A85&gt;Calculos!$B$4,IF(MOD(IF(A85&lt;=Calculos!$B$4,A85,A85-Calculos!$B$4)+MOD(81-1,Calculos!$B$6)+1,2)=0,INDEX(Calculos!$B$36:$S$52,IF(A85&lt;=Calculos!$B$4,A85,A85-Calculos!$B$4),Calculos!$B$2+1-MOD(81-1,Calculos!$B$6)+1),INDEX(Calculos!$B$36:$S$52,IF(A85&lt;=Calculos!$B$4,A85,A85-Calculos!$B$4),MOD(81-1,Calculos!$B$6)+1)),IF(MOD(IF(A85&lt;=Calculos!$B$4,A85,A85-Calculos!$B$4)+MOD(81-1,Calculos!$B$6)+1,2)=0,INDEX(Calculos!$B$36:$S$52,IF(A85&lt;=Calculos!$B$4,A85,A85-Calculos!$B$4),MOD(81-1,Calculos!$B$6)+1),INDEX(Calculos!$B$36:$S$52,IF(A85&lt;=Calculos!$B$4,A85,A85-Calculos!$B$4),Calculos!$B$2+1-MOD(81-1,Calculos!$B$6)+1)))))</f>
        <v>#VALUE!</v>
      </c>
      <c r="G85" s="9" t="str">
        <f t="shared" si="7"/>
        <v>Pendiente</v>
      </c>
      <c r="H85" s="9" t="e">
        <f>IF(OR(C85="",F85=""),"",IF(AND(ISNUMBER(D85),ISNUMBER(E85)),IF(D85&gt;E85,Inicio!$E$6,IF(D85=E85,Inicio!$F$6,Inicio!$G$6)),""))</f>
        <v>#VALUE!</v>
      </c>
      <c r="I85" s="9" t="e">
        <f>IF(OR(C85="",F85=""),"",IF(AND(ISNUMBER(D85),ISNUMBER(E85)),IF(D85&lt;E85,Inicio!$E$6,IF(D85=E85,Inicio!$F$6,Inicio!$G$6)),""))</f>
        <v>#VALUE!</v>
      </c>
      <c r="J85" s="9">
        <f t="shared" si="8"/>
        <v>0</v>
      </c>
      <c r="K85" s="9">
        <f t="shared" si="9"/>
        <v>0</v>
      </c>
      <c r="L85" s="9">
        <f t="shared" si="10"/>
        <v>0</v>
      </c>
      <c r="M85" s="9">
        <f t="shared" si="11"/>
        <v>0</v>
      </c>
      <c r="N85" s="9">
        <f t="shared" si="12"/>
        <v>0</v>
      </c>
      <c r="O85" s="9">
        <f t="shared" si="13"/>
        <v>0</v>
      </c>
    </row>
    <row r="86" spans="1:15" x14ac:dyDescent="0.25">
      <c r="A86" s="9">
        <f>IF(OR(Calculos!$B$7=0,82&gt;Calculos!$B$7),"",INT((82-1)/Calculos!$B$6)+1)</f>
        <v>17</v>
      </c>
      <c r="B86" s="10">
        <f>IF(A86="","",Inicio!$E$5+(A86-1)*Inicio!$B$6)</f>
        <v>46194</v>
      </c>
      <c r="C86" s="11" t="e">
        <f>IF(A86="","",INDEX(Calculos!$B$11:$B$28,IF(A86&gt;Calculos!$B$4,IF(MOD(IF(A86&lt;=Calculos!$B$4,A86,A86-Calculos!$B$4)+MOD(82-1,Calculos!$B$6)+1,2)=0,INDEX(Calculos!$B$36:$S$52,IF(A86&lt;=Calculos!$B$4,A86,A86-Calculos!$B$4),MOD(82-1,Calculos!$B$6)+1),INDEX(Calculos!$B$36:$S$52,IF(A86&lt;=Calculos!$B$4,A86,A86-Calculos!$B$4),Calculos!$B$2+1-MOD(82-1,Calculos!$B$6)+1)),IF(MOD(IF(A86&lt;=Calculos!$B$4,A86,A86-Calculos!$B$4)+MOD(82-1,Calculos!$B$6)+1,2)=0,INDEX(Calculos!$B$36:$S$52,IF(A86&lt;=Calculos!$B$4,A86,A86-Calculos!$B$4),Calculos!$B$2+1-MOD(82-1,Calculos!$B$6)+1),INDEX(Calculos!$B$36:$S$52,IF(A86&lt;=Calculos!$B$4,A86,A86-Calculos!$B$4),MOD(82-1,Calculos!$B$6)+1)))))</f>
        <v>#VALUE!</v>
      </c>
      <c r="D86" s="4"/>
      <c r="E86" s="4"/>
      <c r="F86" s="11" t="e">
        <f>IF(A86="","",INDEX(Calculos!$B$11:$B$28,IF(A86&gt;Calculos!$B$4,IF(MOD(IF(A86&lt;=Calculos!$B$4,A86,A86-Calculos!$B$4)+MOD(82-1,Calculos!$B$6)+1,2)=0,INDEX(Calculos!$B$36:$S$52,IF(A86&lt;=Calculos!$B$4,A86,A86-Calculos!$B$4),Calculos!$B$2+1-MOD(82-1,Calculos!$B$6)+1),INDEX(Calculos!$B$36:$S$52,IF(A86&lt;=Calculos!$B$4,A86,A86-Calculos!$B$4),MOD(82-1,Calculos!$B$6)+1)),IF(MOD(IF(A86&lt;=Calculos!$B$4,A86,A86-Calculos!$B$4)+MOD(82-1,Calculos!$B$6)+1,2)=0,INDEX(Calculos!$B$36:$S$52,IF(A86&lt;=Calculos!$B$4,A86,A86-Calculos!$B$4),MOD(82-1,Calculos!$B$6)+1),INDEX(Calculos!$B$36:$S$52,IF(A86&lt;=Calculos!$B$4,A86,A86-Calculos!$B$4),Calculos!$B$2+1-MOD(82-1,Calculos!$B$6)+1)))))</f>
        <v>#VALUE!</v>
      </c>
      <c r="G86" s="9" t="str">
        <f t="shared" si="7"/>
        <v>Pendiente</v>
      </c>
      <c r="H86" s="9" t="e">
        <f>IF(OR(C86="",F86=""),"",IF(AND(ISNUMBER(D86),ISNUMBER(E86)),IF(D86&gt;E86,Inicio!$E$6,IF(D86=E86,Inicio!$F$6,Inicio!$G$6)),""))</f>
        <v>#VALUE!</v>
      </c>
      <c r="I86" s="9" t="e">
        <f>IF(OR(C86="",F86=""),"",IF(AND(ISNUMBER(D86),ISNUMBER(E86)),IF(D86&lt;E86,Inicio!$E$6,IF(D86=E86,Inicio!$F$6,Inicio!$G$6)),""))</f>
        <v>#VALUE!</v>
      </c>
      <c r="J86" s="9">
        <f t="shared" si="8"/>
        <v>0</v>
      </c>
      <c r="K86" s="9">
        <f t="shared" si="9"/>
        <v>0</v>
      </c>
      <c r="L86" s="9">
        <f t="shared" si="10"/>
        <v>0</v>
      </c>
      <c r="M86" s="9">
        <f t="shared" si="11"/>
        <v>0</v>
      </c>
      <c r="N86" s="9">
        <f t="shared" si="12"/>
        <v>0</v>
      </c>
      <c r="O86" s="9">
        <f t="shared" si="13"/>
        <v>0</v>
      </c>
    </row>
    <row r="87" spans="1:15" x14ac:dyDescent="0.25">
      <c r="A87" s="9">
        <f>IF(OR(Calculos!$B$7=0,83&gt;Calculos!$B$7),"",INT((83-1)/Calculos!$B$6)+1)</f>
        <v>17</v>
      </c>
      <c r="B87" s="10">
        <f>IF(A87="","",Inicio!$E$5+(A87-1)*Inicio!$B$6)</f>
        <v>46194</v>
      </c>
      <c r="C87" s="11" t="e">
        <f>IF(A87="","",INDEX(Calculos!$B$11:$B$28,IF(A87&gt;Calculos!$B$4,IF(MOD(IF(A87&lt;=Calculos!$B$4,A87,A87-Calculos!$B$4)+MOD(83-1,Calculos!$B$6)+1,2)=0,INDEX(Calculos!$B$36:$S$52,IF(A87&lt;=Calculos!$B$4,A87,A87-Calculos!$B$4),MOD(83-1,Calculos!$B$6)+1),INDEX(Calculos!$B$36:$S$52,IF(A87&lt;=Calculos!$B$4,A87,A87-Calculos!$B$4),Calculos!$B$2+1-MOD(83-1,Calculos!$B$6)+1)),IF(MOD(IF(A87&lt;=Calculos!$B$4,A87,A87-Calculos!$B$4)+MOD(83-1,Calculos!$B$6)+1,2)=0,INDEX(Calculos!$B$36:$S$52,IF(A87&lt;=Calculos!$B$4,A87,A87-Calculos!$B$4),Calculos!$B$2+1-MOD(83-1,Calculos!$B$6)+1),INDEX(Calculos!$B$36:$S$52,IF(A87&lt;=Calculos!$B$4,A87,A87-Calculos!$B$4),MOD(83-1,Calculos!$B$6)+1)))))</f>
        <v>#VALUE!</v>
      </c>
      <c r="D87" s="4"/>
      <c r="E87" s="4"/>
      <c r="F87" s="11" t="e">
        <f>IF(A87="","",INDEX(Calculos!$B$11:$B$28,IF(A87&gt;Calculos!$B$4,IF(MOD(IF(A87&lt;=Calculos!$B$4,A87,A87-Calculos!$B$4)+MOD(83-1,Calculos!$B$6)+1,2)=0,INDEX(Calculos!$B$36:$S$52,IF(A87&lt;=Calculos!$B$4,A87,A87-Calculos!$B$4),Calculos!$B$2+1-MOD(83-1,Calculos!$B$6)+1),INDEX(Calculos!$B$36:$S$52,IF(A87&lt;=Calculos!$B$4,A87,A87-Calculos!$B$4),MOD(83-1,Calculos!$B$6)+1)),IF(MOD(IF(A87&lt;=Calculos!$B$4,A87,A87-Calculos!$B$4)+MOD(83-1,Calculos!$B$6)+1,2)=0,INDEX(Calculos!$B$36:$S$52,IF(A87&lt;=Calculos!$B$4,A87,A87-Calculos!$B$4),MOD(83-1,Calculos!$B$6)+1),INDEX(Calculos!$B$36:$S$52,IF(A87&lt;=Calculos!$B$4,A87,A87-Calculos!$B$4),Calculos!$B$2+1-MOD(83-1,Calculos!$B$6)+1)))))</f>
        <v>#VALUE!</v>
      </c>
      <c r="G87" s="9" t="str">
        <f t="shared" si="7"/>
        <v>Pendiente</v>
      </c>
      <c r="H87" s="9" t="e">
        <f>IF(OR(C87="",F87=""),"",IF(AND(ISNUMBER(D87),ISNUMBER(E87)),IF(D87&gt;E87,Inicio!$E$6,IF(D87=E87,Inicio!$F$6,Inicio!$G$6)),""))</f>
        <v>#VALUE!</v>
      </c>
      <c r="I87" s="9" t="e">
        <f>IF(OR(C87="",F87=""),"",IF(AND(ISNUMBER(D87),ISNUMBER(E87)),IF(D87&lt;E87,Inicio!$E$6,IF(D87=E87,Inicio!$F$6,Inicio!$G$6)),""))</f>
        <v>#VALUE!</v>
      </c>
      <c r="J87" s="9">
        <f t="shared" si="8"/>
        <v>0</v>
      </c>
      <c r="K87" s="9">
        <f t="shared" si="9"/>
        <v>0</v>
      </c>
      <c r="L87" s="9">
        <f t="shared" si="10"/>
        <v>0</v>
      </c>
      <c r="M87" s="9">
        <f t="shared" si="11"/>
        <v>0</v>
      </c>
      <c r="N87" s="9">
        <f t="shared" si="12"/>
        <v>0</v>
      </c>
      <c r="O87" s="9">
        <f t="shared" si="13"/>
        <v>0</v>
      </c>
    </row>
    <row r="88" spans="1:15" x14ac:dyDescent="0.25">
      <c r="A88" s="9">
        <f>IF(OR(Calculos!$B$7=0,84&gt;Calculos!$B$7),"",INT((84-1)/Calculos!$B$6)+1)</f>
        <v>17</v>
      </c>
      <c r="B88" s="10">
        <f>IF(A88="","",Inicio!$E$5+(A88-1)*Inicio!$B$6)</f>
        <v>46194</v>
      </c>
      <c r="C88" s="11" t="e">
        <f>IF(A88="","",INDEX(Calculos!$B$11:$B$28,IF(A88&gt;Calculos!$B$4,IF(MOD(IF(A88&lt;=Calculos!$B$4,A88,A88-Calculos!$B$4)+MOD(84-1,Calculos!$B$6)+1,2)=0,INDEX(Calculos!$B$36:$S$52,IF(A88&lt;=Calculos!$B$4,A88,A88-Calculos!$B$4),MOD(84-1,Calculos!$B$6)+1),INDEX(Calculos!$B$36:$S$52,IF(A88&lt;=Calculos!$B$4,A88,A88-Calculos!$B$4),Calculos!$B$2+1-MOD(84-1,Calculos!$B$6)+1)),IF(MOD(IF(A88&lt;=Calculos!$B$4,A88,A88-Calculos!$B$4)+MOD(84-1,Calculos!$B$6)+1,2)=0,INDEX(Calculos!$B$36:$S$52,IF(A88&lt;=Calculos!$B$4,A88,A88-Calculos!$B$4),Calculos!$B$2+1-MOD(84-1,Calculos!$B$6)+1),INDEX(Calculos!$B$36:$S$52,IF(A88&lt;=Calculos!$B$4,A88,A88-Calculos!$B$4),MOD(84-1,Calculos!$B$6)+1)))))</f>
        <v>#VALUE!</v>
      </c>
      <c r="D88" s="4"/>
      <c r="E88" s="4"/>
      <c r="F88" s="11" t="e">
        <f>IF(A88="","",INDEX(Calculos!$B$11:$B$28,IF(A88&gt;Calculos!$B$4,IF(MOD(IF(A88&lt;=Calculos!$B$4,A88,A88-Calculos!$B$4)+MOD(84-1,Calculos!$B$6)+1,2)=0,INDEX(Calculos!$B$36:$S$52,IF(A88&lt;=Calculos!$B$4,A88,A88-Calculos!$B$4),Calculos!$B$2+1-MOD(84-1,Calculos!$B$6)+1),INDEX(Calculos!$B$36:$S$52,IF(A88&lt;=Calculos!$B$4,A88,A88-Calculos!$B$4),MOD(84-1,Calculos!$B$6)+1)),IF(MOD(IF(A88&lt;=Calculos!$B$4,A88,A88-Calculos!$B$4)+MOD(84-1,Calculos!$B$6)+1,2)=0,INDEX(Calculos!$B$36:$S$52,IF(A88&lt;=Calculos!$B$4,A88,A88-Calculos!$B$4),MOD(84-1,Calculos!$B$6)+1),INDEX(Calculos!$B$36:$S$52,IF(A88&lt;=Calculos!$B$4,A88,A88-Calculos!$B$4),Calculos!$B$2+1-MOD(84-1,Calculos!$B$6)+1)))))</f>
        <v>#VALUE!</v>
      </c>
      <c r="G88" s="9" t="str">
        <f t="shared" si="7"/>
        <v>Pendiente</v>
      </c>
      <c r="H88" s="9" t="e">
        <f>IF(OR(C88="",F88=""),"",IF(AND(ISNUMBER(D88),ISNUMBER(E88)),IF(D88&gt;E88,Inicio!$E$6,IF(D88=E88,Inicio!$F$6,Inicio!$G$6)),""))</f>
        <v>#VALUE!</v>
      </c>
      <c r="I88" s="9" t="e">
        <f>IF(OR(C88="",F88=""),"",IF(AND(ISNUMBER(D88),ISNUMBER(E88)),IF(D88&lt;E88,Inicio!$E$6,IF(D88=E88,Inicio!$F$6,Inicio!$G$6)),""))</f>
        <v>#VALUE!</v>
      </c>
      <c r="J88" s="9">
        <f t="shared" si="8"/>
        <v>0</v>
      </c>
      <c r="K88" s="9">
        <f t="shared" si="9"/>
        <v>0</v>
      </c>
      <c r="L88" s="9">
        <f t="shared" si="10"/>
        <v>0</v>
      </c>
      <c r="M88" s="9">
        <f t="shared" si="11"/>
        <v>0</v>
      </c>
      <c r="N88" s="9">
        <f t="shared" si="12"/>
        <v>0</v>
      </c>
      <c r="O88" s="9">
        <f t="shared" si="13"/>
        <v>0</v>
      </c>
    </row>
    <row r="89" spans="1:15" x14ac:dyDescent="0.25">
      <c r="A89" s="9">
        <f>IF(OR(Calculos!$B$7=0,85&gt;Calculos!$B$7),"",INT((85-1)/Calculos!$B$6)+1)</f>
        <v>17</v>
      </c>
      <c r="B89" s="10">
        <f>IF(A89="","",Inicio!$E$5+(A89-1)*Inicio!$B$6)</f>
        <v>46194</v>
      </c>
      <c r="C89" s="11" t="e">
        <f>IF(A89="","",INDEX(Calculos!$B$11:$B$28,IF(A89&gt;Calculos!$B$4,IF(MOD(IF(A89&lt;=Calculos!$B$4,A89,A89-Calculos!$B$4)+MOD(85-1,Calculos!$B$6)+1,2)=0,INDEX(Calculos!$B$36:$S$52,IF(A89&lt;=Calculos!$B$4,A89,A89-Calculos!$B$4),MOD(85-1,Calculos!$B$6)+1),INDEX(Calculos!$B$36:$S$52,IF(A89&lt;=Calculos!$B$4,A89,A89-Calculos!$B$4),Calculos!$B$2+1-MOD(85-1,Calculos!$B$6)+1)),IF(MOD(IF(A89&lt;=Calculos!$B$4,A89,A89-Calculos!$B$4)+MOD(85-1,Calculos!$B$6)+1,2)=0,INDEX(Calculos!$B$36:$S$52,IF(A89&lt;=Calculos!$B$4,A89,A89-Calculos!$B$4),Calculos!$B$2+1-MOD(85-1,Calculos!$B$6)+1),INDEX(Calculos!$B$36:$S$52,IF(A89&lt;=Calculos!$B$4,A89,A89-Calculos!$B$4),MOD(85-1,Calculos!$B$6)+1)))))</f>
        <v>#VALUE!</v>
      </c>
      <c r="D89" s="4"/>
      <c r="E89" s="4"/>
      <c r="F89" s="11" t="e">
        <f>IF(A89="","",INDEX(Calculos!$B$11:$B$28,IF(A89&gt;Calculos!$B$4,IF(MOD(IF(A89&lt;=Calculos!$B$4,A89,A89-Calculos!$B$4)+MOD(85-1,Calculos!$B$6)+1,2)=0,INDEX(Calculos!$B$36:$S$52,IF(A89&lt;=Calculos!$B$4,A89,A89-Calculos!$B$4),Calculos!$B$2+1-MOD(85-1,Calculos!$B$6)+1),INDEX(Calculos!$B$36:$S$52,IF(A89&lt;=Calculos!$B$4,A89,A89-Calculos!$B$4),MOD(85-1,Calculos!$B$6)+1)),IF(MOD(IF(A89&lt;=Calculos!$B$4,A89,A89-Calculos!$B$4)+MOD(85-1,Calculos!$B$6)+1,2)=0,INDEX(Calculos!$B$36:$S$52,IF(A89&lt;=Calculos!$B$4,A89,A89-Calculos!$B$4),MOD(85-1,Calculos!$B$6)+1),INDEX(Calculos!$B$36:$S$52,IF(A89&lt;=Calculos!$B$4,A89,A89-Calculos!$B$4),Calculos!$B$2+1-MOD(85-1,Calculos!$B$6)+1)))))</f>
        <v>#VALUE!</v>
      </c>
      <c r="G89" s="9" t="str">
        <f t="shared" si="7"/>
        <v>Pendiente</v>
      </c>
      <c r="H89" s="9" t="e">
        <f>IF(OR(C89="",F89=""),"",IF(AND(ISNUMBER(D89),ISNUMBER(E89)),IF(D89&gt;E89,Inicio!$E$6,IF(D89=E89,Inicio!$F$6,Inicio!$G$6)),""))</f>
        <v>#VALUE!</v>
      </c>
      <c r="I89" s="9" t="e">
        <f>IF(OR(C89="",F89=""),"",IF(AND(ISNUMBER(D89),ISNUMBER(E89)),IF(D89&lt;E89,Inicio!$E$6,IF(D89=E89,Inicio!$F$6,Inicio!$G$6)),""))</f>
        <v>#VALUE!</v>
      </c>
      <c r="J89" s="9">
        <f t="shared" si="8"/>
        <v>0</v>
      </c>
      <c r="K89" s="9">
        <f t="shared" si="9"/>
        <v>0</v>
      </c>
      <c r="L89" s="9">
        <f t="shared" si="10"/>
        <v>0</v>
      </c>
      <c r="M89" s="9">
        <f t="shared" si="11"/>
        <v>0</v>
      </c>
      <c r="N89" s="9">
        <f t="shared" si="12"/>
        <v>0</v>
      </c>
      <c r="O89" s="9">
        <f t="shared" si="13"/>
        <v>0</v>
      </c>
    </row>
    <row r="90" spans="1:15" x14ac:dyDescent="0.25">
      <c r="A90" s="9">
        <f>IF(OR(Calculos!$B$7=0,86&gt;Calculos!$B$7),"",INT((86-1)/Calculos!$B$6)+1)</f>
        <v>18</v>
      </c>
      <c r="B90" s="10">
        <f>IF(A90="","",Inicio!$E$5+(A90-1)*Inicio!$B$6)</f>
        <v>46201</v>
      </c>
      <c r="C90" s="11" t="e">
        <f>IF(A90="","",INDEX(Calculos!$B$11:$B$28,IF(A90&gt;Calculos!$B$4,IF(MOD(IF(A90&lt;=Calculos!$B$4,A90,A90-Calculos!$B$4)+MOD(86-1,Calculos!$B$6)+1,2)=0,INDEX(Calculos!$B$36:$S$52,IF(A90&lt;=Calculos!$B$4,A90,A90-Calculos!$B$4),MOD(86-1,Calculos!$B$6)+1),INDEX(Calculos!$B$36:$S$52,IF(A90&lt;=Calculos!$B$4,A90,A90-Calculos!$B$4),Calculos!$B$2+1-MOD(86-1,Calculos!$B$6)+1)),IF(MOD(IF(A90&lt;=Calculos!$B$4,A90,A90-Calculos!$B$4)+MOD(86-1,Calculos!$B$6)+1,2)=0,INDEX(Calculos!$B$36:$S$52,IF(A90&lt;=Calculos!$B$4,A90,A90-Calculos!$B$4),Calculos!$B$2+1-MOD(86-1,Calculos!$B$6)+1),INDEX(Calculos!$B$36:$S$52,IF(A90&lt;=Calculos!$B$4,A90,A90-Calculos!$B$4),MOD(86-1,Calculos!$B$6)+1)))))</f>
        <v>#VALUE!</v>
      </c>
      <c r="D90" s="4"/>
      <c r="E90" s="4"/>
      <c r="F90" s="11" t="e">
        <f>IF(A90="","",INDEX(Calculos!$B$11:$B$28,IF(A90&gt;Calculos!$B$4,IF(MOD(IF(A90&lt;=Calculos!$B$4,A90,A90-Calculos!$B$4)+MOD(86-1,Calculos!$B$6)+1,2)=0,INDEX(Calculos!$B$36:$S$52,IF(A90&lt;=Calculos!$B$4,A90,A90-Calculos!$B$4),Calculos!$B$2+1-MOD(86-1,Calculos!$B$6)+1),INDEX(Calculos!$B$36:$S$52,IF(A90&lt;=Calculos!$B$4,A90,A90-Calculos!$B$4),MOD(86-1,Calculos!$B$6)+1)),IF(MOD(IF(A90&lt;=Calculos!$B$4,A90,A90-Calculos!$B$4)+MOD(86-1,Calculos!$B$6)+1,2)=0,INDEX(Calculos!$B$36:$S$52,IF(A90&lt;=Calculos!$B$4,A90,A90-Calculos!$B$4),MOD(86-1,Calculos!$B$6)+1),INDEX(Calculos!$B$36:$S$52,IF(A90&lt;=Calculos!$B$4,A90,A90-Calculos!$B$4),Calculos!$B$2+1-MOD(86-1,Calculos!$B$6)+1)))))</f>
        <v>#VALUE!</v>
      </c>
      <c r="G90" s="9" t="str">
        <f t="shared" si="7"/>
        <v>Pendiente</v>
      </c>
      <c r="H90" s="9" t="e">
        <f>IF(OR(C90="",F90=""),"",IF(AND(ISNUMBER(D90),ISNUMBER(E90)),IF(D90&gt;E90,Inicio!$E$6,IF(D90=E90,Inicio!$F$6,Inicio!$G$6)),""))</f>
        <v>#VALUE!</v>
      </c>
      <c r="I90" s="9" t="e">
        <f>IF(OR(C90="",F90=""),"",IF(AND(ISNUMBER(D90),ISNUMBER(E90)),IF(D90&lt;E90,Inicio!$E$6,IF(D90=E90,Inicio!$F$6,Inicio!$G$6)),""))</f>
        <v>#VALUE!</v>
      </c>
      <c r="J90" s="9">
        <f t="shared" si="8"/>
        <v>0</v>
      </c>
      <c r="K90" s="9">
        <f t="shared" si="9"/>
        <v>0</v>
      </c>
      <c r="L90" s="9">
        <f t="shared" si="10"/>
        <v>0</v>
      </c>
      <c r="M90" s="9">
        <f t="shared" si="11"/>
        <v>0</v>
      </c>
      <c r="N90" s="9">
        <f t="shared" si="12"/>
        <v>0</v>
      </c>
      <c r="O90" s="9">
        <f t="shared" si="13"/>
        <v>0</v>
      </c>
    </row>
    <row r="91" spans="1:15" x14ac:dyDescent="0.25">
      <c r="A91" s="9">
        <f>IF(OR(Calculos!$B$7=0,87&gt;Calculos!$B$7),"",INT((87-1)/Calculos!$B$6)+1)</f>
        <v>18</v>
      </c>
      <c r="B91" s="10">
        <f>IF(A91="","",Inicio!$E$5+(A91-1)*Inicio!$B$6)</f>
        <v>46201</v>
      </c>
      <c r="C91" s="11" t="e">
        <f>IF(A91="","",INDEX(Calculos!$B$11:$B$28,IF(A91&gt;Calculos!$B$4,IF(MOD(IF(A91&lt;=Calculos!$B$4,A91,A91-Calculos!$B$4)+MOD(87-1,Calculos!$B$6)+1,2)=0,INDEX(Calculos!$B$36:$S$52,IF(A91&lt;=Calculos!$B$4,A91,A91-Calculos!$B$4),MOD(87-1,Calculos!$B$6)+1),INDEX(Calculos!$B$36:$S$52,IF(A91&lt;=Calculos!$B$4,A91,A91-Calculos!$B$4),Calculos!$B$2+1-MOD(87-1,Calculos!$B$6)+1)),IF(MOD(IF(A91&lt;=Calculos!$B$4,A91,A91-Calculos!$B$4)+MOD(87-1,Calculos!$B$6)+1,2)=0,INDEX(Calculos!$B$36:$S$52,IF(A91&lt;=Calculos!$B$4,A91,A91-Calculos!$B$4),Calculos!$B$2+1-MOD(87-1,Calculos!$B$6)+1),INDEX(Calculos!$B$36:$S$52,IF(A91&lt;=Calculos!$B$4,A91,A91-Calculos!$B$4),MOD(87-1,Calculos!$B$6)+1)))))</f>
        <v>#VALUE!</v>
      </c>
      <c r="D91" s="4"/>
      <c r="E91" s="4"/>
      <c r="F91" s="11" t="e">
        <f>IF(A91="","",INDEX(Calculos!$B$11:$B$28,IF(A91&gt;Calculos!$B$4,IF(MOD(IF(A91&lt;=Calculos!$B$4,A91,A91-Calculos!$B$4)+MOD(87-1,Calculos!$B$6)+1,2)=0,INDEX(Calculos!$B$36:$S$52,IF(A91&lt;=Calculos!$B$4,A91,A91-Calculos!$B$4),Calculos!$B$2+1-MOD(87-1,Calculos!$B$6)+1),INDEX(Calculos!$B$36:$S$52,IF(A91&lt;=Calculos!$B$4,A91,A91-Calculos!$B$4),MOD(87-1,Calculos!$B$6)+1)),IF(MOD(IF(A91&lt;=Calculos!$B$4,A91,A91-Calculos!$B$4)+MOD(87-1,Calculos!$B$6)+1,2)=0,INDEX(Calculos!$B$36:$S$52,IF(A91&lt;=Calculos!$B$4,A91,A91-Calculos!$B$4),MOD(87-1,Calculos!$B$6)+1),INDEX(Calculos!$B$36:$S$52,IF(A91&lt;=Calculos!$B$4,A91,A91-Calculos!$B$4),Calculos!$B$2+1-MOD(87-1,Calculos!$B$6)+1)))))</f>
        <v>#VALUE!</v>
      </c>
      <c r="G91" s="9" t="str">
        <f t="shared" si="7"/>
        <v>Pendiente</v>
      </c>
      <c r="H91" s="9" t="e">
        <f>IF(OR(C91="",F91=""),"",IF(AND(ISNUMBER(D91),ISNUMBER(E91)),IF(D91&gt;E91,Inicio!$E$6,IF(D91=E91,Inicio!$F$6,Inicio!$G$6)),""))</f>
        <v>#VALUE!</v>
      </c>
      <c r="I91" s="9" t="e">
        <f>IF(OR(C91="",F91=""),"",IF(AND(ISNUMBER(D91),ISNUMBER(E91)),IF(D91&lt;E91,Inicio!$E$6,IF(D91=E91,Inicio!$F$6,Inicio!$G$6)),""))</f>
        <v>#VALUE!</v>
      </c>
      <c r="J91" s="9">
        <f t="shared" si="8"/>
        <v>0</v>
      </c>
      <c r="K91" s="9">
        <f t="shared" si="9"/>
        <v>0</v>
      </c>
      <c r="L91" s="9">
        <f t="shared" si="10"/>
        <v>0</v>
      </c>
      <c r="M91" s="9">
        <f t="shared" si="11"/>
        <v>0</v>
      </c>
      <c r="N91" s="9">
        <f t="shared" si="12"/>
        <v>0</v>
      </c>
      <c r="O91" s="9">
        <f t="shared" si="13"/>
        <v>0</v>
      </c>
    </row>
    <row r="92" spans="1:15" x14ac:dyDescent="0.25">
      <c r="A92" s="9">
        <f>IF(OR(Calculos!$B$7=0,88&gt;Calculos!$B$7),"",INT((88-1)/Calculos!$B$6)+1)</f>
        <v>18</v>
      </c>
      <c r="B92" s="10">
        <f>IF(A92="","",Inicio!$E$5+(A92-1)*Inicio!$B$6)</f>
        <v>46201</v>
      </c>
      <c r="C92" s="11" t="e">
        <f>IF(A92="","",INDEX(Calculos!$B$11:$B$28,IF(A92&gt;Calculos!$B$4,IF(MOD(IF(A92&lt;=Calculos!$B$4,A92,A92-Calculos!$B$4)+MOD(88-1,Calculos!$B$6)+1,2)=0,INDEX(Calculos!$B$36:$S$52,IF(A92&lt;=Calculos!$B$4,A92,A92-Calculos!$B$4),MOD(88-1,Calculos!$B$6)+1),INDEX(Calculos!$B$36:$S$52,IF(A92&lt;=Calculos!$B$4,A92,A92-Calculos!$B$4),Calculos!$B$2+1-MOD(88-1,Calculos!$B$6)+1)),IF(MOD(IF(A92&lt;=Calculos!$B$4,A92,A92-Calculos!$B$4)+MOD(88-1,Calculos!$B$6)+1,2)=0,INDEX(Calculos!$B$36:$S$52,IF(A92&lt;=Calculos!$B$4,A92,A92-Calculos!$B$4),Calculos!$B$2+1-MOD(88-1,Calculos!$B$6)+1),INDEX(Calculos!$B$36:$S$52,IF(A92&lt;=Calculos!$B$4,A92,A92-Calculos!$B$4),MOD(88-1,Calculos!$B$6)+1)))))</f>
        <v>#VALUE!</v>
      </c>
      <c r="D92" s="4"/>
      <c r="E92" s="4"/>
      <c r="F92" s="11" t="e">
        <f>IF(A92="","",INDEX(Calculos!$B$11:$B$28,IF(A92&gt;Calculos!$B$4,IF(MOD(IF(A92&lt;=Calculos!$B$4,A92,A92-Calculos!$B$4)+MOD(88-1,Calculos!$B$6)+1,2)=0,INDEX(Calculos!$B$36:$S$52,IF(A92&lt;=Calculos!$B$4,A92,A92-Calculos!$B$4),Calculos!$B$2+1-MOD(88-1,Calculos!$B$6)+1),INDEX(Calculos!$B$36:$S$52,IF(A92&lt;=Calculos!$B$4,A92,A92-Calculos!$B$4),MOD(88-1,Calculos!$B$6)+1)),IF(MOD(IF(A92&lt;=Calculos!$B$4,A92,A92-Calculos!$B$4)+MOD(88-1,Calculos!$B$6)+1,2)=0,INDEX(Calculos!$B$36:$S$52,IF(A92&lt;=Calculos!$B$4,A92,A92-Calculos!$B$4),MOD(88-1,Calculos!$B$6)+1),INDEX(Calculos!$B$36:$S$52,IF(A92&lt;=Calculos!$B$4,A92,A92-Calculos!$B$4),Calculos!$B$2+1-MOD(88-1,Calculos!$B$6)+1)))))</f>
        <v>#VALUE!</v>
      </c>
      <c r="G92" s="9" t="str">
        <f t="shared" si="7"/>
        <v>Pendiente</v>
      </c>
      <c r="H92" s="9" t="e">
        <f>IF(OR(C92="",F92=""),"",IF(AND(ISNUMBER(D92),ISNUMBER(E92)),IF(D92&gt;E92,Inicio!$E$6,IF(D92=E92,Inicio!$F$6,Inicio!$G$6)),""))</f>
        <v>#VALUE!</v>
      </c>
      <c r="I92" s="9" t="e">
        <f>IF(OR(C92="",F92=""),"",IF(AND(ISNUMBER(D92),ISNUMBER(E92)),IF(D92&lt;E92,Inicio!$E$6,IF(D92=E92,Inicio!$F$6,Inicio!$G$6)),""))</f>
        <v>#VALUE!</v>
      </c>
      <c r="J92" s="9">
        <f t="shared" si="8"/>
        <v>0</v>
      </c>
      <c r="K92" s="9">
        <f t="shared" si="9"/>
        <v>0</v>
      </c>
      <c r="L92" s="9">
        <f t="shared" si="10"/>
        <v>0</v>
      </c>
      <c r="M92" s="9">
        <f t="shared" si="11"/>
        <v>0</v>
      </c>
      <c r="N92" s="9">
        <f t="shared" si="12"/>
        <v>0</v>
      </c>
      <c r="O92" s="9">
        <f t="shared" si="13"/>
        <v>0</v>
      </c>
    </row>
    <row r="93" spans="1:15" x14ac:dyDescent="0.25">
      <c r="A93" s="9">
        <f>IF(OR(Calculos!$B$7=0,89&gt;Calculos!$B$7),"",INT((89-1)/Calculos!$B$6)+1)</f>
        <v>18</v>
      </c>
      <c r="B93" s="10">
        <f>IF(A93="","",Inicio!$E$5+(A93-1)*Inicio!$B$6)</f>
        <v>46201</v>
      </c>
      <c r="C93" s="11" t="e">
        <f>IF(A93="","",INDEX(Calculos!$B$11:$B$28,IF(A93&gt;Calculos!$B$4,IF(MOD(IF(A93&lt;=Calculos!$B$4,A93,A93-Calculos!$B$4)+MOD(89-1,Calculos!$B$6)+1,2)=0,INDEX(Calculos!$B$36:$S$52,IF(A93&lt;=Calculos!$B$4,A93,A93-Calculos!$B$4),MOD(89-1,Calculos!$B$6)+1),INDEX(Calculos!$B$36:$S$52,IF(A93&lt;=Calculos!$B$4,A93,A93-Calculos!$B$4),Calculos!$B$2+1-MOD(89-1,Calculos!$B$6)+1)),IF(MOD(IF(A93&lt;=Calculos!$B$4,A93,A93-Calculos!$B$4)+MOD(89-1,Calculos!$B$6)+1,2)=0,INDEX(Calculos!$B$36:$S$52,IF(A93&lt;=Calculos!$B$4,A93,A93-Calculos!$B$4),Calculos!$B$2+1-MOD(89-1,Calculos!$B$6)+1),INDEX(Calculos!$B$36:$S$52,IF(A93&lt;=Calculos!$B$4,A93,A93-Calculos!$B$4),MOD(89-1,Calculos!$B$6)+1)))))</f>
        <v>#VALUE!</v>
      </c>
      <c r="D93" s="4"/>
      <c r="E93" s="4"/>
      <c r="F93" s="11" t="e">
        <f>IF(A93="","",INDEX(Calculos!$B$11:$B$28,IF(A93&gt;Calculos!$B$4,IF(MOD(IF(A93&lt;=Calculos!$B$4,A93,A93-Calculos!$B$4)+MOD(89-1,Calculos!$B$6)+1,2)=0,INDEX(Calculos!$B$36:$S$52,IF(A93&lt;=Calculos!$B$4,A93,A93-Calculos!$B$4),Calculos!$B$2+1-MOD(89-1,Calculos!$B$6)+1),INDEX(Calculos!$B$36:$S$52,IF(A93&lt;=Calculos!$B$4,A93,A93-Calculos!$B$4),MOD(89-1,Calculos!$B$6)+1)),IF(MOD(IF(A93&lt;=Calculos!$B$4,A93,A93-Calculos!$B$4)+MOD(89-1,Calculos!$B$6)+1,2)=0,INDEX(Calculos!$B$36:$S$52,IF(A93&lt;=Calculos!$B$4,A93,A93-Calculos!$B$4),MOD(89-1,Calculos!$B$6)+1),INDEX(Calculos!$B$36:$S$52,IF(A93&lt;=Calculos!$B$4,A93,A93-Calculos!$B$4),Calculos!$B$2+1-MOD(89-1,Calculos!$B$6)+1)))))</f>
        <v>#VALUE!</v>
      </c>
      <c r="G93" s="9" t="str">
        <f t="shared" si="7"/>
        <v>Pendiente</v>
      </c>
      <c r="H93" s="9" t="e">
        <f>IF(OR(C93="",F93=""),"",IF(AND(ISNUMBER(D93),ISNUMBER(E93)),IF(D93&gt;E93,Inicio!$E$6,IF(D93=E93,Inicio!$F$6,Inicio!$G$6)),""))</f>
        <v>#VALUE!</v>
      </c>
      <c r="I93" s="9" t="e">
        <f>IF(OR(C93="",F93=""),"",IF(AND(ISNUMBER(D93),ISNUMBER(E93)),IF(D93&lt;E93,Inicio!$E$6,IF(D93=E93,Inicio!$F$6,Inicio!$G$6)),""))</f>
        <v>#VALUE!</v>
      </c>
      <c r="J93" s="9">
        <f t="shared" si="8"/>
        <v>0</v>
      </c>
      <c r="K93" s="9">
        <f t="shared" si="9"/>
        <v>0</v>
      </c>
      <c r="L93" s="9">
        <f t="shared" si="10"/>
        <v>0</v>
      </c>
      <c r="M93" s="9">
        <f t="shared" si="11"/>
        <v>0</v>
      </c>
      <c r="N93" s="9">
        <f t="shared" si="12"/>
        <v>0</v>
      </c>
      <c r="O93" s="9">
        <f t="shared" si="13"/>
        <v>0</v>
      </c>
    </row>
    <row r="94" spans="1:15" x14ac:dyDescent="0.25">
      <c r="A94" s="9">
        <f>IF(OR(Calculos!$B$7=0,90&gt;Calculos!$B$7),"",INT((90-1)/Calculos!$B$6)+1)</f>
        <v>18</v>
      </c>
      <c r="B94" s="10">
        <f>IF(A94="","",Inicio!$E$5+(A94-1)*Inicio!$B$6)</f>
        <v>46201</v>
      </c>
      <c r="C94" s="11" t="e">
        <f>IF(A94="","",INDEX(Calculos!$B$11:$B$28,IF(A94&gt;Calculos!$B$4,IF(MOD(IF(A94&lt;=Calculos!$B$4,A94,A94-Calculos!$B$4)+MOD(90-1,Calculos!$B$6)+1,2)=0,INDEX(Calculos!$B$36:$S$52,IF(A94&lt;=Calculos!$B$4,A94,A94-Calculos!$B$4),MOD(90-1,Calculos!$B$6)+1),INDEX(Calculos!$B$36:$S$52,IF(A94&lt;=Calculos!$B$4,A94,A94-Calculos!$B$4),Calculos!$B$2+1-MOD(90-1,Calculos!$B$6)+1)),IF(MOD(IF(A94&lt;=Calculos!$B$4,A94,A94-Calculos!$B$4)+MOD(90-1,Calculos!$B$6)+1,2)=0,INDEX(Calculos!$B$36:$S$52,IF(A94&lt;=Calculos!$B$4,A94,A94-Calculos!$B$4),Calculos!$B$2+1-MOD(90-1,Calculos!$B$6)+1),INDEX(Calculos!$B$36:$S$52,IF(A94&lt;=Calculos!$B$4,A94,A94-Calculos!$B$4),MOD(90-1,Calculos!$B$6)+1)))))</f>
        <v>#VALUE!</v>
      </c>
      <c r="D94" s="4"/>
      <c r="E94" s="4"/>
      <c r="F94" s="11" t="e">
        <f>IF(A94="","",INDEX(Calculos!$B$11:$B$28,IF(A94&gt;Calculos!$B$4,IF(MOD(IF(A94&lt;=Calculos!$B$4,A94,A94-Calculos!$B$4)+MOD(90-1,Calculos!$B$6)+1,2)=0,INDEX(Calculos!$B$36:$S$52,IF(A94&lt;=Calculos!$B$4,A94,A94-Calculos!$B$4),Calculos!$B$2+1-MOD(90-1,Calculos!$B$6)+1),INDEX(Calculos!$B$36:$S$52,IF(A94&lt;=Calculos!$B$4,A94,A94-Calculos!$B$4),MOD(90-1,Calculos!$B$6)+1)),IF(MOD(IF(A94&lt;=Calculos!$B$4,A94,A94-Calculos!$B$4)+MOD(90-1,Calculos!$B$6)+1,2)=0,INDEX(Calculos!$B$36:$S$52,IF(A94&lt;=Calculos!$B$4,A94,A94-Calculos!$B$4),MOD(90-1,Calculos!$B$6)+1),INDEX(Calculos!$B$36:$S$52,IF(A94&lt;=Calculos!$B$4,A94,A94-Calculos!$B$4),Calculos!$B$2+1-MOD(90-1,Calculos!$B$6)+1)))))</f>
        <v>#VALUE!</v>
      </c>
      <c r="G94" s="9" t="str">
        <f t="shared" si="7"/>
        <v>Pendiente</v>
      </c>
      <c r="H94" s="9" t="e">
        <f>IF(OR(C94="",F94=""),"",IF(AND(ISNUMBER(D94),ISNUMBER(E94)),IF(D94&gt;E94,Inicio!$E$6,IF(D94=E94,Inicio!$F$6,Inicio!$G$6)),""))</f>
        <v>#VALUE!</v>
      </c>
      <c r="I94" s="9" t="e">
        <f>IF(OR(C94="",F94=""),"",IF(AND(ISNUMBER(D94),ISNUMBER(E94)),IF(D94&lt;E94,Inicio!$E$6,IF(D94=E94,Inicio!$F$6,Inicio!$G$6)),""))</f>
        <v>#VALUE!</v>
      </c>
      <c r="J94" s="9">
        <f t="shared" si="8"/>
        <v>0</v>
      </c>
      <c r="K94" s="9">
        <f t="shared" si="9"/>
        <v>0</v>
      </c>
      <c r="L94" s="9">
        <f t="shared" si="10"/>
        <v>0</v>
      </c>
      <c r="M94" s="9">
        <f t="shared" si="11"/>
        <v>0</v>
      </c>
      <c r="N94" s="9">
        <f t="shared" si="12"/>
        <v>0</v>
      </c>
      <c r="O94" s="9">
        <f t="shared" si="13"/>
        <v>0</v>
      </c>
    </row>
    <row r="95" spans="1:15" x14ac:dyDescent="0.25">
      <c r="A95" s="9" t="str">
        <f>IF(OR(Calculos!$B$7=0,91&gt;Calculos!$B$7),"",INT((91-1)/Calculos!$B$6)+1)</f>
        <v/>
      </c>
      <c r="B95" s="10" t="str">
        <f>IF(A95="","",Inicio!$E$5+(A95-1)*Inicio!$B$6)</f>
        <v/>
      </c>
      <c r="C95" s="11" t="str">
        <f>IF(A95="","",INDEX(Calculos!$B$11:$B$28,IF(A95&gt;Calculos!$B$4,IF(MOD(IF(A95&lt;=Calculos!$B$4,A95,A95-Calculos!$B$4)+MOD(91-1,Calculos!$B$6)+1,2)=0,INDEX(Calculos!$B$36:$S$52,IF(A95&lt;=Calculos!$B$4,A95,A95-Calculos!$B$4),MOD(91-1,Calculos!$B$6)+1),INDEX(Calculos!$B$36:$S$52,IF(A95&lt;=Calculos!$B$4,A95,A95-Calculos!$B$4),Calculos!$B$2+1-MOD(91-1,Calculos!$B$6)+1)),IF(MOD(IF(A95&lt;=Calculos!$B$4,A95,A95-Calculos!$B$4)+MOD(91-1,Calculos!$B$6)+1,2)=0,INDEX(Calculos!$B$36:$S$52,IF(A95&lt;=Calculos!$B$4,A95,A95-Calculos!$B$4),Calculos!$B$2+1-MOD(91-1,Calculos!$B$6)+1),INDEX(Calculos!$B$36:$S$52,IF(A95&lt;=Calculos!$B$4,A95,A95-Calculos!$B$4),MOD(91-1,Calculos!$B$6)+1)))))</f>
        <v/>
      </c>
      <c r="D95" s="4"/>
      <c r="E95" s="4"/>
      <c r="F95" s="11" t="str">
        <f>IF(A95="","",INDEX(Calculos!$B$11:$B$28,IF(A95&gt;Calculos!$B$4,IF(MOD(IF(A95&lt;=Calculos!$B$4,A95,A95-Calculos!$B$4)+MOD(91-1,Calculos!$B$6)+1,2)=0,INDEX(Calculos!$B$36:$S$52,IF(A95&lt;=Calculos!$B$4,A95,A95-Calculos!$B$4),Calculos!$B$2+1-MOD(91-1,Calculos!$B$6)+1),INDEX(Calculos!$B$36:$S$52,IF(A95&lt;=Calculos!$B$4,A95,A95-Calculos!$B$4),MOD(91-1,Calculos!$B$6)+1)),IF(MOD(IF(A95&lt;=Calculos!$B$4,A95,A95-Calculos!$B$4)+MOD(91-1,Calculos!$B$6)+1,2)=0,INDEX(Calculos!$B$36:$S$52,IF(A95&lt;=Calculos!$B$4,A95,A95-Calculos!$B$4),MOD(91-1,Calculos!$B$6)+1),INDEX(Calculos!$B$36:$S$52,IF(A95&lt;=Calculos!$B$4,A95,A95-Calculos!$B$4),Calculos!$B$2+1-MOD(91-1,Calculos!$B$6)+1)))))</f>
        <v/>
      </c>
      <c r="G95" s="9" t="str">
        <f t="shared" si="7"/>
        <v/>
      </c>
      <c r="H95" s="9" t="str">
        <f>IF(OR(C95="",F95=""),"",IF(AND(ISNUMBER(D95),ISNUMBER(E95)),IF(D95&gt;E95,Inicio!$E$6,IF(D95=E95,Inicio!$F$6,Inicio!$G$6)),""))</f>
        <v/>
      </c>
      <c r="I95" s="9" t="str">
        <f>IF(OR(C95="",F95=""),"",IF(AND(ISNUMBER(D95),ISNUMBER(E95)),IF(D95&lt;E95,Inicio!$E$6,IF(D95=E95,Inicio!$F$6,Inicio!$G$6)),""))</f>
        <v/>
      </c>
      <c r="J95" s="9">
        <f t="shared" si="8"/>
        <v>0</v>
      </c>
      <c r="K95" s="9">
        <f t="shared" si="9"/>
        <v>0</v>
      </c>
      <c r="L95" s="9">
        <f t="shared" si="10"/>
        <v>0</v>
      </c>
      <c r="M95" s="9">
        <f t="shared" si="11"/>
        <v>0</v>
      </c>
      <c r="N95" s="9">
        <f t="shared" si="12"/>
        <v>0</v>
      </c>
      <c r="O95" s="9">
        <f t="shared" si="13"/>
        <v>0</v>
      </c>
    </row>
    <row r="96" spans="1:15" x14ac:dyDescent="0.25">
      <c r="A96" s="9" t="str">
        <f>IF(OR(Calculos!$B$7=0,92&gt;Calculos!$B$7),"",INT((92-1)/Calculos!$B$6)+1)</f>
        <v/>
      </c>
      <c r="B96" s="10" t="str">
        <f>IF(A96="","",Inicio!$E$5+(A96-1)*Inicio!$B$6)</f>
        <v/>
      </c>
      <c r="C96" s="11" t="str">
        <f>IF(A96="","",INDEX(Calculos!$B$11:$B$28,IF(A96&gt;Calculos!$B$4,IF(MOD(IF(A96&lt;=Calculos!$B$4,A96,A96-Calculos!$B$4)+MOD(92-1,Calculos!$B$6)+1,2)=0,INDEX(Calculos!$B$36:$S$52,IF(A96&lt;=Calculos!$B$4,A96,A96-Calculos!$B$4),MOD(92-1,Calculos!$B$6)+1),INDEX(Calculos!$B$36:$S$52,IF(A96&lt;=Calculos!$B$4,A96,A96-Calculos!$B$4),Calculos!$B$2+1-MOD(92-1,Calculos!$B$6)+1)),IF(MOD(IF(A96&lt;=Calculos!$B$4,A96,A96-Calculos!$B$4)+MOD(92-1,Calculos!$B$6)+1,2)=0,INDEX(Calculos!$B$36:$S$52,IF(A96&lt;=Calculos!$B$4,A96,A96-Calculos!$B$4),Calculos!$B$2+1-MOD(92-1,Calculos!$B$6)+1),INDEX(Calculos!$B$36:$S$52,IF(A96&lt;=Calculos!$B$4,A96,A96-Calculos!$B$4),MOD(92-1,Calculos!$B$6)+1)))))</f>
        <v/>
      </c>
      <c r="D96" s="4"/>
      <c r="E96" s="4"/>
      <c r="F96" s="11" t="str">
        <f>IF(A96="","",INDEX(Calculos!$B$11:$B$28,IF(A96&gt;Calculos!$B$4,IF(MOD(IF(A96&lt;=Calculos!$B$4,A96,A96-Calculos!$B$4)+MOD(92-1,Calculos!$B$6)+1,2)=0,INDEX(Calculos!$B$36:$S$52,IF(A96&lt;=Calculos!$B$4,A96,A96-Calculos!$B$4),Calculos!$B$2+1-MOD(92-1,Calculos!$B$6)+1),INDEX(Calculos!$B$36:$S$52,IF(A96&lt;=Calculos!$B$4,A96,A96-Calculos!$B$4),MOD(92-1,Calculos!$B$6)+1)),IF(MOD(IF(A96&lt;=Calculos!$B$4,A96,A96-Calculos!$B$4)+MOD(92-1,Calculos!$B$6)+1,2)=0,INDEX(Calculos!$B$36:$S$52,IF(A96&lt;=Calculos!$B$4,A96,A96-Calculos!$B$4),MOD(92-1,Calculos!$B$6)+1),INDEX(Calculos!$B$36:$S$52,IF(A96&lt;=Calculos!$B$4,A96,A96-Calculos!$B$4),Calculos!$B$2+1-MOD(92-1,Calculos!$B$6)+1)))))</f>
        <v/>
      </c>
      <c r="G96" s="9" t="str">
        <f t="shared" si="7"/>
        <v/>
      </c>
      <c r="H96" s="9" t="str">
        <f>IF(OR(C96="",F96=""),"",IF(AND(ISNUMBER(D96),ISNUMBER(E96)),IF(D96&gt;E96,Inicio!$E$6,IF(D96=E96,Inicio!$F$6,Inicio!$G$6)),""))</f>
        <v/>
      </c>
      <c r="I96" s="9" t="str">
        <f>IF(OR(C96="",F96=""),"",IF(AND(ISNUMBER(D96),ISNUMBER(E96)),IF(D96&lt;E96,Inicio!$E$6,IF(D96=E96,Inicio!$F$6,Inicio!$G$6)),""))</f>
        <v/>
      </c>
      <c r="J96" s="9">
        <f t="shared" si="8"/>
        <v>0</v>
      </c>
      <c r="K96" s="9">
        <f t="shared" si="9"/>
        <v>0</v>
      </c>
      <c r="L96" s="9">
        <f t="shared" si="10"/>
        <v>0</v>
      </c>
      <c r="M96" s="9">
        <f t="shared" si="11"/>
        <v>0</v>
      </c>
      <c r="N96" s="9">
        <f t="shared" si="12"/>
        <v>0</v>
      </c>
      <c r="O96" s="9">
        <f t="shared" si="13"/>
        <v>0</v>
      </c>
    </row>
    <row r="97" spans="1:15" x14ac:dyDescent="0.25">
      <c r="A97" s="9" t="str">
        <f>IF(OR(Calculos!$B$7=0,93&gt;Calculos!$B$7),"",INT((93-1)/Calculos!$B$6)+1)</f>
        <v/>
      </c>
      <c r="B97" s="10" t="str">
        <f>IF(A97="","",Inicio!$E$5+(A97-1)*Inicio!$B$6)</f>
        <v/>
      </c>
      <c r="C97" s="11" t="str">
        <f>IF(A97="","",INDEX(Calculos!$B$11:$B$28,IF(A97&gt;Calculos!$B$4,IF(MOD(IF(A97&lt;=Calculos!$B$4,A97,A97-Calculos!$B$4)+MOD(93-1,Calculos!$B$6)+1,2)=0,INDEX(Calculos!$B$36:$S$52,IF(A97&lt;=Calculos!$B$4,A97,A97-Calculos!$B$4),MOD(93-1,Calculos!$B$6)+1),INDEX(Calculos!$B$36:$S$52,IF(A97&lt;=Calculos!$B$4,A97,A97-Calculos!$B$4),Calculos!$B$2+1-MOD(93-1,Calculos!$B$6)+1)),IF(MOD(IF(A97&lt;=Calculos!$B$4,A97,A97-Calculos!$B$4)+MOD(93-1,Calculos!$B$6)+1,2)=0,INDEX(Calculos!$B$36:$S$52,IF(A97&lt;=Calculos!$B$4,A97,A97-Calculos!$B$4),Calculos!$B$2+1-MOD(93-1,Calculos!$B$6)+1),INDEX(Calculos!$B$36:$S$52,IF(A97&lt;=Calculos!$B$4,A97,A97-Calculos!$B$4),MOD(93-1,Calculos!$B$6)+1)))))</f>
        <v/>
      </c>
      <c r="D97" s="4"/>
      <c r="E97" s="4"/>
      <c r="F97" s="11" t="str">
        <f>IF(A97="","",INDEX(Calculos!$B$11:$B$28,IF(A97&gt;Calculos!$B$4,IF(MOD(IF(A97&lt;=Calculos!$B$4,A97,A97-Calculos!$B$4)+MOD(93-1,Calculos!$B$6)+1,2)=0,INDEX(Calculos!$B$36:$S$52,IF(A97&lt;=Calculos!$B$4,A97,A97-Calculos!$B$4),Calculos!$B$2+1-MOD(93-1,Calculos!$B$6)+1),INDEX(Calculos!$B$36:$S$52,IF(A97&lt;=Calculos!$B$4,A97,A97-Calculos!$B$4),MOD(93-1,Calculos!$B$6)+1)),IF(MOD(IF(A97&lt;=Calculos!$B$4,A97,A97-Calculos!$B$4)+MOD(93-1,Calculos!$B$6)+1,2)=0,INDEX(Calculos!$B$36:$S$52,IF(A97&lt;=Calculos!$B$4,A97,A97-Calculos!$B$4),MOD(93-1,Calculos!$B$6)+1),INDEX(Calculos!$B$36:$S$52,IF(A97&lt;=Calculos!$B$4,A97,A97-Calculos!$B$4),Calculos!$B$2+1-MOD(93-1,Calculos!$B$6)+1)))))</f>
        <v/>
      </c>
      <c r="G97" s="9" t="str">
        <f t="shared" si="7"/>
        <v/>
      </c>
      <c r="H97" s="9" t="str">
        <f>IF(OR(C97="",F97=""),"",IF(AND(ISNUMBER(D97),ISNUMBER(E97)),IF(D97&gt;E97,Inicio!$E$6,IF(D97=E97,Inicio!$F$6,Inicio!$G$6)),""))</f>
        <v/>
      </c>
      <c r="I97" s="9" t="str">
        <f>IF(OR(C97="",F97=""),"",IF(AND(ISNUMBER(D97),ISNUMBER(E97)),IF(D97&lt;E97,Inicio!$E$6,IF(D97=E97,Inicio!$F$6,Inicio!$G$6)),""))</f>
        <v/>
      </c>
      <c r="J97" s="9">
        <f t="shared" si="8"/>
        <v>0</v>
      </c>
      <c r="K97" s="9">
        <f t="shared" si="9"/>
        <v>0</v>
      </c>
      <c r="L97" s="9">
        <f t="shared" si="10"/>
        <v>0</v>
      </c>
      <c r="M97" s="9">
        <f t="shared" si="11"/>
        <v>0</v>
      </c>
      <c r="N97" s="9">
        <f t="shared" si="12"/>
        <v>0</v>
      </c>
      <c r="O97" s="9">
        <f t="shared" si="13"/>
        <v>0</v>
      </c>
    </row>
    <row r="98" spans="1:15" x14ac:dyDescent="0.25">
      <c r="A98" s="9" t="str">
        <f>IF(OR(Calculos!$B$7=0,94&gt;Calculos!$B$7),"",INT((94-1)/Calculos!$B$6)+1)</f>
        <v/>
      </c>
      <c r="B98" s="10" t="str">
        <f>IF(A98="","",Inicio!$E$5+(A98-1)*Inicio!$B$6)</f>
        <v/>
      </c>
      <c r="C98" s="11" t="str">
        <f>IF(A98="","",INDEX(Calculos!$B$11:$B$28,IF(A98&gt;Calculos!$B$4,IF(MOD(IF(A98&lt;=Calculos!$B$4,A98,A98-Calculos!$B$4)+MOD(94-1,Calculos!$B$6)+1,2)=0,INDEX(Calculos!$B$36:$S$52,IF(A98&lt;=Calculos!$B$4,A98,A98-Calculos!$B$4),MOD(94-1,Calculos!$B$6)+1),INDEX(Calculos!$B$36:$S$52,IF(A98&lt;=Calculos!$B$4,A98,A98-Calculos!$B$4),Calculos!$B$2+1-MOD(94-1,Calculos!$B$6)+1)),IF(MOD(IF(A98&lt;=Calculos!$B$4,A98,A98-Calculos!$B$4)+MOD(94-1,Calculos!$B$6)+1,2)=0,INDEX(Calculos!$B$36:$S$52,IF(A98&lt;=Calculos!$B$4,A98,A98-Calculos!$B$4),Calculos!$B$2+1-MOD(94-1,Calculos!$B$6)+1),INDEX(Calculos!$B$36:$S$52,IF(A98&lt;=Calculos!$B$4,A98,A98-Calculos!$B$4),MOD(94-1,Calculos!$B$6)+1)))))</f>
        <v/>
      </c>
      <c r="D98" s="4"/>
      <c r="E98" s="4"/>
      <c r="F98" s="11" t="str">
        <f>IF(A98="","",INDEX(Calculos!$B$11:$B$28,IF(A98&gt;Calculos!$B$4,IF(MOD(IF(A98&lt;=Calculos!$B$4,A98,A98-Calculos!$B$4)+MOD(94-1,Calculos!$B$6)+1,2)=0,INDEX(Calculos!$B$36:$S$52,IF(A98&lt;=Calculos!$B$4,A98,A98-Calculos!$B$4),Calculos!$B$2+1-MOD(94-1,Calculos!$B$6)+1),INDEX(Calculos!$B$36:$S$52,IF(A98&lt;=Calculos!$B$4,A98,A98-Calculos!$B$4),MOD(94-1,Calculos!$B$6)+1)),IF(MOD(IF(A98&lt;=Calculos!$B$4,A98,A98-Calculos!$B$4)+MOD(94-1,Calculos!$B$6)+1,2)=0,INDEX(Calculos!$B$36:$S$52,IF(A98&lt;=Calculos!$B$4,A98,A98-Calculos!$B$4),MOD(94-1,Calculos!$B$6)+1),INDEX(Calculos!$B$36:$S$52,IF(A98&lt;=Calculos!$B$4,A98,A98-Calculos!$B$4),Calculos!$B$2+1-MOD(94-1,Calculos!$B$6)+1)))))</f>
        <v/>
      </c>
      <c r="G98" s="9" t="str">
        <f t="shared" si="7"/>
        <v/>
      </c>
      <c r="H98" s="9" t="str">
        <f>IF(OR(C98="",F98=""),"",IF(AND(ISNUMBER(D98),ISNUMBER(E98)),IF(D98&gt;E98,Inicio!$E$6,IF(D98=E98,Inicio!$F$6,Inicio!$G$6)),""))</f>
        <v/>
      </c>
      <c r="I98" s="9" t="str">
        <f>IF(OR(C98="",F98=""),"",IF(AND(ISNUMBER(D98),ISNUMBER(E98)),IF(D98&lt;E98,Inicio!$E$6,IF(D98=E98,Inicio!$F$6,Inicio!$G$6)),""))</f>
        <v/>
      </c>
      <c r="J98" s="9">
        <f t="shared" si="8"/>
        <v>0</v>
      </c>
      <c r="K98" s="9">
        <f t="shared" si="9"/>
        <v>0</v>
      </c>
      <c r="L98" s="9">
        <f t="shared" si="10"/>
        <v>0</v>
      </c>
      <c r="M98" s="9">
        <f t="shared" si="11"/>
        <v>0</v>
      </c>
      <c r="N98" s="9">
        <f t="shared" si="12"/>
        <v>0</v>
      </c>
      <c r="O98" s="9">
        <f t="shared" si="13"/>
        <v>0</v>
      </c>
    </row>
    <row r="99" spans="1:15" x14ac:dyDescent="0.25">
      <c r="A99" s="9" t="str">
        <f>IF(OR(Calculos!$B$7=0,95&gt;Calculos!$B$7),"",INT((95-1)/Calculos!$B$6)+1)</f>
        <v/>
      </c>
      <c r="B99" s="10" t="str">
        <f>IF(A99="","",Inicio!$E$5+(A99-1)*Inicio!$B$6)</f>
        <v/>
      </c>
      <c r="C99" s="11" t="str">
        <f>IF(A99="","",INDEX(Calculos!$B$11:$B$28,IF(A99&gt;Calculos!$B$4,IF(MOD(IF(A99&lt;=Calculos!$B$4,A99,A99-Calculos!$B$4)+MOD(95-1,Calculos!$B$6)+1,2)=0,INDEX(Calculos!$B$36:$S$52,IF(A99&lt;=Calculos!$B$4,A99,A99-Calculos!$B$4),MOD(95-1,Calculos!$B$6)+1),INDEX(Calculos!$B$36:$S$52,IF(A99&lt;=Calculos!$B$4,A99,A99-Calculos!$B$4),Calculos!$B$2+1-MOD(95-1,Calculos!$B$6)+1)),IF(MOD(IF(A99&lt;=Calculos!$B$4,A99,A99-Calculos!$B$4)+MOD(95-1,Calculos!$B$6)+1,2)=0,INDEX(Calculos!$B$36:$S$52,IF(A99&lt;=Calculos!$B$4,A99,A99-Calculos!$B$4),Calculos!$B$2+1-MOD(95-1,Calculos!$B$6)+1),INDEX(Calculos!$B$36:$S$52,IF(A99&lt;=Calculos!$B$4,A99,A99-Calculos!$B$4),MOD(95-1,Calculos!$B$6)+1)))))</f>
        <v/>
      </c>
      <c r="D99" s="4"/>
      <c r="E99" s="4"/>
      <c r="F99" s="11" t="str">
        <f>IF(A99="","",INDEX(Calculos!$B$11:$B$28,IF(A99&gt;Calculos!$B$4,IF(MOD(IF(A99&lt;=Calculos!$B$4,A99,A99-Calculos!$B$4)+MOD(95-1,Calculos!$B$6)+1,2)=0,INDEX(Calculos!$B$36:$S$52,IF(A99&lt;=Calculos!$B$4,A99,A99-Calculos!$B$4),Calculos!$B$2+1-MOD(95-1,Calculos!$B$6)+1),INDEX(Calculos!$B$36:$S$52,IF(A99&lt;=Calculos!$B$4,A99,A99-Calculos!$B$4),MOD(95-1,Calculos!$B$6)+1)),IF(MOD(IF(A99&lt;=Calculos!$B$4,A99,A99-Calculos!$B$4)+MOD(95-1,Calculos!$B$6)+1,2)=0,INDEX(Calculos!$B$36:$S$52,IF(A99&lt;=Calculos!$B$4,A99,A99-Calculos!$B$4),MOD(95-1,Calculos!$B$6)+1),INDEX(Calculos!$B$36:$S$52,IF(A99&lt;=Calculos!$B$4,A99,A99-Calculos!$B$4),Calculos!$B$2+1-MOD(95-1,Calculos!$B$6)+1)))))</f>
        <v/>
      </c>
      <c r="G99" s="9" t="str">
        <f t="shared" si="7"/>
        <v/>
      </c>
      <c r="H99" s="9" t="str">
        <f>IF(OR(C99="",F99=""),"",IF(AND(ISNUMBER(D99),ISNUMBER(E99)),IF(D99&gt;E99,Inicio!$E$6,IF(D99=E99,Inicio!$F$6,Inicio!$G$6)),""))</f>
        <v/>
      </c>
      <c r="I99" s="9" t="str">
        <f>IF(OR(C99="",F99=""),"",IF(AND(ISNUMBER(D99),ISNUMBER(E99)),IF(D99&lt;E99,Inicio!$E$6,IF(D99=E99,Inicio!$F$6,Inicio!$G$6)),""))</f>
        <v/>
      </c>
      <c r="J99" s="9">
        <f t="shared" si="8"/>
        <v>0</v>
      </c>
      <c r="K99" s="9">
        <f t="shared" si="9"/>
        <v>0</v>
      </c>
      <c r="L99" s="9">
        <f t="shared" si="10"/>
        <v>0</v>
      </c>
      <c r="M99" s="9">
        <f t="shared" si="11"/>
        <v>0</v>
      </c>
      <c r="N99" s="9">
        <f t="shared" si="12"/>
        <v>0</v>
      </c>
      <c r="O99" s="9">
        <f t="shared" si="13"/>
        <v>0</v>
      </c>
    </row>
    <row r="100" spans="1:15" x14ac:dyDescent="0.25">
      <c r="A100" s="9" t="str">
        <f>IF(OR(Calculos!$B$7=0,96&gt;Calculos!$B$7),"",INT((96-1)/Calculos!$B$6)+1)</f>
        <v/>
      </c>
      <c r="B100" s="10" t="str">
        <f>IF(A100="","",Inicio!$E$5+(A100-1)*Inicio!$B$6)</f>
        <v/>
      </c>
      <c r="C100" s="11" t="str">
        <f>IF(A100="","",INDEX(Calculos!$B$11:$B$28,IF(A100&gt;Calculos!$B$4,IF(MOD(IF(A100&lt;=Calculos!$B$4,A100,A100-Calculos!$B$4)+MOD(96-1,Calculos!$B$6)+1,2)=0,INDEX(Calculos!$B$36:$S$52,IF(A100&lt;=Calculos!$B$4,A100,A100-Calculos!$B$4),MOD(96-1,Calculos!$B$6)+1),INDEX(Calculos!$B$36:$S$52,IF(A100&lt;=Calculos!$B$4,A100,A100-Calculos!$B$4),Calculos!$B$2+1-MOD(96-1,Calculos!$B$6)+1)),IF(MOD(IF(A100&lt;=Calculos!$B$4,A100,A100-Calculos!$B$4)+MOD(96-1,Calculos!$B$6)+1,2)=0,INDEX(Calculos!$B$36:$S$52,IF(A100&lt;=Calculos!$B$4,A100,A100-Calculos!$B$4),Calculos!$B$2+1-MOD(96-1,Calculos!$B$6)+1),INDEX(Calculos!$B$36:$S$52,IF(A100&lt;=Calculos!$B$4,A100,A100-Calculos!$B$4),MOD(96-1,Calculos!$B$6)+1)))))</f>
        <v/>
      </c>
      <c r="D100" s="4"/>
      <c r="E100" s="4"/>
      <c r="F100" s="11" t="str">
        <f>IF(A100="","",INDEX(Calculos!$B$11:$B$28,IF(A100&gt;Calculos!$B$4,IF(MOD(IF(A100&lt;=Calculos!$B$4,A100,A100-Calculos!$B$4)+MOD(96-1,Calculos!$B$6)+1,2)=0,INDEX(Calculos!$B$36:$S$52,IF(A100&lt;=Calculos!$B$4,A100,A100-Calculos!$B$4),Calculos!$B$2+1-MOD(96-1,Calculos!$B$6)+1),INDEX(Calculos!$B$36:$S$52,IF(A100&lt;=Calculos!$B$4,A100,A100-Calculos!$B$4),MOD(96-1,Calculos!$B$6)+1)),IF(MOD(IF(A100&lt;=Calculos!$B$4,A100,A100-Calculos!$B$4)+MOD(96-1,Calculos!$B$6)+1,2)=0,INDEX(Calculos!$B$36:$S$52,IF(A100&lt;=Calculos!$B$4,A100,A100-Calculos!$B$4),MOD(96-1,Calculos!$B$6)+1),INDEX(Calculos!$B$36:$S$52,IF(A100&lt;=Calculos!$B$4,A100,A100-Calculos!$B$4),Calculos!$B$2+1-MOD(96-1,Calculos!$B$6)+1)))))</f>
        <v/>
      </c>
      <c r="G100" s="9" t="str">
        <f t="shared" si="7"/>
        <v/>
      </c>
      <c r="H100" s="9" t="str">
        <f>IF(OR(C100="",F100=""),"",IF(AND(ISNUMBER(D100),ISNUMBER(E100)),IF(D100&gt;E100,Inicio!$E$6,IF(D100=E100,Inicio!$F$6,Inicio!$G$6)),""))</f>
        <v/>
      </c>
      <c r="I100" s="9" t="str">
        <f>IF(OR(C100="",F100=""),"",IF(AND(ISNUMBER(D100),ISNUMBER(E100)),IF(D100&lt;E100,Inicio!$E$6,IF(D100=E100,Inicio!$F$6,Inicio!$G$6)),""))</f>
        <v/>
      </c>
      <c r="J100" s="9">
        <f t="shared" si="8"/>
        <v>0</v>
      </c>
      <c r="K100" s="9">
        <f t="shared" si="9"/>
        <v>0</v>
      </c>
      <c r="L100" s="9">
        <f t="shared" si="10"/>
        <v>0</v>
      </c>
      <c r="M100" s="9">
        <f t="shared" si="11"/>
        <v>0</v>
      </c>
      <c r="N100" s="9">
        <f t="shared" si="12"/>
        <v>0</v>
      </c>
      <c r="O100" s="9">
        <f t="shared" si="13"/>
        <v>0</v>
      </c>
    </row>
    <row r="101" spans="1:15" x14ac:dyDescent="0.25">
      <c r="A101" s="9" t="str">
        <f>IF(OR(Calculos!$B$7=0,97&gt;Calculos!$B$7),"",INT((97-1)/Calculos!$B$6)+1)</f>
        <v/>
      </c>
      <c r="B101" s="10" t="str">
        <f>IF(A101="","",Inicio!$E$5+(A101-1)*Inicio!$B$6)</f>
        <v/>
      </c>
      <c r="C101" s="11" t="str">
        <f>IF(A101="","",INDEX(Calculos!$B$11:$B$28,IF(A101&gt;Calculos!$B$4,IF(MOD(IF(A101&lt;=Calculos!$B$4,A101,A101-Calculos!$B$4)+MOD(97-1,Calculos!$B$6)+1,2)=0,INDEX(Calculos!$B$36:$S$52,IF(A101&lt;=Calculos!$B$4,A101,A101-Calculos!$B$4),MOD(97-1,Calculos!$B$6)+1),INDEX(Calculos!$B$36:$S$52,IF(A101&lt;=Calculos!$B$4,A101,A101-Calculos!$B$4),Calculos!$B$2+1-MOD(97-1,Calculos!$B$6)+1)),IF(MOD(IF(A101&lt;=Calculos!$B$4,A101,A101-Calculos!$B$4)+MOD(97-1,Calculos!$B$6)+1,2)=0,INDEX(Calculos!$B$36:$S$52,IF(A101&lt;=Calculos!$B$4,A101,A101-Calculos!$B$4),Calculos!$B$2+1-MOD(97-1,Calculos!$B$6)+1),INDEX(Calculos!$B$36:$S$52,IF(A101&lt;=Calculos!$B$4,A101,A101-Calculos!$B$4),MOD(97-1,Calculos!$B$6)+1)))))</f>
        <v/>
      </c>
      <c r="D101" s="4"/>
      <c r="E101" s="4"/>
      <c r="F101" s="11" t="str">
        <f>IF(A101="","",INDEX(Calculos!$B$11:$B$28,IF(A101&gt;Calculos!$B$4,IF(MOD(IF(A101&lt;=Calculos!$B$4,A101,A101-Calculos!$B$4)+MOD(97-1,Calculos!$B$6)+1,2)=0,INDEX(Calculos!$B$36:$S$52,IF(A101&lt;=Calculos!$B$4,A101,A101-Calculos!$B$4),Calculos!$B$2+1-MOD(97-1,Calculos!$B$6)+1),INDEX(Calculos!$B$36:$S$52,IF(A101&lt;=Calculos!$B$4,A101,A101-Calculos!$B$4),MOD(97-1,Calculos!$B$6)+1)),IF(MOD(IF(A101&lt;=Calculos!$B$4,A101,A101-Calculos!$B$4)+MOD(97-1,Calculos!$B$6)+1,2)=0,INDEX(Calculos!$B$36:$S$52,IF(A101&lt;=Calculos!$B$4,A101,A101-Calculos!$B$4),MOD(97-1,Calculos!$B$6)+1),INDEX(Calculos!$B$36:$S$52,IF(A101&lt;=Calculos!$B$4,A101,A101-Calculos!$B$4),Calculos!$B$2+1-MOD(97-1,Calculos!$B$6)+1)))))</f>
        <v/>
      </c>
      <c r="G101" s="9" t="str">
        <f t="shared" si="7"/>
        <v/>
      </c>
      <c r="H101" s="9" t="str">
        <f>IF(OR(C101="",F101=""),"",IF(AND(ISNUMBER(D101),ISNUMBER(E101)),IF(D101&gt;E101,Inicio!$E$6,IF(D101=E101,Inicio!$F$6,Inicio!$G$6)),""))</f>
        <v/>
      </c>
      <c r="I101" s="9" t="str">
        <f>IF(OR(C101="",F101=""),"",IF(AND(ISNUMBER(D101),ISNUMBER(E101)),IF(D101&lt;E101,Inicio!$E$6,IF(D101=E101,Inicio!$F$6,Inicio!$G$6)),""))</f>
        <v/>
      </c>
      <c r="J101" s="9">
        <f t="shared" si="8"/>
        <v>0</v>
      </c>
      <c r="K101" s="9">
        <f t="shared" si="9"/>
        <v>0</v>
      </c>
      <c r="L101" s="9">
        <f t="shared" si="10"/>
        <v>0</v>
      </c>
      <c r="M101" s="9">
        <f t="shared" si="11"/>
        <v>0</v>
      </c>
      <c r="N101" s="9">
        <f t="shared" si="12"/>
        <v>0</v>
      </c>
      <c r="O101" s="9">
        <f t="shared" si="13"/>
        <v>0</v>
      </c>
    </row>
    <row r="102" spans="1:15" x14ac:dyDescent="0.25">
      <c r="A102" s="9" t="str">
        <f>IF(OR(Calculos!$B$7=0,98&gt;Calculos!$B$7),"",INT((98-1)/Calculos!$B$6)+1)</f>
        <v/>
      </c>
      <c r="B102" s="10" t="str">
        <f>IF(A102="","",Inicio!$E$5+(A102-1)*Inicio!$B$6)</f>
        <v/>
      </c>
      <c r="C102" s="11" t="str">
        <f>IF(A102="","",INDEX(Calculos!$B$11:$B$28,IF(A102&gt;Calculos!$B$4,IF(MOD(IF(A102&lt;=Calculos!$B$4,A102,A102-Calculos!$B$4)+MOD(98-1,Calculos!$B$6)+1,2)=0,INDEX(Calculos!$B$36:$S$52,IF(A102&lt;=Calculos!$B$4,A102,A102-Calculos!$B$4),MOD(98-1,Calculos!$B$6)+1),INDEX(Calculos!$B$36:$S$52,IF(A102&lt;=Calculos!$B$4,A102,A102-Calculos!$B$4),Calculos!$B$2+1-MOD(98-1,Calculos!$B$6)+1)),IF(MOD(IF(A102&lt;=Calculos!$B$4,A102,A102-Calculos!$B$4)+MOD(98-1,Calculos!$B$6)+1,2)=0,INDEX(Calculos!$B$36:$S$52,IF(A102&lt;=Calculos!$B$4,A102,A102-Calculos!$B$4),Calculos!$B$2+1-MOD(98-1,Calculos!$B$6)+1),INDEX(Calculos!$B$36:$S$52,IF(A102&lt;=Calculos!$B$4,A102,A102-Calculos!$B$4),MOD(98-1,Calculos!$B$6)+1)))))</f>
        <v/>
      </c>
      <c r="D102" s="4"/>
      <c r="E102" s="4"/>
      <c r="F102" s="11" t="str">
        <f>IF(A102="","",INDEX(Calculos!$B$11:$B$28,IF(A102&gt;Calculos!$B$4,IF(MOD(IF(A102&lt;=Calculos!$B$4,A102,A102-Calculos!$B$4)+MOD(98-1,Calculos!$B$6)+1,2)=0,INDEX(Calculos!$B$36:$S$52,IF(A102&lt;=Calculos!$B$4,A102,A102-Calculos!$B$4),Calculos!$B$2+1-MOD(98-1,Calculos!$B$6)+1),INDEX(Calculos!$B$36:$S$52,IF(A102&lt;=Calculos!$B$4,A102,A102-Calculos!$B$4),MOD(98-1,Calculos!$B$6)+1)),IF(MOD(IF(A102&lt;=Calculos!$B$4,A102,A102-Calculos!$B$4)+MOD(98-1,Calculos!$B$6)+1,2)=0,INDEX(Calculos!$B$36:$S$52,IF(A102&lt;=Calculos!$B$4,A102,A102-Calculos!$B$4),MOD(98-1,Calculos!$B$6)+1),INDEX(Calculos!$B$36:$S$52,IF(A102&lt;=Calculos!$B$4,A102,A102-Calculos!$B$4),Calculos!$B$2+1-MOD(98-1,Calculos!$B$6)+1)))))</f>
        <v/>
      </c>
      <c r="G102" s="9" t="str">
        <f t="shared" si="7"/>
        <v/>
      </c>
      <c r="H102" s="9" t="str">
        <f>IF(OR(C102="",F102=""),"",IF(AND(ISNUMBER(D102),ISNUMBER(E102)),IF(D102&gt;E102,Inicio!$E$6,IF(D102=E102,Inicio!$F$6,Inicio!$G$6)),""))</f>
        <v/>
      </c>
      <c r="I102" s="9" t="str">
        <f>IF(OR(C102="",F102=""),"",IF(AND(ISNUMBER(D102),ISNUMBER(E102)),IF(D102&lt;E102,Inicio!$E$6,IF(D102=E102,Inicio!$F$6,Inicio!$G$6)),""))</f>
        <v/>
      </c>
      <c r="J102" s="9">
        <f t="shared" si="8"/>
        <v>0</v>
      </c>
      <c r="K102" s="9">
        <f t="shared" si="9"/>
        <v>0</v>
      </c>
      <c r="L102" s="9">
        <f t="shared" si="10"/>
        <v>0</v>
      </c>
      <c r="M102" s="9">
        <f t="shared" si="11"/>
        <v>0</v>
      </c>
      <c r="N102" s="9">
        <f t="shared" si="12"/>
        <v>0</v>
      </c>
      <c r="O102" s="9">
        <f t="shared" si="13"/>
        <v>0</v>
      </c>
    </row>
    <row r="103" spans="1:15" x14ac:dyDescent="0.25">
      <c r="A103" s="9" t="str">
        <f>IF(OR(Calculos!$B$7=0,99&gt;Calculos!$B$7),"",INT((99-1)/Calculos!$B$6)+1)</f>
        <v/>
      </c>
      <c r="B103" s="10" t="str">
        <f>IF(A103="","",Inicio!$E$5+(A103-1)*Inicio!$B$6)</f>
        <v/>
      </c>
      <c r="C103" s="11" t="str">
        <f>IF(A103="","",INDEX(Calculos!$B$11:$B$28,IF(A103&gt;Calculos!$B$4,IF(MOD(IF(A103&lt;=Calculos!$B$4,A103,A103-Calculos!$B$4)+MOD(99-1,Calculos!$B$6)+1,2)=0,INDEX(Calculos!$B$36:$S$52,IF(A103&lt;=Calculos!$B$4,A103,A103-Calculos!$B$4),MOD(99-1,Calculos!$B$6)+1),INDEX(Calculos!$B$36:$S$52,IF(A103&lt;=Calculos!$B$4,A103,A103-Calculos!$B$4),Calculos!$B$2+1-MOD(99-1,Calculos!$B$6)+1)),IF(MOD(IF(A103&lt;=Calculos!$B$4,A103,A103-Calculos!$B$4)+MOD(99-1,Calculos!$B$6)+1,2)=0,INDEX(Calculos!$B$36:$S$52,IF(A103&lt;=Calculos!$B$4,A103,A103-Calculos!$B$4),Calculos!$B$2+1-MOD(99-1,Calculos!$B$6)+1),INDEX(Calculos!$B$36:$S$52,IF(A103&lt;=Calculos!$B$4,A103,A103-Calculos!$B$4),MOD(99-1,Calculos!$B$6)+1)))))</f>
        <v/>
      </c>
      <c r="D103" s="4"/>
      <c r="E103" s="4"/>
      <c r="F103" s="11" t="str">
        <f>IF(A103="","",INDEX(Calculos!$B$11:$B$28,IF(A103&gt;Calculos!$B$4,IF(MOD(IF(A103&lt;=Calculos!$B$4,A103,A103-Calculos!$B$4)+MOD(99-1,Calculos!$B$6)+1,2)=0,INDEX(Calculos!$B$36:$S$52,IF(A103&lt;=Calculos!$B$4,A103,A103-Calculos!$B$4),Calculos!$B$2+1-MOD(99-1,Calculos!$B$6)+1),INDEX(Calculos!$B$36:$S$52,IF(A103&lt;=Calculos!$B$4,A103,A103-Calculos!$B$4),MOD(99-1,Calculos!$B$6)+1)),IF(MOD(IF(A103&lt;=Calculos!$B$4,A103,A103-Calculos!$B$4)+MOD(99-1,Calculos!$B$6)+1,2)=0,INDEX(Calculos!$B$36:$S$52,IF(A103&lt;=Calculos!$B$4,A103,A103-Calculos!$B$4),MOD(99-1,Calculos!$B$6)+1),INDEX(Calculos!$B$36:$S$52,IF(A103&lt;=Calculos!$B$4,A103,A103-Calculos!$B$4),Calculos!$B$2+1-MOD(99-1,Calculos!$B$6)+1)))))</f>
        <v/>
      </c>
      <c r="G103" s="9" t="str">
        <f t="shared" si="7"/>
        <v/>
      </c>
      <c r="H103" s="9" t="str">
        <f>IF(OR(C103="",F103=""),"",IF(AND(ISNUMBER(D103),ISNUMBER(E103)),IF(D103&gt;E103,Inicio!$E$6,IF(D103=E103,Inicio!$F$6,Inicio!$G$6)),""))</f>
        <v/>
      </c>
      <c r="I103" s="9" t="str">
        <f>IF(OR(C103="",F103=""),"",IF(AND(ISNUMBER(D103),ISNUMBER(E103)),IF(D103&lt;E103,Inicio!$E$6,IF(D103=E103,Inicio!$F$6,Inicio!$G$6)),""))</f>
        <v/>
      </c>
      <c r="J103" s="9">
        <f t="shared" si="8"/>
        <v>0</v>
      </c>
      <c r="K103" s="9">
        <f t="shared" si="9"/>
        <v>0</v>
      </c>
      <c r="L103" s="9">
        <f t="shared" si="10"/>
        <v>0</v>
      </c>
      <c r="M103" s="9">
        <f t="shared" si="11"/>
        <v>0</v>
      </c>
      <c r="N103" s="9">
        <f t="shared" si="12"/>
        <v>0</v>
      </c>
      <c r="O103" s="9">
        <f t="shared" si="13"/>
        <v>0</v>
      </c>
    </row>
    <row r="104" spans="1:15" x14ac:dyDescent="0.25">
      <c r="A104" s="9" t="str">
        <f>IF(OR(Calculos!$B$7=0,100&gt;Calculos!$B$7),"",INT((100-1)/Calculos!$B$6)+1)</f>
        <v/>
      </c>
      <c r="B104" s="10" t="str">
        <f>IF(A104="","",Inicio!$E$5+(A104-1)*Inicio!$B$6)</f>
        <v/>
      </c>
      <c r="C104" s="11" t="str">
        <f>IF(A104="","",INDEX(Calculos!$B$11:$B$28,IF(A104&gt;Calculos!$B$4,IF(MOD(IF(A104&lt;=Calculos!$B$4,A104,A104-Calculos!$B$4)+MOD(100-1,Calculos!$B$6)+1,2)=0,INDEX(Calculos!$B$36:$S$52,IF(A104&lt;=Calculos!$B$4,A104,A104-Calculos!$B$4),MOD(100-1,Calculos!$B$6)+1),INDEX(Calculos!$B$36:$S$52,IF(A104&lt;=Calculos!$B$4,A104,A104-Calculos!$B$4),Calculos!$B$2+1-MOD(100-1,Calculos!$B$6)+1)),IF(MOD(IF(A104&lt;=Calculos!$B$4,A104,A104-Calculos!$B$4)+MOD(100-1,Calculos!$B$6)+1,2)=0,INDEX(Calculos!$B$36:$S$52,IF(A104&lt;=Calculos!$B$4,A104,A104-Calculos!$B$4),Calculos!$B$2+1-MOD(100-1,Calculos!$B$6)+1),INDEX(Calculos!$B$36:$S$52,IF(A104&lt;=Calculos!$B$4,A104,A104-Calculos!$B$4),MOD(100-1,Calculos!$B$6)+1)))))</f>
        <v/>
      </c>
      <c r="D104" s="4"/>
      <c r="E104" s="4"/>
      <c r="F104" s="11" t="str">
        <f>IF(A104="","",INDEX(Calculos!$B$11:$B$28,IF(A104&gt;Calculos!$B$4,IF(MOD(IF(A104&lt;=Calculos!$B$4,A104,A104-Calculos!$B$4)+MOD(100-1,Calculos!$B$6)+1,2)=0,INDEX(Calculos!$B$36:$S$52,IF(A104&lt;=Calculos!$B$4,A104,A104-Calculos!$B$4),Calculos!$B$2+1-MOD(100-1,Calculos!$B$6)+1),INDEX(Calculos!$B$36:$S$52,IF(A104&lt;=Calculos!$B$4,A104,A104-Calculos!$B$4),MOD(100-1,Calculos!$B$6)+1)),IF(MOD(IF(A104&lt;=Calculos!$B$4,A104,A104-Calculos!$B$4)+MOD(100-1,Calculos!$B$6)+1,2)=0,INDEX(Calculos!$B$36:$S$52,IF(A104&lt;=Calculos!$B$4,A104,A104-Calculos!$B$4),MOD(100-1,Calculos!$B$6)+1),INDEX(Calculos!$B$36:$S$52,IF(A104&lt;=Calculos!$B$4,A104,A104-Calculos!$B$4),Calculos!$B$2+1-MOD(100-1,Calculos!$B$6)+1)))))</f>
        <v/>
      </c>
      <c r="G104" s="9" t="str">
        <f t="shared" si="7"/>
        <v/>
      </c>
      <c r="H104" s="9" t="str">
        <f>IF(OR(C104="",F104=""),"",IF(AND(ISNUMBER(D104),ISNUMBER(E104)),IF(D104&gt;E104,Inicio!$E$6,IF(D104=E104,Inicio!$F$6,Inicio!$G$6)),""))</f>
        <v/>
      </c>
      <c r="I104" s="9" t="str">
        <f>IF(OR(C104="",F104=""),"",IF(AND(ISNUMBER(D104),ISNUMBER(E104)),IF(D104&lt;E104,Inicio!$E$6,IF(D104=E104,Inicio!$F$6,Inicio!$G$6)),""))</f>
        <v/>
      </c>
      <c r="J104" s="9">
        <f t="shared" si="8"/>
        <v>0</v>
      </c>
      <c r="K104" s="9">
        <f t="shared" si="9"/>
        <v>0</v>
      </c>
      <c r="L104" s="9">
        <f t="shared" si="10"/>
        <v>0</v>
      </c>
      <c r="M104" s="9">
        <f t="shared" si="11"/>
        <v>0</v>
      </c>
      <c r="N104" s="9">
        <f t="shared" si="12"/>
        <v>0</v>
      </c>
      <c r="O104" s="9">
        <f t="shared" si="13"/>
        <v>0</v>
      </c>
    </row>
    <row r="105" spans="1:15" x14ac:dyDescent="0.25">
      <c r="A105" s="9" t="str">
        <f>IF(OR(Calculos!$B$7=0,101&gt;Calculos!$B$7),"",INT((101-1)/Calculos!$B$6)+1)</f>
        <v/>
      </c>
      <c r="B105" s="10" t="str">
        <f>IF(A105="","",Inicio!$E$5+(A105-1)*Inicio!$B$6)</f>
        <v/>
      </c>
      <c r="C105" s="11" t="str">
        <f>IF(A105="","",INDEX(Calculos!$B$11:$B$28,IF(A105&gt;Calculos!$B$4,IF(MOD(IF(A105&lt;=Calculos!$B$4,A105,A105-Calculos!$B$4)+MOD(101-1,Calculos!$B$6)+1,2)=0,INDEX(Calculos!$B$36:$S$52,IF(A105&lt;=Calculos!$B$4,A105,A105-Calculos!$B$4),MOD(101-1,Calculos!$B$6)+1),INDEX(Calculos!$B$36:$S$52,IF(A105&lt;=Calculos!$B$4,A105,A105-Calculos!$B$4),Calculos!$B$2+1-MOD(101-1,Calculos!$B$6)+1)),IF(MOD(IF(A105&lt;=Calculos!$B$4,A105,A105-Calculos!$B$4)+MOD(101-1,Calculos!$B$6)+1,2)=0,INDEX(Calculos!$B$36:$S$52,IF(A105&lt;=Calculos!$B$4,A105,A105-Calculos!$B$4),Calculos!$B$2+1-MOD(101-1,Calculos!$B$6)+1),INDEX(Calculos!$B$36:$S$52,IF(A105&lt;=Calculos!$B$4,A105,A105-Calculos!$B$4),MOD(101-1,Calculos!$B$6)+1)))))</f>
        <v/>
      </c>
      <c r="D105" s="4"/>
      <c r="E105" s="4"/>
      <c r="F105" s="11" t="str">
        <f>IF(A105="","",INDEX(Calculos!$B$11:$B$28,IF(A105&gt;Calculos!$B$4,IF(MOD(IF(A105&lt;=Calculos!$B$4,A105,A105-Calculos!$B$4)+MOD(101-1,Calculos!$B$6)+1,2)=0,INDEX(Calculos!$B$36:$S$52,IF(A105&lt;=Calculos!$B$4,A105,A105-Calculos!$B$4),Calculos!$B$2+1-MOD(101-1,Calculos!$B$6)+1),INDEX(Calculos!$B$36:$S$52,IF(A105&lt;=Calculos!$B$4,A105,A105-Calculos!$B$4),MOD(101-1,Calculos!$B$6)+1)),IF(MOD(IF(A105&lt;=Calculos!$B$4,A105,A105-Calculos!$B$4)+MOD(101-1,Calculos!$B$6)+1,2)=0,INDEX(Calculos!$B$36:$S$52,IF(A105&lt;=Calculos!$B$4,A105,A105-Calculos!$B$4),MOD(101-1,Calculos!$B$6)+1),INDEX(Calculos!$B$36:$S$52,IF(A105&lt;=Calculos!$B$4,A105,A105-Calculos!$B$4),Calculos!$B$2+1-MOD(101-1,Calculos!$B$6)+1)))))</f>
        <v/>
      </c>
      <c r="G105" s="9" t="str">
        <f t="shared" si="7"/>
        <v/>
      </c>
      <c r="H105" s="9" t="str">
        <f>IF(OR(C105="",F105=""),"",IF(AND(ISNUMBER(D105),ISNUMBER(E105)),IF(D105&gt;E105,Inicio!$E$6,IF(D105=E105,Inicio!$F$6,Inicio!$G$6)),""))</f>
        <v/>
      </c>
      <c r="I105" s="9" t="str">
        <f>IF(OR(C105="",F105=""),"",IF(AND(ISNUMBER(D105),ISNUMBER(E105)),IF(D105&lt;E105,Inicio!$E$6,IF(D105=E105,Inicio!$F$6,Inicio!$G$6)),""))</f>
        <v/>
      </c>
      <c r="J105" s="9">
        <f t="shared" si="8"/>
        <v>0</v>
      </c>
      <c r="K105" s="9">
        <f t="shared" si="9"/>
        <v>0</v>
      </c>
      <c r="L105" s="9">
        <f t="shared" si="10"/>
        <v>0</v>
      </c>
      <c r="M105" s="9">
        <f t="shared" si="11"/>
        <v>0</v>
      </c>
      <c r="N105" s="9">
        <f t="shared" si="12"/>
        <v>0</v>
      </c>
      <c r="O105" s="9">
        <f t="shared" si="13"/>
        <v>0</v>
      </c>
    </row>
    <row r="106" spans="1:15" x14ac:dyDescent="0.25">
      <c r="A106" s="9" t="str">
        <f>IF(OR(Calculos!$B$7=0,102&gt;Calculos!$B$7),"",INT((102-1)/Calculos!$B$6)+1)</f>
        <v/>
      </c>
      <c r="B106" s="10" t="str">
        <f>IF(A106="","",Inicio!$E$5+(A106-1)*Inicio!$B$6)</f>
        <v/>
      </c>
      <c r="C106" s="11" t="str">
        <f>IF(A106="","",INDEX(Calculos!$B$11:$B$28,IF(A106&gt;Calculos!$B$4,IF(MOD(IF(A106&lt;=Calculos!$B$4,A106,A106-Calculos!$B$4)+MOD(102-1,Calculos!$B$6)+1,2)=0,INDEX(Calculos!$B$36:$S$52,IF(A106&lt;=Calculos!$B$4,A106,A106-Calculos!$B$4),MOD(102-1,Calculos!$B$6)+1),INDEX(Calculos!$B$36:$S$52,IF(A106&lt;=Calculos!$B$4,A106,A106-Calculos!$B$4),Calculos!$B$2+1-MOD(102-1,Calculos!$B$6)+1)),IF(MOD(IF(A106&lt;=Calculos!$B$4,A106,A106-Calculos!$B$4)+MOD(102-1,Calculos!$B$6)+1,2)=0,INDEX(Calculos!$B$36:$S$52,IF(A106&lt;=Calculos!$B$4,A106,A106-Calculos!$B$4),Calculos!$B$2+1-MOD(102-1,Calculos!$B$6)+1),INDEX(Calculos!$B$36:$S$52,IF(A106&lt;=Calculos!$B$4,A106,A106-Calculos!$B$4),MOD(102-1,Calculos!$B$6)+1)))))</f>
        <v/>
      </c>
      <c r="D106" s="4"/>
      <c r="E106" s="4"/>
      <c r="F106" s="11" t="str">
        <f>IF(A106="","",INDEX(Calculos!$B$11:$B$28,IF(A106&gt;Calculos!$B$4,IF(MOD(IF(A106&lt;=Calculos!$B$4,A106,A106-Calculos!$B$4)+MOD(102-1,Calculos!$B$6)+1,2)=0,INDEX(Calculos!$B$36:$S$52,IF(A106&lt;=Calculos!$B$4,A106,A106-Calculos!$B$4),Calculos!$B$2+1-MOD(102-1,Calculos!$B$6)+1),INDEX(Calculos!$B$36:$S$52,IF(A106&lt;=Calculos!$B$4,A106,A106-Calculos!$B$4),MOD(102-1,Calculos!$B$6)+1)),IF(MOD(IF(A106&lt;=Calculos!$B$4,A106,A106-Calculos!$B$4)+MOD(102-1,Calculos!$B$6)+1,2)=0,INDEX(Calculos!$B$36:$S$52,IF(A106&lt;=Calculos!$B$4,A106,A106-Calculos!$B$4),MOD(102-1,Calculos!$B$6)+1),INDEX(Calculos!$B$36:$S$52,IF(A106&lt;=Calculos!$B$4,A106,A106-Calculos!$B$4),Calculos!$B$2+1-MOD(102-1,Calculos!$B$6)+1)))))</f>
        <v/>
      </c>
      <c r="G106" s="9" t="str">
        <f t="shared" si="7"/>
        <v/>
      </c>
      <c r="H106" s="9" t="str">
        <f>IF(OR(C106="",F106=""),"",IF(AND(ISNUMBER(D106),ISNUMBER(E106)),IF(D106&gt;E106,Inicio!$E$6,IF(D106=E106,Inicio!$F$6,Inicio!$G$6)),""))</f>
        <v/>
      </c>
      <c r="I106" s="9" t="str">
        <f>IF(OR(C106="",F106=""),"",IF(AND(ISNUMBER(D106),ISNUMBER(E106)),IF(D106&lt;E106,Inicio!$E$6,IF(D106=E106,Inicio!$F$6,Inicio!$G$6)),""))</f>
        <v/>
      </c>
      <c r="J106" s="9">
        <f t="shared" si="8"/>
        <v>0</v>
      </c>
      <c r="K106" s="9">
        <f t="shared" si="9"/>
        <v>0</v>
      </c>
      <c r="L106" s="9">
        <f t="shared" si="10"/>
        <v>0</v>
      </c>
      <c r="M106" s="9">
        <f t="shared" si="11"/>
        <v>0</v>
      </c>
      <c r="N106" s="9">
        <f t="shared" si="12"/>
        <v>0</v>
      </c>
      <c r="O106" s="9">
        <f t="shared" si="13"/>
        <v>0</v>
      </c>
    </row>
    <row r="107" spans="1:15" x14ac:dyDescent="0.25">
      <c r="A107" s="9" t="str">
        <f>IF(OR(Calculos!$B$7=0,103&gt;Calculos!$B$7),"",INT((103-1)/Calculos!$B$6)+1)</f>
        <v/>
      </c>
      <c r="B107" s="10" t="str">
        <f>IF(A107="","",Inicio!$E$5+(A107-1)*Inicio!$B$6)</f>
        <v/>
      </c>
      <c r="C107" s="11" t="str">
        <f>IF(A107="","",INDEX(Calculos!$B$11:$B$28,IF(A107&gt;Calculos!$B$4,IF(MOD(IF(A107&lt;=Calculos!$B$4,A107,A107-Calculos!$B$4)+MOD(103-1,Calculos!$B$6)+1,2)=0,INDEX(Calculos!$B$36:$S$52,IF(A107&lt;=Calculos!$B$4,A107,A107-Calculos!$B$4),MOD(103-1,Calculos!$B$6)+1),INDEX(Calculos!$B$36:$S$52,IF(A107&lt;=Calculos!$B$4,A107,A107-Calculos!$B$4),Calculos!$B$2+1-MOD(103-1,Calculos!$B$6)+1)),IF(MOD(IF(A107&lt;=Calculos!$B$4,A107,A107-Calculos!$B$4)+MOD(103-1,Calculos!$B$6)+1,2)=0,INDEX(Calculos!$B$36:$S$52,IF(A107&lt;=Calculos!$B$4,A107,A107-Calculos!$B$4),Calculos!$B$2+1-MOD(103-1,Calculos!$B$6)+1),INDEX(Calculos!$B$36:$S$52,IF(A107&lt;=Calculos!$B$4,A107,A107-Calculos!$B$4),MOD(103-1,Calculos!$B$6)+1)))))</f>
        <v/>
      </c>
      <c r="D107" s="4"/>
      <c r="E107" s="4"/>
      <c r="F107" s="11" t="str">
        <f>IF(A107="","",INDEX(Calculos!$B$11:$B$28,IF(A107&gt;Calculos!$B$4,IF(MOD(IF(A107&lt;=Calculos!$B$4,A107,A107-Calculos!$B$4)+MOD(103-1,Calculos!$B$6)+1,2)=0,INDEX(Calculos!$B$36:$S$52,IF(A107&lt;=Calculos!$B$4,A107,A107-Calculos!$B$4),Calculos!$B$2+1-MOD(103-1,Calculos!$B$6)+1),INDEX(Calculos!$B$36:$S$52,IF(A107&lt;=Calculos!$B$4,A107,A107-Calculos!$B$4),MOD(103-1,Calculos!$B$6)+1)),IF(MOD(IF(A107&lt;=Calculos!$B$4,A107,A107-Calculos!$B$4)+MOD(103-1,Calculos!$B$6)+1,2)=0,INDEX(Calculos!$B$36:$S$52,IF(A107&lt;=Calculos!$B$4,A107,A107-Calculos!$B$4),MOD(103-1,Calculos!$B$6)+1),INDEX(Calculos!$B$36:$S$52,IF(A107&lt;=Calculos!$B$4,A107,A107-Calculos!$B$4),Calculos!$B$2+1-MOD(103-1,Calculos!$B$6)+1)))))</f>
        <v/>
      </c>
      <c r="G107" s="9" t="str">
        <f t="shared" si="7"/>
        <v/>
      </c>
      <c r="H107" s="9" t="str">
        <f>IF(OR(C107="",F107=""),"",IF(AND(ISNUMBER(D107),ISNUMBER(E107)),IF(D107&gt;E107,Inicio!$E$6,IF(D107=E107,Inicio!$F$6,Inicio!$G$6)),""))</f>
        <v/>
      </c>
      <c r="I107" s="9" t="str">
        <f>IF(OR(C107="",F107=""),"",IF(AND(ISNUMBER(D107),ISNUMBER(E107)),IF(D107&lt;E107,Inicio!$E$6,IF(D107=E107,Inicio!$F$6,Inicio!$G$6)),""))</f>
        <v/>
      </c>
      <c r="J107" s="9">
        <f t="shared" si="8"/>
        <v>0</v>
      </c>
      <c r="K107" s="9">
        <f t="shared" si="9"/>
        <v>0</v>
      </c>
      <c r="L107" s="9">
        <f t="shared" si="10"/>
        <v>0</v>
      </c>
      <c r="M107" s="9">
        <f t="shared" si="11"/>
        <v>0</v>
      </c>
      <c r="N107" s="9">
        <f t="shared" si="12"/>
        <v>0</v>
      </c>
      <c r="O107" s="9">
        <f t="shared" si="13"/>
        <v>0</v>
      </c>
    </row>
    <row r="108" spans="1:15" x14ac:dyDescent="0.25">
      <c r="A108" s="9" t="str">
        <f>IF(OR(Calculos!$B$7=0,104&gt;Calculos!$B$7),"",INT((104-1)/Calculos!$B$6)+1)</f>
        <v/>
      </c>
      <c r="B108" s="10" t="str">
        <f>IF(A108="","",Inicio!$E$5+(A108-1)*Inicio!$B$6)</f>
        <v/>
      </c>
      <c r="C108" s="11" t="str">
        <f>IF(A108="","",INDEX(Calculos!$B$11:$B$28,IF(A108&gt;Calculos!$B$4,IF(MOD(IF(A108&lt;=Calculos!$B$4,A108,A108-Calculos!$B$4)+MOD(104-1,Calculos!$B$6)+1,2)=0,INDEX(Calculos!$B$36:$S$52,IF(A108&lt;=Calculos!$B$4,A108,A108-Calculos!$B$4),MOD(104-1,Calculos!$B$6)+1),INDEX(Calculos!$B$36:$S$52,IF(A108&lt;=Calculos!$B$4,A108,A108-Calculos!$B$4),Calculos!$B$2+1-MOD(104-1,Calculos!$B$6)+1)),IF(MOD(IF(A108&lt;=Calculos!$B$4,A108,A108-Calculos!$B$4)+MOD(104-1,Calculos!$B$6)+1,2)=0,INDEX(Calculos!$B$36:$S$52,IF(A108&lt;=Calculos!$B$4,A108,A108-Calculos!$B$4),Calculos!$B$2+1-MOD(104-1,Calculos!$B$6)+1),INDEX(Calculos!$B$36:$S$52,IF(A108&lt;=Calculos!$B$4,A108,A108-Calculos!$B$4),MOD(104-1,Calculos!$B$6)+1)))))</f>
        <v/>
      </c>
      <c r="D108" s="4"/>
      <c r="E108" s="4"/>
      <c r="F108" s="11" t="str">
        <f>IF(A108="","",INDEX(Calculos!$B$11:$B$28,IF(A108&gt;Calculos!$B$4,IF(MOD(IF(A108&lt;=Calculos!$B$4,A108,A108-Calculos!$B$4)+MOD(104-1,Calculos!$B$6)+1,2)=0,INDEX(Calculos!$B$36:$S$52,IF(A108&lt;=Calculos!$B$4,A108,A108-Calculos!$B$4),Calculos!$B$2+1-MOD(104-1,Calculos!$B$6)+1),INDEX(Calculos!$B$36:$S$52,IF(A108&lt;=Calculos!$B$4,A108,A108-Calculos!$B$4),MOD(104-1,Calculos!$B$6)+1)),IF(MOD(IF(A108&lt;=Calculos!$B$4,A108,A108-Calculos!$B$4)+MOD(104-1,Calculos!$B$6)+1,2)=0,INDEX(Calculos!$B$36:$S$52,IF(A108&lt;=Calculos!$B$4,A108,A108-Calculos!$B$4),MOD(104-1,Calculos!$B$6)+1),INDEX(Calculos!$B$36:$S$52,IF(A108&lt;=Calculos!$B$4,A108,A108-Calculos!$B$4),Calculos!$B$2+1-MOD(104-1,Calculos!$B$6)+1)))))</f>
        <v/>
      </c>
      <c r="G108" s="9" t="str">
        <f t="shared" si="7"/>
        <v/>
      </c>
      <c r="H108" s="9" t="str">
        <f>IF(OR(C108="",F108=""),"",IF(AND(ISNUMBER(D108),ISNUMBER(E108)),IF(D108&gt;E108,Inicio!$E$6,IF(D108=E108,Inicio!$F$6,Inicio!$G$6)),""))</f>
        <v/>
      </c>
      <c r="I108" s="9" t="str">
        <f>IF(OR(C108="",F108=""),"",IF(AND(ISNUMBER(D108),ISNUMBER(E108)),IF(D108&lt;E108,Inicio!$E$6,IF(D108=E108,Inicio!$F$6,Inicio!$G$6)),""))</f>
        <v/>
      </c>
      <c r="J108" s="9">
        <f t="shared" si="8"/>
        <v>0</v>
      </c>
      <c r="K108" s="9">
        <f t="shared" si="9"/>
        <v>0</v>
      </c>
      <c r="L108" s="9">
        <f t="shared" si="10"/>
        <v>0</v>
      </c>
      <c r="M108" s="9">
        <f t="shared" si="11"/>
        <v>0</v>
      </c>
      <c r="N108" s="9">
        <f t="shared" si="12"/>
        <v>0</v>
      </c>
      <c r="O108" s="9">
        <f t="shared" si="13"/>
        <v>0</v>
      </c>
    </row>
    <row r="109" spans="1:15" x14ac:dyDescent="0.25">
      <c r="A109" s="9" t="str">
        <f>IF(OR(Calculos!$B$7=0,105&gt;Calculos!$B$7),"",INT((105-1)/Calculos!$B$6)+1)</f>
        <v/>
      </c>
      <c r="B109" s="10" t="str">
        <f>IF(A109="","",Inicio!$E$5+(A109-1)*Inicio!$B$6)</f>
        <v/>
      </c>
      <c r="C109" s="11" t="str">
        <f>IF(A109="","",INDEX(Calculos!$B$11:$B$28,IF(A109&gt;Calculos!$B$4,IF(MOD(IF(A109&lt;=Calculos!$B$4,A109,A109-Calculos!$B$4)+MOD(105-1,Calculos!$B$6)+1,2)=0,INDEX(Calculos!$B$36:$S$52,IF(A109&lt;=Calculos!$B$4,A109,A109-Calculos!$B$4),MOD(105-1,Calculos!$B$6)+1),INDEX(Calculos!$B$36:$S$52,IF(A109&lt;=Calculos!$B$4,A109,A109-Calculos!$B$4),Calculos!$B$2+1-MOD(105-1,Calculos!$B$6)+1)),IF(MOD(IF(A109&lt;=Calculos!$B$4,A109,A109-Calculos!$B$4)+MOD(105-1,Calculos!$B$6)+1,2)=0,INDEX(Calculos!$B$36:$S$52,IF(A109&lt;=Calculos!$B$4,A109,A109-Calculos!$B$4),Calculos!$B$2+1-MOD(105-1,Calculos!$B$6)+1),INDEX(Calculos!$B$36:$S$52,IF(A109&lt;=Calculos!$B$4,A109,A109-Calculos!$B$4),MOD(105-1,Calculos!$B$6)+1)))))</f>
        <v/>
      </c>
      <c r="D109" s="4"/>
      <c r="E109" s="4"/>
      <c r="F109" s="11" t="str">
        <f>IF(A109="","",INDEX(Calculos!$B$11:$B$28,IF(A109&gt;Calculos!$B$4,IF(MOD(IF(A109&lt;=Calculos!$B$4,A109,A109-Calculos!$B$4)+MOD(105-1,Calculos!$B$6)+1,2)=0,INDEX(Calculos!$B$36:$S$52,IF(A109&lt;=Calculos!$B$4,A109,A109-Calculos!$B$4),Calculos!$B$2+1-MOD(105-1,Calculos!$B$6)+1),INDEX(Calculos!$B$36:$S$52,IF(A109&lt;=Calculos!$B$4,A109,A109-Calculos!$B$4),MOD(105-1,Calculos!$B$6)+1)),IF(MOD(IF(A109&lt;=Calculos!$B$4,A109,A109-Calculos!$B$4)+MOD(105-1,Calculos!$B$6)+1,2)=0,INDEX(Calculos!$B$36:$S$52,IF(A109&lt;=Calculos!$B$4,A109,A109-Calculos!$B$4),MOD(105-1,Calculos!$B$6)+1),INDEX(Calculos!$B$36:$S$52,IF(A109&lt;=Calculos!$B$4,A109,A109-Calculos!$B$4),Calculos!$B$2+1-MOD(105-1,Calculos!$B$6)+1)))))</f>
        <v/>
      </c>
      <c r="G109" s="9" t="str">
        <f t="shared" si="7"/>
        <v/>
      </c>
      <c r="H109" s="9" t="str">
        <f>IF(OR(C109="",F109=""),"",IF(AND(ISNUMBER(D109),ISNUMBER(E109)),IF(D109&gt;E109,Inicio!$E$6,IF(D109=E109,Inicio!$F$6,Inicio!$G$6)),""))</f>
        <v/>
      </c>
      <c r="I109" s="9" t="str">
        <f>IF(OR(C109="",F109=""),"",IF(AND(ISNUMBER(D109),ISNUMBER(E109)),IF(D109&lt;E109,Inicio!$E$6,IF(D109=E109,Inicio!$F$6,Inicio!$G$6)),""))</f>
        <v/>
      </c>
      <c r="J109" s="9">
        <f t="shared" si="8"/>
        <v>0</v>
      </c>
      <c r="K109" s="9">
        <f t="shared" si="9"/>
        <v>0</v>
      </c>
      <c r="L109" s="9">
        <f t="shared" si="10"/>
        <v>0</v>
      </c>
      <c r="M109" s="9">
        <f t="shared" si="11"/>
        <v>0</v>
      </c>
      <c r="N109" s="9">
        <f t="shared" si="12"/>
        <v>0</v>
      </c>
      <c r="O109" s="9">
        <f t="shared" si="13"/>
        <v>0</v>
      </c>
    </row>
    <row r="110" spans="1:15" x14ac:dyDescent="0.25">
      <c r="A110" s="9" t="str">
        <f>IF(OR(Calculos!$B$7=0,106&gt;Calculos!$B$7),"",INT((106-1)/Calculos!$B$6)+1)</f>
        <v/>
      </c>
      <c r="B110" s="10" t="str">
        <f>IF(A110="","",Inicio!$E$5+(A110-1)*Inicio!$B$6)</f>
        <v/>
      </c>
      <c r="C110" s="11" t="str">
        <f>IF(A110="","",INDEX(Calculos!$B$11:$B$28,IF(A110&gt;Calculos!$B$4,IF(MOD(IF(A110&lt;=Calculos!$B$4,A110,A110-Calculos!$B$4)+MOD(106-1,Calculos!$B$6)+1,2)=0,INDEX(Calculos!$B$36:$S$52,IF(A110&lt;=Calculos!$B$4,A110,A110-Calculos!$B$4),MOD(106-1,Calculos!$B$6)+1),INDEX(Calculos!$B$36:$S$52,IF(A110&lt;=Calculos!$B$4,A110,A110-Calculos!$B$4),Calculos!$B$2+1-MOD(106-1,Calculos!$B$6)+1)),IF(MOD(IF(A110&lt;=Calculos!$B$4,A110,A110-Calculos!$B$4)+MOD(106-1,Calculos!$B$6)+1,2)=0,INDEX(Calculos!$B$36:$S$52,IF(A110&lt;=Calculos!$B$4,A110,A110-Calculos!$B$4),Calculos!$B$2+1-MOD(106-1,Calculos!$B$6)+1),INDEX(Calculos!$B$36:$S$52,IF(A110&lt;=Calculos!$B$4,A110,A110-Calculos!$B$4),MOD(106-1,Calculos!$B$6)+1)))))</f>
        <v/>
      </c>
      <c r="D110" s="4"/>
      <c r="E110" s="4"/>
      <c r="F110" s="11" t="str">
        <f>IF(A110="","",INDEX(Calculos!$B$11:$B$28,IF(A110&gt;Calculos!$B$4,IF(MOD(IF(A110&lt;=Calculos!$B$4,A110,A110-Calculos!$B$4)+MOD(106-1,Calculos!$B$6)+1,2)=0,INDEX(Calculos!$B$36:$S$52,IF(A110&lt;=Calculos!$B$4,A110,A110-Calculos!$B$4),Calculos!$B$2+1-MOD(106-1,Calculos!$B$6)+1),INDEX(Calculos!$B$36:$S$52,IF(A110&lt;=Calculos!$B$4,A110,A110-Calculos!$B$4),MOD(106-1,Calculos!$B$6)+1)),IF(MOD(IF(A110&lt;=Calculos!$B$4,A110,A110-Calculos!$B$4)+MOD(106-1,Calculos!$B$6)+1,2)=0,INDEX(Calculos!$B$36:$S$52,IF(A110&lt;=Calculos!$B$4,A110,A110-Calculos!$B$4),MOD(106-1,Calculos!$B$6)+1),INDEX(Calculos!$B$36:$S$52,IF(A110&lt;=Calculos!$B$4,A110,A110-Calculos!$B$4),Calculos!$B$2+1-MOD(106-1,Calculos!$B$6)+1)))))</f>
        <v/>
      </c>
      <c r="G110" s="9" t="str">
        <f t="shared" si="7"/>
        <v/>
      </c>
      <c r="H110" s="9" t="str">
        <f>IF(OR(C110="",F110=""),"",IF(AND(ISNUMBER(D110),ISNUMBER(E110)),IF(D110&gt;E110,Inicio!$E$6,IF(D110=E110,Inicio!$F$6,Inicio!$G$6)),""))</f>
        <v/>
      </c>
      <c r="I110" s="9" t="str">
        <f>IF(OR(C110="",F110=""),"",IF(AND(ISNUMBER(D110),ISNUMBER(E110)),IF(D110&lt;E110,Inicio!$E$6,IF(D110=E110,Inicio!$F$6,Inicio!$G$6)),""))</f>
        <v/>
      </c>
      <c r="J110" s="9">
        <f t="shared" si="8"/>
        <v>0</v>
      </c>
      <c r="K110" s="9">
        <f t="shared" si="9"/>
        <v>0</v>
      </c>
      <c r="L110" s="9">
        <f t="shared" si="10"/>
        <v>0</v>
      </c>
      <c r="M110" s="9">
        <f t="shared" si="11"/>
        <v>0</v>
      </c>
      <c r="N110" s="9">
        <f t="shared" si="12"/>
        <v>0</v>
      </c>
      <c r="O110" s="9">
        <f t="shared" si="13"/>
        <v>0</v>
      </c>
    </row>
    <row r="111" spans="1:15" x14ac:dyDescent="0.25">
      <c r="A111" s="9" t="str">
        <f>IF(OR(Calculos!$B$7=0,107&gt;Calculos!$B$7),"",INT((107-1)/Calculos!$B$6)+1)</f>
        <v/>
      </c>
      <c r="B111" s="10" t="str">
        <f>IF(A111="","",Inicio!$E$5+(A111-1)*Inicio!$B$6)</f>
        <v/>
      </c>
      <c r="C111" s="11" t="str">
        <f>IF(A111="","",INDEX(Calculos!$B$11:$B$28,IF(A111&gt;Calculos!$B$4,IF(MOD(IF(A111&lt;=Calculos!$B$4,A111,A111-Calculos!$B$4)+MOD(107-1,Calculos!$B$6)+1,2)=0,INDEX(Calculos!$B$36:$S$52,IF(A111&lt;=Calculos!$B$4,A111,A111-Calculos!$B$4),MOD(107-1,Calculos!$B$6)+1),INDEX(Calculos!$B$36:$S$52,IF(A111&lt;=Calculos!$B$4,A111,A111-Calculos!$B$4),Calculos!$B$2+1-MOD(107-1,Calculos!$B$6)+1)),IF(MOD(IF(A111&lt;=Calculos!$B$4,A111,A111-Calculos!$B$4)+MOD(107-1,Calculos!$B$6)+1,2)=0,INDEX(Calculos!$B$36:$S$52,IF(A111&lt;=Calculos!$B$4,A111,A111-Calculos!$B$4),Calculos!$B$2+1-MOD(107-1,Calculos!$B$6)+1),INDEX(Calculos!$B$36:$S$52,IF(A111&lt;=Calculos!$B$4,A111,A111-Calculos!$B$4),MOD(107-1,Calculos!$B$6)+1)))))</f>
        <v/>
      </c>
      <c r="D111" s="4"/>
      <c r="E111" s="4"/>
      <c r="F111" s="11" t="str">
        <f>IF(A111="","",INDEX(Calculos!$B$11:$B$28,IF(A111&gt;Calculos!$B$4,IF(MOD(IF(A111&lt;=Calculos!$B$4,A111,A111-Calculos!$B$4)+MOD(107-1,Calculos!$B$6)+1,2)=0,INDEX(Calculos!$B$36:$S$52,IF(A111&lt;=Calculos!$B$4,A111,A111-Calculos!$B$4),Calculos!$B$2+1-MOD(107-1,Calculos!$B$6)+1),INDEX(Calculos!$B$36:$S$52,IF(A111&lt;=Calculos!$B$4,A111,A111-Calculos!$B$4),MOD(107-1,Calculos!$B$6)+1)),IF(MOD(IF(A111&lt;=Calculos!$B$4,A111,A111-Calculos!$B$4)+MOD(107-1,Calculos!$B$6)+1,2)=0,INDEX(Calculos!$B$36:$S$52,IF(A111&lt;=Calculos!$B$4,A111,A111-Calculos!$B$4),MOD(107-1,Calculos!$B$6)+1),INDEX(Calculos!$B$36:$S$52,IF(A111&lt;=Calculos!$B$4,A111,A111-Calculos!$B$4),Calculos!$B$2+1-MOD(107-1,Calculos!$B$6)+1)))))</f>
        <v/>
      </c>
      <c r="G111" s="9" t="str">
        <f t="shared" si="7"/>
        <v/>
      </c>
      <c r="H111" s="9" t="str">
        <f>IF(OR(C111="",F111=""),"",IF(AND(ISNUMBER(D111),ISNUMBER(E111)),IF(D111&gt;E111,Inicio!$E$6,IF(D111=E111,Inicio!$F$6,Inicio!$G$6)),""))</f>
        <v/>
      </c>
      <c r="I111" s="9" t="str">
        <f>IF(OR(C111="",F111=""),"",IF(AND(ISNUMBER(D111),ISNUMBER(E111)),IF(D111&lt;E111,Inicio!$E$6,IF(D111=E111,Inicio!$F$6,Inicio!$G$6)),""))</f>
        <v/>
      </c>
      <c r="J111" s="9">
        <f t="shared" si="8"/>
        <v>0</v>
      </c>
      <c r="K111" s="9">
        <f t="shared" si="9"/>
        <v>0</v>
      </c>
      <c r="L111" s="9">
        <f t="shared" si="10"/>
        <v>0</v>
      </c>
      <c r="M111" s="9">
        <f t="shared" si="11"/>
        <v>0</v>
      </c>
      <c r="N111" s="9">
        <f t="shared" si="12"/>
        <v>0</v>
      </c>
      <c r="O111" s="9">
        <f t="shared" si="13"/>
        <v>0</v>
      </c>
    </row>
    <row r="112" spans="1:15" x14ac:dyDescent="0.25">
      <c r="A112" s="9" t="str">
        <f>IF(OR(Calculos!$B$7=0,108&gt;Calculos!$B$7),"",INT((108-1)/Calculos!$B$6)+1)</f>
        <v/>
      </c>
      <c r="B112" s="10" t="str">
        <f>IF(A112="","",Inicio!$E$5+(A112-1)*Inicio!$B$6)</f>
        <v/>
      </c>
      <c r="C112" s="11" t="str">
        <f>IF(A112="","",INDEX(Calculos!$B$11:$B$28,IF(A112&gt;Calculos!$B$4,IF(MOD(IF(A112&lt;=Calculos!$B$4,A112,A112-Calculos!$B$4)+MOD(108-1,Calculos!$B$6)+1,2)=0,INDEX(Calculos!$B$36:$S$52,IF(A112&lt;=Calculos!$B$4,A112,A112-Calculos!$B$4),MOD(108-1,Calculos!$B$6)+1),INDEX(Calculos!$B$36:$S$52,IF(A112&lt;=Calculos!$B$4,A112,A112-Calculos!$B$4),Calculos!$B$2+1-MOD(108-1,Calculos!$B$6)+1)),IF(MOD(IF(A112&lt;=Calculos!$B$4,A112,A112-Calculos!$B$4)+MOD(108-1,Calculos!$B$6)+1,2)=0,INDEX(Calculos!$B$36:$S$52,IF(A112&lt;=Calculos!$B$4,A112,A112-Calculos!$B$4),Calculos!$B$2+1-MOD(108-1,Calculos!$B$6)+1),INDEX(Calculos!$B$36:$S$52,IF(A112&lt;=Calculos!$B$4,A112,A112-Calculos!$B$4),MOD(108-1,Calculos!$B$6)+1)))))</f>
        <v/>
      </c>
      <c r="D112" s="4"/>
      <c r="E112" s="4"/>
      <c r="F112" s="11" t="str">
        <f>IF(A112="","",INDEX(Calculos!$B$11:$B$28,IF(A112&gt;Calculos!$B$4,IF(MOD(IF(A112&lt;=Calculos!$B$4,A112,A112-Calculos!$B$4)+MOD(108-1,Calculos!$B$6)+1,2)=0,INDEX(Calculos!$B$36:$S$52,IF(A112&lt;=Calculos!$B$4,A112,A112-Calculos!$B$4),Calculos!$B$2+1-MOD(108-1,Calculos!$B$6)+1),INDEX(Calculos!$B$36:$S$52,IF(A112&lt;=Calculos!$B$4,A112,A112-Calculos!$B$4),MOD(108-1,Calculos!$B$6)+1)),IF(MOD(IF(A112&lt;=Calculos!$B$4,A112,A112-Calculos!$B$4)+MOD(108-1,Calculos!$B$6)+1,2)=0,INDEX(Calculos!$B$36:$S$52,IF(A112&lt;=Calculos!$B$4,A112,A112-Calculos!$B$4),MOD(108-1,Calculos!$B$6)+1),INDEX(Calculos!$B$36:$S$52,IF(A112&lt;=Calculos!$B$4,A112,A112-Calculos!$B$4),Calculos!$B$2+1-MOD(108-1,Calculos!$B$6)+1)))))</f>
        <v/>
      </c>
      <c r="G112" s="9" t="str">
        <f t="shared" si="7"/>
        <v/>
      </c>
      <c r="H112" s="9" t="str">
        <f>IF(OR(C112="",F112=""),"",IF(AND(ISNUMBER(D112),ISNUMBER(E112)),IF(D112&gt;E112,Inicio!$E$6,IF(D112=E112,Inicio!$F$6,Inicio!$G$6)),""))</f>
        <v/>
      </c>
      <c r="I112" s="9" t="str">
        <f>IF(OR(C112="",F112=""),"",IF(AND(ISNUMBER(D112),ISNUMBER(E112)),IF(D112&lt;E112,Inicio!$E$6,IF(D112=E112,Inicio!$F$6,Inicio!$G$6)),""))</f>
        <v/>
      </c>
      <c r="J112" s="9">
        <f t="shared" si="8"/>
        <v>0</v>
      </c>
      <c r="K112" s="9">
        <f t="shared" si="9"/>
        <v>0</v>
      </c>
      <c r="L112" s="9">
        <f t="shared" si="10"/>
        <v>0</v>
      </c>
      <c r="M112" s="9">
        <f t="shared" si="11"/>
        <v>0</v>
      </c>
      <c r="N112" s="9">
        <f t="shared" si="12"/>
        <v>0</v>
      </c>
      <c r="O112" s="9">
        <f t="shared" si="13"/>
        <v>0</v>
      </c>
    </row>
    <row r="113" spans="1:15" x14ac:dyDescent="0.25">
      <c r="A113" s="9" t="str">
        <f>IF(OR(Calculos!$B$7=0,109&gt;Calculos!$B$7),"",INT((109-1)/Calculos!$B$6)+1)</f>
        <v/>
      </c>
      <c r="B113" s="10" t="str">
        <f>IF(A113="","",Inicio!$E$5+(A113-1)*Inicio!$B$6)</f>
        <v/>
      </c>
      <c r="C113" s="11" t="str">
        <f>IF(A113="","",INDEX(Calculos!$B$11:$B$28,IF(A113&gt;Calculos!$B$4,IF(MOD(IF(A113&lt;=Calculos!$B$4,A113,A113-Calculos!$B$4)+MOD(109-1,Calculos!$B$6)+1,2)=0,INDEX(Calculos!$B$36:$S$52,IF(A113&lt;=Calculos!$B$4,A113,A113-Calculos!$B$4),MOD(109-1,Calculos!$B$6)+1),INDEX(Calculos!$B$36:$S$52,IF(A113&lt;=Calculos!$B$4,A113,A113-Calculos!$B$4),Calculos!$B$2+1-MOD(109-1,Calculos!$B$6)+1)),IF(MOD(IF(A113&lt;=Calculos!$B$4,A113,A113-Calculos!$B$4)+MOD(109-1,Calculos!$B$6)+1,2)=0,INDEX(Calculos!$B$36:$S$52,IF(A113&lt;=Calculos!$B$4,A113,A113-Calculos!$B$4),Calculos!$B$2+1-MOD(109-1,Calculos!$B$6)+1),INDEX(Calculos!$B$36:$S$52,IF(A113&lt;=Calculos!$B$4,A113,A113-Calculos!$B$4),MOD(109-1,Calculos!$B$6)+1)))))</f>
        <v/>
      </c>
      <c r="D113" s="4"/>
      <c r="E113" s="4"/>
      <c r="F113" s="11" t="str">
        <f>IF(A113="","",INDEX(Calculos!$B$11:$B$28,IF(A113&gt;Calculos!$B$4,IF(MOD(IF(A113&lt;=Calculos!$B$4,A113,A113-Calculos!$B$4)+MOD(109-1,Calculos!$B$6)+1,2)=0,INDEX(Calculos!$B$36:$S$52,IF(A113&lt;=Calculos!$B$4,A113,A113-Calculos!$B$4),Calculos!$B$2+1-MOD(109-1,Calculos!$B$6)+1),INDEX(Calculos!$B$36:$S$52,IF(A113&lt;=Calculos!$B$4,A113,A113-Calculos!$B$4),MOD(109-1,Calculos!$B$6)+1)),IF(MOD(IF(A113&lt;=Calculos!$B$4,A113,A113-Calculos!$B$4)+MOD(109-1,Calculos!$B$6)+1,2)=0,INDEX(Calculos!$B$36:$S$52,IF(A113&lt;=Calculos!$B$4,A113,A113-Calculos!$B$4),MOD(109-1,Calculos!$B$6)+1),INDEX(Calculos!$B$36:$S$52,IF(A113&lt;=Calculos!$B$4,A113,A113-Calculos!$B$4),Calculos!$B$2+1-MOD(109-1,Calculos!$B$6)+1)))))</f>
        <v/>
      </c>
      <c r="G113" s="9" t="str">
        <f t="shared" si="7"/>
        <v/>
      </c>
      <c r="H113" s="9" t="str">
        <f>IF(OR(C113="",F113=""),"",IF(AND(ISNUMBER(D113),ISNUMBER(E113)),IF(D113&gt;E113,Inicio!$E$6,IF(D113=E113,Inicio!$F$6,Inicio!$G$6)),""))</f>
        <v/>
      </c>
      <c r="I113" s="9" t="str">
        <f>IF(OR(C113="",F113=""),"",IF(AND(ISNUMBER(D113),ISNUMBER(E113)),IF(D113&lt;E113,Inicio!$E$6,IF(D113=E113,Inicio!$F$6,Inicio!$G$6)),""))</f>
        <v/>
      </c>
      <c r="J113" s="9">
        <f t="shared" si="8"/>
        <v>0</v>
      </c>
      <c r="K113" s="9">
        <f t="shared" si="9"/>
        <v>0</v>
      </c>
      <c r="L113" s="9">
        <f t="shared" si="10"/>
        <v>0</v>
      </c>
      <c r="M113" s="9">
        <f t="shared" si="11"/>
        <v>0</v>
      </c>
      <c r="N113" s="9">
        <f t="shared" si="12"/>
        <v>0</v>
      </c>
      <c r="O113" s="9">
        <f t="shared" si="13"/>
        <v>0</v>
      </c>
    </row>
    <row r="114" spans="1:15" x14ac:dyDescent="0.25">
      <c r="A114" s="9" t="str">
        <f>IF(OR(Calculos!$B$7=0,110&gt;Calculos!$B$7),"",INT((110-1)/Calculos!$B$6)+1)</f>
        <v/>
      </c>
      <c r="B114" s="10" t="str">
        <f>IF(A114="","",Inicio!$E$5+(A114-1)*Inicio!$B$6)</f>
        <v/>
      </c>
      <c r="C114" s="11" t="str">
        <f>IF(A114="","",INDEX(Calculos!$B$11:$B$28,IF(A114&gt;Calculos!$B$4,IF(MOD(IF(A114&lt;=Calculos!$B$4,A114,A114-Calculos!$B$4)+MOD(110-1,Calculos!$B$6)+1,2)=0,INDEX(Calculos!$B$36:$S$52,IF(A114&lt;=Calculos!$B$4,A114,A114-Calculos!$B$4),MOD(110-1,Calculos!$B$6)+1),INDEX(Calculos!$B$36:$S$52,IF(A114&lt;=Calculos!$B$4,A114,A114-Calculos!$B$4),Calculos!$B$2+1-MOD(110-1,Calculos!$B$6)+1)),IF(MOD(IF(A114&lt;=Calculos!$B$4,A114,A114-Calculos!$B$4)+MOD(110-1,Calculos!$B$6)+1,2)=0,INDEX(Calculos!$B$36:$S$52,IF(A114&lt;=Calculos!$B$4,A114,A114-Calculos!$B$4),Calculos!$B$2+1-MOD(110-1,Calculos!$B$6)+1),INDEX(Calculos!$B$36:$S$52,IF(A114&lt;=Calculos!$B$4,A114,A114-Calculos!$B$4),MOD(110-1,Calculos!$B$6)+1)))))</f>
        <v/>
      </c>
      <c r="D114" s="4"/>
      <c r="E114" s="4"/>
      <c r="F114" s="11" t="str">
        <f>IF(A114="","",INDEX(Calculos!$B$11:$B$28,IF(A114&gt;Calculos!$B$4,IF(MOD(IF(A114&lt;=Calculos!$B$4,A114,A114-Calculos!$B$4)+MOD(110-1,Calculos!$B$6)+1,2)=0,INDEX(Calculos!$B$36:$S$52,IF(A114&lt;=Calculos!$B$4,A114,A114-Calculos!$B$4),Calculos!$B$2+1-MOD(110-1,Calculos!$B$6)+1),INDEX(Calculos!$B$36:$S$52,IF(A114&lt;=Calculos!$B$4,A114,A114-Calculos!$B$4),MOD(110-1,Calculos!$B$6)+1)),IF(MOD(IF(A114&lt;=Calculos!$B$4,A114,A114-Calculos!$B$4)+MOD(110-1,Calculos!$B$6)+1,2)=0,INDEX(Calculos!$B$36:$S$52,IF(A114&lt;=Calculos!$B$4,A114,A114-Calculos!$B$4),MOD(110-1,Calculos!$B$6)+1),INDEX(Calculos!$B$36:$S$52,IF(A114&lt;=Calculos!$B$4,A114,A114-Calculos!$B$4),Calculos!$B$2+1-MOD(110-1,Calculos!$B$6)+1)))))</f>
        <v/>
      </c>
      <c r="G114" s="9" t="str">
        <f t="shared" si="7"/>
        <v/>
      </c>
      <c r="H114" s="9" t="str">
        <f>IF(OR(C114="",F114=""),"",IF(AND(ISNUMBER(D114),ISNUMBER(E114)),IF(D114&gt;E114,Inicio!$E$6,IF(D114=E114,Inicio!$F$6,Inicio!$G$6)),""))</f>
        <v/>
      </c>
      <c r="I114" s="9" t="str">
        <f>IF(OR(C114="",F114=""),"",IF(AND(ISNUMBER(D114),ISNUMBER(E114)),IF(D114&lt;E114,Inicio!$E$6,IF(D114=E114,Inicio!$F$6,Inicio!$G$6)),""))</f>
        <v/>
      </c>
      <c r="J114" s="9">
        <f t="shared" si="8"/>
        <v>0</v>
      </c>
      <c r="K114" s="9">
        <f t="shared" si="9"/>
        <v>0</v>
      </c>
      <c r="L114" s="9">
        <f t="shared" si="10"/>
        <v>0</v>
      </c>
      <c r="M114" s="9">
        <f t="shared" si="11"/>
        <v>0</v>
      </c>
      <c r="N114" s="9">
        <f t="shared" si="12"/>
        <v>0</v>
      </c>
      <c r="O114" s="9">
        <f t="shared" si="13"/>
        <v>0</v>
      </c>
    </row>
    <row r="115" spans="1:15" x14ac:dyDescent="0.25">
      <c r="A115" s="9" t="str">
        <f>IF(OR(Calculos!$B$7=0,111&gt;Calculos!$B$7),"",INT((111-1)/Calculos!$B$6)+1)</f>
        <v/>
      </c>
      <c r="B115" s="10" t="str">
        <f>IF(A115="","",Inicio!$E$5+(A115-1)*Inicio!$B$6)</f>
        <v/>
      </c>
      <c r="C115" s="11" t="str">
        <f>IF(A115="","",INDEX(Calculos!$B$11:$B$28,IF(A115&gt;Calculos!$B$4,IF(MOD(IF(A115&lt;=Calculos!$B$4,A115,A115-Calculos!$B$4)+MOD(111-1,Calculos!$B$6)+1,2)=0,INDEX(Calculos!$B$36:$S$52,IF(A115&lt;=Calculos!$B$4,A115,A115-Calculos!$B$4),MOD(111-1,Calculos!$B$6)+1),INDEX(Calculos!$B$36:$S$52,IF(A115&lt;=Calculos!$B$4,A115,A115-Calculos!$B$4),Calculos!$B$2+1-MOD(111-1,Calculos!$B$6)+1)),IF(MOD(IF(A115&lt;=Calculos!$B$4,A115,A115-Calculos!$B$4)+MOD(111-1,Calculos!$B$6)+1,2)=0,INDEX(Calculos!$B$36:$S$52,IF(A115&lt;=Calculos!$B$4,A115,A115-Calculos!$B$4),Calculos!$B$2+1-MOD(111-1,Calculos!$B$6)+1),INDEX(Calculos!$B$36:$S$52,IF(A115&lt;=Calculos!$B$4,A115,A115-Calculos!$B$4),MOD(111-1,Calculos!$B$6)+1)))))</f>
        <v/>
      </c>
      <c r="D115" s="4"/>
      <c r="E115" s="4"/>
      <c r="F115" s="11" t="str">
        <f>IF(A115="","",INDEX(Calculos!$B$11:$B$28,IF(A115&gt;Calculos!$B$4,IF(MOD(IF(A115&lt;=Calculos!$B$4,A115,A115-Calculos!$B$4)+MOD(111-1,Calculos!$B$6)+1,2)=0,INDEX(Calculos!$B$36:$S$52,IF(A115&lt;=Calculos!$B$4,A115,A115-Calculos!$B$4),Calculos!$B$2+1-MOD(111-1,Calculos!$B$6)+1),INDEX(Calculos!$B$36:$S$52,IF(A115&lt;=Calculos!$B$4,A115,A115-Calculos!$B$4),MOD(111-1,Calculos!$B$6)+1)),IF(MOD(IF(A115&lt;=Calculos!$B$4,A115,A115-Calculos!$B$4)+MOD(111-1,Calculos!$B$6)+1,2)=0,INDEX(Calculos!$B$36:$S$52,IF(A115&lt;=Calculos!$B$4,A115,A115-Calculos!$B$4),MOD(111-1,Calculos!$B$6)+1),INDEX(Calculos!$B$36:$S$52,IF(A115&lt;=Calculos!$B$4,A115,A115-Calculos!$B$4),Calculos!$B$2+1-MOD(111-1,Calculos!$B$6)+1)))))</f>
        <v/>
      </c>
      <c r="G115" s="9" t="str">
        <f t="shared" si="7"/>
        <v/>
      </c>
      <c r="H115" s="9" t="str">
        <f>IF(OR(C115="",F115=""),"",IF(AND(ISNUMBER(D115),ISNUMBER(E115)),IF(D115&gt;E115,Inicio!$E$6,IF(D115=E115,Inicio!$F$6,Inicio!$G$6)),""))</f>
        <v/>
      </c>
      <c r="I115" s="9" t="str">
        <f>IF(OR(C115="",F115=""),"",IF(AND(ISNUMBER(D115),ISNUMBER(E115)),IF(D115&lt;E115,Inicio!$E$6,IF(D115=E115,Inicio!$F$6,Inicio!$G$6)),""))</f>
        <v/>
      </c>
      <c r="J115" s="9">
        <f t="shared" si="8"/>
        <v>0</v>
      </c>
      <c r="K115" s="9">
        <f t="shared" si="9"/>
        <v>0</v>
      </c>
      <c r="L115" s="9">
        <f t="shared" si="10"/>
        <v>0</v>
      </c>
      <c r="M115" s="9">
        <f t="shared" si="11"/>
        <v>0</v>
      </c>
      <c r="N115" s="9">
        <f t="shared" si="12"/>
        <v>0</v>
      </c>
      <c r="O115" s="9">
        <f t="shared" si="13"/>
        <v>0</v>
      </c>
    </row>
    <row r="116" spans="1:15" x14ac:dyDescent="0.25">
      <c r="A116" s="9" t="str">
        <f>IF(OR(Calculos!$B$7=0,112&gt;Calculos!$B$7),"",INT((112-1)/Calculos!$B$6)+1)</f>
        <v/>
      </c>
      <c r="B116" s="10" t="str">
        <f>IF(A116="","",Inicio!$E$5+(A116-1)*Inicio!$B$6)</f>
        <v/>
      </c>
      <c r="C116" s="11" t="str">
        <f>IF(A116="","",INDEX(Calculos!$B$11:$B$28,IF(A116&gt;Calculos!$B$4,IF(MOD(IF(A116&lt;=Calculos!$B$4,A116,A116-Calculos!$B$4)+MOD(112-1,Calculos!$B$6)+1,2)=0,INDEX(Calculos!$B$36:$S$52,IF(A116&lt;=Calculos!$B$4,A116,A116-Calculos!$B$4),MOD(112-1,Calculos!$B$6)+1),INDEX(Calculos!$B$36:$S$52,IF(A116&lt;=Calculos!$B$4,A116,A116-Calculos!$B$4),Calculos!$B$2+1-MOD(112-1,Calculos!$B$6)+1)),IF(MOD(IF(A116&lt;=Calculos!$B$4,A116,A116-Calculos!$B$4)+MOD(112-1,Calculos!$B$6)+1,2)=0,INDEX(Calculos!$B$36:$S$52,IF(A116&lt;=Calculos!$B$4,A116,A116-Calculos!$B$4),Calculos!$B$2+1-MOD(112-1,Calculos!$B$6)+1),INDEX(Calculos!$B$36:$S$52,IF(A116&lt;=Calculos!$B$4,A116,A116-Calculos!$B$4),MOD(112-1,Calculos!$B$6)+1)))))</f>
        <v/>
      </c>
      <c r="D116" s="4"/>
      <c r="E116" s="4"/>
      <c r="F116" s="11" t="str">
        <f>IF(A116="","",INDEX(Calculos!$B$11:$B$28,IF(A116&gt;Calculos!$B$4,IF(MOD(IF(A116&lt;=Calculos!$B$4,A116,A116-Calculos!$B$4)+MOD(112-1,Calculos!$B$6)+1,2)=0,INDEX(Calculos!$B$36:$S$52,IF(A116&lt;=Calculos!$B$4,A116,A116-Calculos!$B$4),Calculos!$B$2+1-MOD(112-1,Calculos!$B$6)+1),INDEX(Calculos!$B$36:$S$52,IF(A116&lt;=Calculos!$B$4,A116,A116-Calculos!$B$4),MOD(112-1,Calculos!$B$6)+1)),IF(MOD(IF(A116&lt;=Calculos!$B$4,A116,A116-Calculos!$B$4)+MOD(112-1,Calculos!$B$6)+1,2)=0,INDEX(Calculos!$B$36:$S$52,IF(A116&lt;=Calculos!$B$4,A116,A116-Calculos!$B$4),MOD(112-1,Calculos!$B$6)+1),INDEX(Calculos!$B$36:$S$52,IF(A116&lt;=Calculos!$B$4,A116,A116-Calculos!$B$4),Calculos!$B$2+1-MOD(112-1,Calculos!$B$6)+1)))))</f>
        <v/>
      </c>
      <c r="G116" s="9" t="str">
        <f t="shared" si="7"/>
        <v/>
      </c>
      <c r="H116" s="9" t="str">
        <f>IF(OR(C116="",F116=""),"",IF(AND(ISNUMBER(D116),ISNUMBER(E116)),IF(D116&gt;E116,Inicio!$E$6,IF(D116=E116,Inicio!$F$6,Inicio!$G$6)),""))</f>
        <v/>
      </c>
      <c r="I116" s="9" t="str">
        <f>IF(OR(C116="",F116=""),"",IF(AND(ISNUMBER(D116),ISNUMBER(E116)),IF(D116&lt;E116,Inicio!$E$6,IF(D116=E116,Inicio!$F$6,Inicio!$G$6)),""))</f>
        <v/>
      </c>
      <c r="J116" s="9">
        <f t="shared" si="8"/>
        <v>0</v>
      </c>
      <c r="K116" s="9">
        <f t="shared" si="9"/>
        <v>0</v>
      </c>
      <c r="L116" s="9">
        <f t="shared" si="10"/>
        <v>0</v>
      </c>
      <c r="M116" s="9">
        <f t="shared" si="11"/>
        <v>0</v>
      </c>
      <c r="N116" s="9">
        <f t="shared" si="12"/>
        <v>0</v>
      </c>
      <c r="O116" s="9">
        <f t="shared" si="13"/>
        <v>0</v>
      </c>
    </row>
    <row r="117" spans="1:15" x14ac:dyDescent="0.25">
      <c r="A117" s="9" t="str">
        <f>IF(OR(Calculos!$B$7=0,113&gt;Calculos!$B$7),"",INT((113-1)/Calculos!$B$6)+1)</f>
        <v/>
      </c>
      <c r="B117" s="10" t="str">
        <f>IF(A117="","",Inicio!$E$5+(A117-1)*Inicio!$B$6)</f>
        <v/>
      </c>
      <c r="C117" s="11" t="str">
        <f>IF(A117="","",INDEX(Calculos!$B$11:$B$28,IF(A117&gt;Calculos!$B$4,IF(MOD(IF(A117&lt;=Calculos!$B$4,A117,A117-Calculos!$B$4)+MOD(113-1,Calculos!$B$6)+1,2)=0,INDEX(Calculos!$B$36:$S$52,IF(A117&lt;=Calculos!$B$4,A117,A117-Calculos!$B$4),MOD(113-1,Calculos!$B$6)+1),INDEX(Calculos!$B$36:$S$52,IF(A117&lt;=Calculos!$B$4,A117,A117-Calculos!$B$4),Calculos!$B$2+1-MOD(113-1,Calculos!$B$6)+1)),IF(MOD(IF(A117&lt;=Calculos!$B$4,A117,A117-Calculos!$B$4)+MOD(113-1,Calculos!$B$6)+1,2)=0,INDEX(Calculos!$B$36:$S$52,IF(A117&lt;=Calculos!$B$4,A117,A117-Calculos!$B$4),Calculos!$B$2+1-MOD(113-1,Calculos!$B$6)+1),INDEX(Calculos!$B$36:$S$52,IF(A117&lt;=Calculos!$B$4,A117,A117-Calculos!$B$4),MOD(113-1,Calculos!$B$6)+1)))))</f>
        <v/>
      </c>
      <c r="D117" s="4"/>
      <c r="E117" s="4"/>
      <c r="F117" s="11" t="str">
        <f>IF(A117="","",INDEX(Calculos!$B$11:$B$28,IF(A117&gt;Calculos!$B$4,IF(MOD(IF(A117&lt;=Calculos!$B$4,A117,A117-Calculos!$B$4)+MOD(113-1,Calculos!$B$6)+1,2)=0,INDEX(Calculos!$B$36:$S$52,IF(A117&lt;=Calculos!$B$4,A117,A117-Calculos!$B$4),Calculos!$B$2+1-MOD(113-1,Calculos!$B$6)+1),INDEX(Calculos!$B$36:$S$52,IF(A117&lt;=Calculos!$B$4,A117,A117-Calculos!$B$4),MOD(113-1,Calculos!$B$6)+1)),IF(MOD(IF(A117&lt;=Calculos!$B$4,A117,A117-Calculos!$B$4)+MOD(113-1,Calculos!$B$6)+1,2)=0,INDEX(Calculos!$B$36:$S$52,IF(A117&lt;=Calculos!$B$4,A117,A117-Calculos!$B$4),MOD(113-1,Calculos!$B$6)+1),INDEX(Calculos!$B$36:$S$52,IF(A117&lt;=Calculos!$B$4,A117,A117-Calculos!$B$4),Calculos!$B$2+1-MOD(113-1,Calculos!$B$6)+1)))))</f>
        <v/>
      </c>
      <c r="G117" s="9" t="str">
        <f t="shared" si="7"/>
        <v/>
      </c>
      <c r="H117" s="9" t="str">
        <f>IF(OR(C117="",F117=""),"",IF(AND(ISNUMBER(D117),ISNUMBER(E117)),IF(D117&gt;E117,Inicio!$E$6,IF(D117=E117,Inicio!$F$6,Inicio!$G$6)),""))</f>
        <v/>
      </c>
      <c r="I117" s="9" t="str">
        <f>IF(OR(C117="",F117=""),"",IF(AND(ISNUMBER(D117),ISNUMBER(E117)),IF(D117&lt;E117,Inicio!$E$6,IF(D117=E117,Inicio!$F$6,Inicio!$G$6)),""))</f>
        <v/>
      </c>
      <c r="J117" s="9">
        <f t="shared" si="8"/>
        <v>0</v>
      </c>
      <c r="K117" s="9">
        <f t="shared" si="9"/>
        <v>0</v>
      </c>
      <c r="L117" s="9">
        <f t="shared" si="10"/>
        <v>0</v>
      </c>
      <c r="M117" s="9">
        <f t="shared" si="11"/>
        <v>0</v>
      </c>
      <c r="N117" s="9">
        <f t="shared" si="12"/>
        <v>0</v>
      </c>
      <c r="O117" s="9">
        <f t="shared" si="13"/>
        <v>0</v>
      </c>
    </row>
    <row r="118" spans="1:15" x14ac:dyDescent="0.25">
      <c r="A118" s="9" t="str">
        <f>IF(OR(Calculos!$B$7=0,114&gt;Calculos!$B$7),"",INT((114-1)/Calculos!$B$6)+1)</f>
        <v/>
      </c>
      <c r="B118" s="10" t="str">
        <f>IF(A118="","",Inicio!$E$5+(A118-1)*Inicio!$B$6)</f>
        <v/>
      </c>
      <c r="C118" s="11" t="str">
        <f>IF(A118="","",INDEX(Calculos!$B$11:$B$28,IF(A118&gt;Calculos!$B$4,IF(MOD(IF(A118&lt;=Calculos!$B$4,A118,A118-Calculos!$B$4)+MOD(114-1,Calculos!$B$6)+1,2)=0,INDEX(Calculos!$B$36:$S$52,IF(A118&lt;=Calculos!$B$4,A118,A118-Calculos!$B$4),MOD(114-1,Calculos!$B$6)+1),INDEX(Calculos!$B$36:$S$52,IF(A118&lt;=Calculos!$B$4,A118,A118-Calculos!$B$4),Calculos!$B$2+1-MOD(114-1,Calculos!$B$6)+1)),IF(MOD(IF(A118&lt;=Calculos!$B$4,A118,A118-Calculos!$B$4)+MOD(114-1,Calculos!$B$6)+1,2)=0,INDEX(Calculos!$B$36:$S$52,IF(A118&lt;=Calculos!$B$4,A118,A118-Calculos!$B$4),Calculos!$B$2+1-MOD(114-1,Calculos!$B$6)+1),INDEX(Calculos!$B$36:$S$52,IF(A118&lt;=Calculos!$B$4,A118,A118-Calculos!$B$4),MOD(114-1,Calculos!$B$6)+1)))))</f>
        <v/>
      </c>
      <c r="D118" s="4"/>
      <c r="E118" s="4"/>
      <c r="F118" s="11" t="str">
        <f>IF(A118="","",INDEX(Calculos!$B$11:$B$28,IF(A118&gt;Calculos!$B$4,IF(MOD(IF(A118&lt;=Calculos!$B$4,A118,A118-Calculos!$B$4)+MOD(114-1,Calculos!$B$6)+1,2)=0,INDEX(Calculos!$B$36:$S$52,IF(A118&lt;=Calculos!$B$4,A118,A118-Calculos!$B$4),Calculos!$B$2+1-MOD(114-1,Calculos!$B$6)+1),INDEX(Calculos!$B$36:$S$52,IF(A118&lt;=Calculos!$B$4,A118,A118-Calculos!$B$4),MOD(114-1,Calculos!$B$6)+1)),IF(MOD(IF(A118&lt;=Calculos!$B$4,A118,A118-Calculos!$B$4)+MOD(114-1,Calculos!$B$6)+1,2)=0,INDEX(Calculos!$B$36:$S$52,IF(A118&lt;=Calculos!$B$4,A118,A118-Calculos!$B$4),MOD(114-1,Calculos!$B$6)+1),INDEX(Calculos!$B$36:$S$52,IF(A118&lt;=Calculos!$B$4,A118,A118-Calculos!$B$4),Calculos!$B$2+1-MOD(114-1,Calculos!$B$6)+1)))))</f>
        <v/>
      </c>
      <c r="G118" s="9" t="str">
        <f t="shared" si="7"/>
        <v/>
      </c>
      <c r="H118" s="9" t="str">
        <f>IF(OR(C118="",F118=""),"",IF(AND(ISNUMBER(D118),ISNUMBER(E118)),IF(D118&gt;E118,Inicio!$E$6,IF(D118=E118,Inicio!$F$6,Inicio!$G$6)),""))</f>
        <v/>
      </c>
      <c r="I118" s="9" t="str">
        <f>IF(OR(C118="",F118=""),"",IF(AND(ISNUMBER(D118),ISNUMBER(E118)),IF(D118&lt;E118,Inicio!$E$6,IF(D118=E118,Inicio!$F$6,Inicio!$G$6)),""))</f>
        <v/>
      </c>
      <c r="J118" s="9">
        <f t="shared" si="8"/>
        <v>0</v>
      </c>
      <c r="K118" s="9">
        <f t="shared" si="9"/>
        <v>0</v>
      </c>
      <c r="L118" s="9">
        <f t="shared" si="10"/>
        <v>0</v>
      </c>
      <c r="M118" s="9">
        <f t="shared" si="11"/>
        <v>0</v>
      </c>
      <c r="N118" s="9">
        <f t="shared" si="12"/>
        <v>0</v>
      </c>
      <c r="O118" s="9">
        <f t="shared" si="13"/>
        <v>0</v>
      </c>
    </row>
    <row r="119" spans="1:15" x14ac:dyDescent="0.25">
      <c r="A119" s="9" t="str">
        <f>IF(OR(Calculos!$B$7=0,115&gt;Calculos!$B$7),"",INT((115-1)/Calculos!$B$6)+1)</f>
        <v/>
      </c>
      <c r="B119" s="10" t="str">
        <f>IF(A119="","",Inicio!$E$5+(A119-1)*Inicio!$B$6)</f>
        <v/>
      </c>
      <c r="C119" s="11" t="str">
        <f>IF(A119="","",INDEX(Calculos!$B$11:$B$28,IF(A119&gt;Calculos!$B$4,IF(MOD(IF(A119&lt;=Calculos!$B$4,A119,A119-Calculos!$B$4)+MOD(115-1,Calculos!$B$6)+1,2)=0,INDEX(Calculos!$B$36:$S$52,IF(A119&lt;=Calculos!$B$4,A119,A119-Calculos!$B$4),MOD(115-1,Calculos!$B$6)+1),INDEX(Calculos!$B$36:$S$52,IF(A119&lt;=Calculos!$B$4,A119,A119-Calculos!$B$4),Calculos!$B$2+1-MOD(115-1,Calculos!$B$6)+1)),IF(MOD(IF(A119&lt;=Calculos!$B$4,A119,A119-Calculos!$B$4)+MOD(115-1,Calculos!$B$6)+1,2)=0,INDEX(Calculos!$B$36:$S$52,IF(A119&lt;=Calculos!$B$4,A119,A119-Calculos!$B$4),Calculos!$B$2+1-MOD(115-1,Calculos!$B$6)+1),INDEX(Calculos!$B$36:$S$52,IF(A119&lt;=Calculos!$B$4,A119,A119-Calculos!$B$4),MOD(115-1,Calculos!$B$6)+1)))))</f>
        <v/>
      </c>
      <c r="D119" s="4"/>
      <c r="E119" s="4"/>
      <c r="F119" s="11" t="str">
        <f>IF(A119="","",INDEX(Calculos!$B$11:$B$28,IF(A119&gt;Calculos!$B$4,IF(MOD(IF(A119&lt;=Calculos!$B$4,A119,A119-Calculos!$B$4)+MOD(115-1,Calculos!$B$6)+1,2)=0,INDEX(Calculos!$B$36:$S$52,IF(A119&lt;=Calculos!$B$4,A119,A119-Calculos!$B$4),Calculos!$B$2+1-MOD(115-1,Calculos!$B$6)+1),INDEX(Calculos!$B$36:$S$52,IF(A119&lt;=Calculos!$B$4,A119,A119-Calculos!$B$4),MOD(115-1,Calculos!$B$6)+1)),IF(MOD(IF(A119&lt;=Calculos!$B$4,A119,A119-Calculos!$B$4)+MOD(115-1,Calculos!$B$6)+1,2)=0,INDEX(Calculos!$B$36:$S$52,IF(A119&lt;=Calculos!$B$4,A119,A119-Calculos!$B$4),MOD(115-1,Calculos!$B$6)+1),INDEX(Calculos!$B$36:$S$52,IF(A119&lt;=Calculos!$B$4,A119,A119-Calculos!$B$4),Calculos!$B$2+1-MOD(115-1,Calculos!$B$6)+1)))))</f>
        <v/>
      </c>
      <c r="G119" s="9" t="str">
        <f t="shared" si="7"/>
        <v/>
      </c>
      <c r="H119" s="9" t="str">
        <f>IF(OR(C119="",F119=""),"",IF(AND(ISNUMBER(D119),ISNUMBER(E119)),IF(D119&gt;E119,Inicio!$E$6,IF(D119=E119,Inicio!$F$6,Inicio!$G$6)),""))</f>
        <v/>
      </c>
      <c r="I119" s="9" t="str">
        <f>IF(OR(C119="",F119=""),"",IF(AND(ISNUMBER(D119),ISNUMBER(E119)),IF(D119&lt;E119,Inicio!$E$6,IF(D119=E119,Inicio!$F$6,Inicio!$G$6)),""))</f>
        <v/>
      </c>
      <c r="J119" s="9">
        <f t="shared" si="8"/>
        <v>0</v>
      </c>
      <c r="K119" s="9">
        <f t="shared" si="9"/>
        <v>0</v>
      </c>
      <c r="L119" s="9">
        <f t="shared" si="10"/>
        <v>0</v>
      </c>
      <c r="M119" s="9">
        <f t="shared" si="11"/>
        <v>0</v>
      </c>
      <c r="N119" s="9">
        <f t="shared" si="12"/>
        <v>0</v>
      </c>
      <c r="O119" s="9">
        <f t="shared" si="13"/>
        <v>0</v>
      </c>
    </row>
    <row r="120" spans="1:15" x14ac:dyDescent="0.25">
      <c r="A120" s="9" t="str">
        <f>IF(OR(Calculos!$B$7=0,116&gt;Calculos!$B$7),"",INT((116-1)/Calculos!$B$6)+1)</f>
        <v/>
      </c>
      <c r="B120" s="10" t="str">
        <f>IF(A120="","",Inicio!$E$5+(A120-1)*Inicio!$B$6)</f>
        <v/>
      </c>
      <c r="C120" s="11" t="str">
        <f>IF(A120="","",INDEX(Calculos!$B$11:$B$28,IF(A120&gt;Calculos!$B$4,IF(MOD(IF(A120&lt;=Calculos!$B$4,A120,A120-Calculos!$B$4)+MOD(116-1,Calculos!$B$6)+1,2)=0,INDEX(Calculos!$B$36:$S$52,IF(A120&lt;=Calculos!$B$4,A120,A120-Calculos!$B$4),MOD(116-1,Calculos!$B$6)+1),INDEX(Calculos!$B$36:$S$52,IF(A120&lt;=Calculos!$B$4,A120,A120-Calculos!$B$4),Calculos!$B$2+1-MOD(116-1,Calculos!$B$6)+1)),IF(MOD(IF(A120&lt;=Calculos!$B$4,A120,A120-Calculos!$B$4)+MOD(116-1,Calculos!$B$6)+1,2)=0,INDEX(Calculos!$B$36:$S$52,IF(A120&lt;=Calculos!$B$4,A120,A120-Calculos!$B$4),Calculos!$B$2+1-MOD(116-1,Calculos!$B$6)+1),INDEX(Calculos!$B$36:$S$52,IF(A120&lt;=Calculos!$B$4,A120,A120-Calculos!$B$4),MOD(116-1,Calculos!$B$6)+1)))))</f>
        <v/>
      </c>
      <c r="D120" s="4"/>
      <c r="E120" s="4"/>
      <c r="F120" s="11" t="str">
        <f>IF(A120="","",INDEX(Calculos!$B$11:$B$28,IF(A120&gt;Calculos!$B$4,IF(MOD(IF(A120&lt;=Calculos!$B$4,A120,A120-Calculos!$B$4)+MOD(116-1,Calculos!$B$6)+1,2)=0,INDEX(Calculos!$B$36:$S$52,IF(A120&lt;=Calculos!$B$4,A120,A120-Calculos!$B$4),Calculos!$B$2+1-MOD(116-1,Calculos!$B$6)+1),INDEX(Calculos!$B$36:$S$52,IF(A120&lt;=Calculos!$B$4,A120,A120-Calculos!$B$4),MOD(116-1,Calculos!$B$6)+1)),IF(MOD(IF(A120&lt;=Calculos!$B$4,A120,A120-Calculos!$B$4)+MOD(116-1,Calculos!$B$6)+1,2)=0,INDEX(Calculos!$B$36:$S$52,IF(A120&lt;=Calculos!$B$4,A120,A120-Calculos!$B$4),MOD(116-1,Calculos!$B$6)+1),INDEX(Calculos!$B$36:$S$52,IF(A120&lt;=Calculos!$B$4,A120,A120-Calculos!$B$4),Calculos!$B$2+1-MOD(116-1,Calculos!$B$6)+1)))))</f>
        <v/>
      </c>
      <c r="G120" s="9" t="str">
        <f t="shared" si="7"/>
        <v/>
      </c>
      <c r="H120" s="9" t="str">
        <f>IF(OR(C120="",F120=""),"",IF(AND(ISNUMBER(D120),ISNUMBER(E120)),IF(D120&gt;E120,Inicio!$E$6,IF(D120=E120,Inicio!$F$6,Inicio!$G$6)),""))</f>
        <v/>
      </c>
      <c r="I120" s="9" t="str">
        <f>IF(OR(C120="",F120=""),"",IF(AND(ISNUMBER(D120),ISNUMBER(E120)),IF(D120&lt;E120,Inicio!$E$6,IF(D120=E120,Inicio!$F$6,Inicio!$G$6)),""))</f>
        <v/>
      </c>
      <c r="J120" s="9">
        <f t="shared" si="8"/>
        <v>0</v>
      </c>
      <c r="K120" s="9">
        <f t="shared" si="9"/>
        <v>0</v>
      </c>
      <c r="L120" s="9">
        <f t="shared" si="10"/>
        <v>0</v>
      </c>
      <c r="M120" s="9">
        <f t="shared" si="11"/>
        <v>0</v>
      </c>
      <c r="N120" s="9">
        <f t="shared" si="12"/>
        <v>0</v>
      </c>
      <c r="O120" s="9">
        <f t="shared" si="13"/>
        <v>0</v>
      </c>
    </row>
    <row r="121" spans="1:15" x14ac:dyDescent="0.25">
      <c r="A121" s="9" t="str">
        <f>IF(OR(Calculos!$B$7=0,117&gt;Calculos!$B$7),"",INT((117-1)/Calculos!$B$6)+1)</f>
        <v/>
      </c>
      <c r="B121" s="10" t="str">
        <f>IF(A121="","",Inicio!$E$5+(A121-1)*Inicio!$B$6)</f>
        <v/>
      </c>
      <c r="C121" s="11" t="str">
        <f>IF(A121="","",INDEX(Calculos!$B$11:$B$28,IF(A121&gt;Calculos!$B$4,IF(MOD(IF(A121&lt;=Calculos!$B$4,A121,A121-Calculos!$B$4)+MOD(117-1,Calculos!$B$6)+1,2)=0,INDEX(Calculos!$B$36:$S$52,IF(A121&lt;=Calculos!$B$4,A121,A121-Calculos!$B$4),MOD(117-1,Calculos!$B$6)+1),INDEX(Calculos!$B$36:$S$52,IF(A121&lt;=Calculos!$B$4,A121,A121-Calculos!$B$4),Calculos!$B$2+1-MOD(117-1,Calculos!$B$6)+1)),IF(MOD(IF(A121&lt;=Calculos!$B$4,A121,A121-Calculos!$B$4)+MOD(117-1,Calculos!$B$6)+1,2)=0,INDEX(Calculos!$B$36:$S$52,IF(A121&lt;=Calculos!$B$4,A121,A121-Calculos!$B$4),Calculos!$B$2+1-MOD(117-1,Calculos!$B$6)+1),INDEX(Calculos!$B$36:$S$52,IF(A121&lt;=Calculos!$B$4,A121,A121-Calculos!$B$4),MOD(117-1,Calculos!$B$6)+1)))))</f>
        <v/>
      </c>
      <c r="D121" s="4"/>
      <c r="E121" s="4"/>
      <c r="F121" s="11" t="str">
        <f>IF(A121="","",INDEX(Calculos!$B$11:$B$28,IF(A121&gt;Calculos!$B$4,IF(MOD(IF(A121&lt;=Calculos!$B$4,A121,A121-Calculos!$B$4)+MOD(117-1,Calculos!$B$6)+1,2)=0,INDEX(Calculos!$B$36:$S$52,IF(A121&lt;=Calculos!$B$4,A121,A121-Calculos!$B$4),Calculos!$B$2+1-MOD(117-1,Calculos!$B$6)+1),INDEX(Calculos!$B$36:$S$52,IF(A121&lt;=Calculos!$B$4,A121,A121-Calculos!$B$4),MOD(117-1,Calculos!$B$6)+1)),IF(MOD(IF(A121&lt;=Calculos!$B$4,A121,A121-Calculos!$B$4)+MOD(117-1,Calculos!$B$6)+1,2)=0,INDEX(Calculos!$B$36:$S$52,IF(A121&lt;=Calculos!$B$4,A121,A121-Calculos!$B$4),MOD(117-1,Calculos!$B$6)+1),INDEX(Calculos!$B$36:$S$52,IF(A121&lt;=Calculos!$B$4,A121,A121-Calculos!$B$4),Calculos!$B$2+1-MOD(117-1,Calculos!$B$6)+1)))))</f>
        <v/>
      </c>
      <c r="G121" s="9" t="str">
        <f t="shared" si="7"/>
        <v/>
      </c>
      <c r="H121" s="9" t="str">
        <f>IF(OR(C121="",F121=""),"",IF(AND(ISNUMBER(D121),ISNUMBER(E121)),IF(D121&gt;E121,Inicio!$E$6,IF(D121=E121,Inicio!$F$6,Inicio!$G$6)),""))</f>
        <v/>
      </c>
      <c r="I121" s="9" t="str">
        <f>IF(OR(C121="",F121=""),"",IF(AND(ISNUMBER(D121),ISNUMBER(E121)),IF(D121&lt;E121,Inicio!$E$6,IF(D121=E121,Inicio!$F$6,Inicio!$G$6)),""))</f>
        <v/>
      </c>
      <c r="J121" s="9">
        <f t="shared" si="8"/>
        <v>0</v>
      </c>
      <c r="K121" s="9">
        <f t="shared" si="9"/>
        <v>0</v>
      </c>
      <c r="L121" s="9">
        <f t="shared" si="10"/>
        <v>0</v>
      </c>
      <c r="M121" s="9">
        <f t="shared" si="11"/>
        <v>0</v>
      </c>
      <c r="N121" s="9">
        <f t="shared" si="12"/>
        <v>0</v>
      </c>
      <c r="O121" s="9">
        <f t="shared" si="13"/>
        <v>0</v>
      </c>
    </row>
    <row r="122" spans="1:15" x14ac:dyDescent="0.25">
      <c r="A122" s="9" t="str">
        <f>IF(OR(Calculos!$B$7=0,118&gt;Calculos!$B$7),"",INT((118-1)/Calculos!$B$6)+1)</f>
        <v/>
      </c>
      <c r="B122" s="10" t="str">
        <f>IF(A122="","",Inicio!$E$5+(A122-1)*Inicio!$B$6)</f>
        <v/>
      </c>
      <c r="C122" s="11" t="str">
        <f>IF(A122="","",INDEX(Calculos!$B$11:$B$28,IF(A122&gt;Calculos!$B$4,IF(MOD(IF(A122&lt;=Calculos!$B$4,A122,A122-Calculos!$B$4)+MOD(118-1,Calculos!$B$6)+1,2)=0,INDEX(Calculos!$B$36:$S$52,IF(A122&lt;=Calculos!$B$4,A122,A122-Calculos!$B$4),MOD(118-1,Calculos!$B$6)+1),INDEX(Calculos!$B$36:$S$52,IF(A122&lt;=Calculos!$B$4,A122,A122-Calculos!$B$4),Calculos!$B$2+1-MOD(118-1,Calculos!$B$6)+1)),IF(MOD(IF(A122&lt;=Calculos!$B$4,A122,A122-Calculos!$B$4)+MOD(118-1,Calculos!$B$6)+1,2)=0,INDEX(Calculos!$B$36:$S$52,IF(A122&lt;=Calculos!$B$4,A122,A122-Calculos!$B$4),Calculos!$B$2+1-MOD(118-1,Calculos!$B$6)+1),INDEX(Calculos!$B$36:$S$52,IF(A122&lt;=Calculos!$B$4,A122,A122-Calculos!$B$4),MOD(118-1,Calculos!$B$6)+1)))))</f>
        <v/>
      </c>
      <c r="D122" s="4"/>
      <c r="E122" s="4"/>
      <c r="F122" s="11" t="str">
        <f>IF(A122="","",INDEX(Calculos!$B$11:$B$28,IF(A122&gt;Calculos!$B$4,IF(MOD(IF(A122&lt;=Calculos!$B$4,A122,A122-Calculos!$B$4)+MOD(118-1,Calculos!$B$6)+1,2)=0,INDEX(Calculos!$B$36:$S$52,IF(A122&lt;=Calculos!$B$4,A122,A122-Calculos!$B$4),Calculos!$B$2+1-MOD(118-1,Calculos!$B$6)+1),INDEX(Calculos!$B$36:$S$52,IF(A122&lt;=Calculos!$B$4,A122,A122-Calculos!$B$4),MOD(118-1,Calculos!$B$6)+1)),IF(MOD(IF(A122&lt;=Calculos!$B$4,A122,A122-Calculos!$B$4)+MOD(118-1,Calculos!$B$6)+1,2)=0,INDEX(Calculos!$B$36:$S$52,IF(A122&lt;=Calculos!$B$4,A122,A122-Calculos!$B$4),MOD(118-1,Calculos!$B$6)+1),INDEX(Calculos!$B$36:$S$52,IF(A122&lt;=Calculos!$B$4,A122,A122-Calculos!$B$4),Calculos!$B$2+1-MOD(118-1,Calculos!$B$6)+1)))))</f>
        <v/>
      </c>
      <c r="G122" s="9" t="str">
        <f t="shared" si="7"/>
        <v/>
      </c>
      <c r="H122" s="9" t="str">
        <f>IF(OR(C122="",F122=""),"",IF(AND(ISNUMBER(D122),ISNUMBER(E122)),IF(D122&gt;E122,Inicio!$E$6,IF(D122=E122,Inicio!$F$6,Inicio!$G$6)),""))</f>
        <v/>
      </c>
      <c r="I122" s="9" t="str">
        <f>IF(OR(C122="",F122=""),"",IF(AND(ISNUMBER(D122),ISNUMBER(E122)),IF(D122&lt;E122,Inicio!$E$6,IF(D122=E122,Inicio!$F$6,Inicio!$G$6)),""))</f>
        <v/>
      </c>
      <c r="J122" s="9">
        <f t="shared" si="8"/>
        <v>0</v>
      </c>
      <c r="K122" s="9">
        <f t="shared" si="9"/>
        <v>0</v>
      </c>
      <c r="L122" s="9">
        <f t="shared" si="10"/>
        <v>0</v>
      </c>
      <c r="M122" s="9">
        <f t="shared" si="11"/>
        <v>0</v>
      </c>
      <c r="N122" s="9">
        <f t="shared" si="12"/>
        <v>0</v>
      </c>
      <c r="O122" s="9">
        <f t="shared" si="13"/>
        <v>0</v>
      </c>
    </row>
    <row r="123" spans="1:15" x14ac:dyDescent="0.25">
      <c r="A123" s="9" t="str">
        <f>IF(OR(Calculos!$B$7=0,119&gt;Calculos!$B$7),"",INT((119-1)/Calculos!$B$6)+1)</f>
        <v/>
      </c>
      <c r="B123" s="10" t="str">
        <f>IF(A123="","",Inicio!$E$5+(A123-1)*Inicio!$B$6)</f>
        <v/>
      </c>
      <c r="C123" s="11" t="str">
        <f>IF(A123="","",INDEX(Calculos!$B$11:$B$28,IF(A123&gt;Calculos!$B$4,IF(MOD(IF(A123&lt;=Calculos!$B$4,A123,A123-Calculos!$B$4)+MOD(119-1,Calculos!$B$6)+1,2)=0,INDEX(Calculos!$B$36:$S$52,IF(A123&lt;=Calculos!$B$4,A123,A123-Calculos!$B$4),MOD(119-1,Calculos!$B$6)+1),INDEX(Calculos!$B$36:$S$52,IF(A123&lt;=Calculos!$B$4,A123,A123-Calculos!$B$4),Calculos!$B$2+1-MOD(119-1,Calculos!$B$6)+1)),IF(MOD(IF(A123&lt;=Calculos!$B$4,A123,A123-Calculos!$B$4)+MOD(119-1,Calculos!$B$6)+1,2)=0,INDEX(Calculos!$B$36:$S$52,IF(A123&lt;=Calculos!$B$4,A123,A123-Calculos!$B$4),Calculos!$B$2+1-MOD(119-1,Calculos!$B$6)+1),INDEX(Calculos!$B$36:$S$52,IF(A123&lt;=Calculos!$B$4,A123,A123-Calculos!$B$4),MOD(119-1,Calculos!$B$6)+1)))))</f>
        <v/>
      </c>
      <c r="D123" s="4"/>
      <c r="E123" s="4"/>
      <c r="F123" s="11" t="str">
        <f>IF(A123="","",INDEX(Calculos!$B$11:$B$28,IF(A123&gt;Calculos!$B$4,IF(MOD(IF(A123&lt;=Calculos!$B$4,A123,A123-Calculos!$B$4)+MOD(119-1,Calculos!$B$6)+1,2)=0,INDEX(Calculos!$B$36:$S$52,IF(A123&lt;=Calculos!$B$4,A123,A123-Calculos!$B$4),Calculos!$B$2+1-MOD(119-1,Calculos!$B$6)+1),INDEX(Calculos!$B$36:$S$52,IF(A123&lt;=Calculos!$B$4,A123,A123-Calculos!$B$4),MOD(119-1,Calculos!$B$6)+1)),IF(MOD(IF(A123&lt;=Calculos!$B$4,A123,A123-Calculos!$B$4)+MOD(119-1,Calculos!$B$6)+1,2)=0,INDEX(Calculos!$B$36:$S$52,IF(A123&lt;=Calculos!$B$4,A123,A123-Calculos!$B$4),MOD(119-1,Calculos!$B$6)+1),INDEX(Calculos!$B$36:$S$52,IF(A123&lt;=Calculos!$B$4,A123,A123-Calculos!$B$4),Calculos!$B$2+1-MOD(119-1,Calculos!$B$6)+1)))))</f>
        <v/>
      </c>
      <c r="G123" s="9" t="str">
        <f t="shared" si="7"/>
        <v/>
      </c>
      <c r="H123" s="9" t="str">
        <f>IF(OR(C123="",F123=""),"",IF(AND(ISNUMBER(D123),ISNUMBER(E123)),IF(D123&gt;E123,Inicio!$E$6,IF(D123=E123,Inicio!$F$6,Inicio!$G$6)),""))</f>
        <v/>
      </c>
      <c r="I123" s="9" t="str">
        <f>IF(OR(C123="",F123=""),"",IF(AND(ISNUMBER(D123),ISNUMBER(E123)),IF(D123&lt;E123,Inicio!$E$6,IF(D123=E123,Inicio!$F$6,Inicio!$G$6)),""))</f>
        <v/>
      </c>
      <c r="J123" s="9">
        <f t="shared" si="8"/>
        <v>0</v>
      </c>
      <c r="K123" s="9">
        <f t="shared" si="9"/>
        <v>0</v>
      </c>
      <c r="L123" s="9">
        <f t="shared" si="10"/>
        <v>0</v>
      </c>
      <c r="M123" s="9">
        <f t="shared" si="11"/>
        <v>0</v>
      </c>
      <c r="N123" s="9">
        <f t="shared" si="12"/>
        <v>0</v>
      </c>
      <c r="O123" s="9">
        <f t="shared" si="13"/>
        <v>0</v>
      </c>
    </row>
    <row r="124" spans="1:15" x14ac:dyDescent="0.25">
      <c r="A124" s="9" t="str">
        <f>IF(OR(Calculos!$B$7=0,120&gt;Calculos!$B$7),"",INT((120-1)/Calculos!$B$6)+1)</f>
        <v/>
      </c>
      <c r="B124" s="10" t="str">
        <f>IF(A124="","",Inicio!$E$5+(A124-1)*Inicio!$B$6)</f>
        <v/>
      </c>
      <c r="C124" s="11" t="str">
        <f>IF(A124="","",INDEX(Calculos!$B$11:$B$28,IF(A124&gt;Calculos!$B$4,IF(MOD(IF(A124&lt;=Calculos!$B$4,A124,A124-Calculos!$B$4)+MOD(120-1,Calculos!$B$6)+1,2)=0,INDEX(Calculos!$B$36:$S$52,IF(A124&lt;=Calculos!$B$4,A124,A124-Calculos!$B$4),MOD(120-1,Calculos!$B$6)+1),INDEX(Calculos!$B$36:$S$52,IF(A124&lt;=Calculos!$B$4,A124,A124-Calculos!$B$4),Calculos!$B$2+1-MOD(120-1,Calculos!$B$6)+1)),IF(MOD(IF(A124&lt;=Calculos!$B$4,A124,A124-Calculos!$B$4)+MOD(120-1,Calculos!$B$6)+1,2)=0,INDEX(Calculos!$B$36:$S$52,IF(A124&lt;=Calculos!$B$4,A124,A124-Calculos!$B$4),Calculos!$B$2+1-MOD(120-1,Calculos!$B$6)+1),INDEX(Calculos!$B$36:$S$52,IF(A124&lt;=Calculos!$B$4,A124,A124-Calculos!$B$4),MOD(120-1,Calculos!$B$6)+1)))))</f>
        <v/>
      </c>
      <c r="D124" s="4"/>
      <c r="E124" s="4"/>
      <c r="F124" s="11" t="str">
        <f>IF(A124="","",INDEX(Calculos!$B$11:$B$28,IF(A124&gt;Calculos!$B$4,IF(MOD(IF(A124&lt;=Calculos!$B$4,A124,A124-Calculos!$B$4)+MOD(120-1,Calculos!$B$6)+1,2)=0,INDEX(Calculos!$B$36:$S$52,IF(A124&lt;=Calculos!$B$4,A124,A124-Calculos!$B$4),Calculos!$B$2+1-MOD(120-1,Calculos!$B$6)+1),INDEX(Calculos!$B$36:$S$52,IF(A124&lt;=Calculos!$B$4,A124,A124-Calculos!$B$4),MOD(120-1,Calculos!$B$6)+1)),IF(MOD(IF(A124&lt;=Calculos!$B$4,A124,A124-Calculos!$B$4)+MOD(120-1,Calculos!$B$6)+1,2)=0,INDEX(Calculos!$B$36:$S$52,IF(A124&lt;=Calculos!$B$4,A124,A124-Calculos!$B$4),MOD(120-1,Calculos!$B$6)+1),INDEX(Calculos!$B$36:$S$52,IF(A124&lt;=Calculos!$B$4,A124,A124-Calculos!$B$4),Calculos!$B$2+1-MOD(120-1,Calculos!$B$6)+1)))))</f>
        <v/>
      </c>
      <c r="G124" s="9" t="str">
        <f t="shared" si="7"/>
        <v/>
      </c>
      <c r="H124" s="9" t="str">
        <f>IF(OR(C124="",F124=""),"",IF(AND(ISNUMBER(D124),ISNUMBER(E124)),IF(D124&gt;E124,Inicio!$E$6,IF(D124=E124,Inicio!$F$6,Inicio!$G$6)),""))</f>
        <v/>
      </c>
      <c r="I124" s="9" t="str">
        <f>IF(OR(C124="",F124=""),"",IF(AND(ISNUMBER(D124),ISNUMBER(E124)),IF(D124&lt;E124,Inicio!$E$6,IF(D124=E124,Inicio!$F$6,Inicio!$G$6)),""))</f>
        <v/>
      </c>
      <c r="J124" s="9">
        <f t="shared" si="8"/>
        <v>0</v>
      </c>
      <c r="K124" s="9">
        <f t="shared" si="9"/>
        <v>0</v>
      </c>
      <c r="L124" s="9">
        <f t="shared" si="10"/>
        <v>0</v>
      </c>
      <c r="M124" s="9">
        <f t="shared" si="11"/>
        <v>0</v>
      </c>
      <c r="N124" s="9">
        <f t="shared" si="12"/>
        <v>0</v>
      </c>
      <c r="O124" s="9">
        <f t="shared" si="13"/>
        <v>0</v>
      </c>
    </row>
    <row r="125" spans="1:15" x14ac:dyDescent="0.25">
      <c r="A125" s="9" t="str">
        <f>IF(OR(Calculos!$B$7=0,121&gt;Calculos!$B$7),"",INT((121-1)/Calculos!$B$6)+1)</f>
        <v/>
      </c>
      <c r="B125" s="10" t="str">
        <f>IF(A125="","",Inicio!$E$5+(A125-1)*Inicio!$B$6)</f>
        <v/>
      </c>
      <c r="C125" s="11" t="str">
        <f>IF(A125="","",INDEX(Calculos!$B$11:$B$28,IF(A125&gt;Calculos!$B$4,IF(MOD(IF(A125&lt;=Calculos!$B$4,A125,A125-Calculos!$B$4)+MOD(121-1,Calculos!$B$6)+1,2)=0,INDEX(Calculos!$B$36:$S$52,IF(A125&lt;=Calculos!$B$4,A125,A125-Calculos!$B$4),MOD(121-1,Calculos!$B$6)+1),INDEX(Calculos!$B$36:$S$52,IF(A125&lt;=Calculos!$B$4,A125,A125-Calculos!$B$4),Calculos!$B$2+1-MOD(121-1,Calculos!$B$6)+1)),IF(MOD(IF(A125&lt;=Calculos!$B$4,A125,A125-Calculos!$B$4)+MOD(121-1,Calculos!$B$6)+1,2)=0,INDEX(Calculos!$B$36:$S$52,IF(A125&lt;=Calculos!$B$4,A125,A125-Calculos!$B$4),Calculos!$B$2+1-MOD(121-1,Calculos!$B$6)+1),INDEX(Calculos!$B$36:$S$52,IF(A125&lt;=Calculos!$B$4,A125,A125-Calculos!$B$4),MOD(121-1,Calculos!$B$6)+1)))))</f>
        <v/>
      </c>
      <c r="D125" s="4"/>
      <c r="E125" s="4"/>
      <c r="F125" s="11" t="str">
        <f>IF(A125="","",INDEX(Calculos!$B$11:$B$28,IF(A125&gt;Calculos!$B$4,IF(MOD(IF(A125&lt;=Calculos!$B$4,A125,A125-Calculos!$B$4)+MOD(121-1,Calculos!$B$6)+1,2)=0,INDEX(Calculos!$B$36:$S$52,IF(A125&lt;=Calculos!$B$4,A125,A125-Calculos!$B$4),Calculos!$B$2+1-MOD(121-1,Calculos!$B$6)+1),INDEX(Calculos!$B$36:$S$52,IF(A125&lt;=Calculos!$B$4,A125,A125-Calculos!$B$4),MOD(121-1,Calculos!$B$6)+1)),IF(MOD(IF(A125&lt;=Calculos!$B$4,A125,A125-Calculos!$B$4)+MOD(121-1,Calculos!$B$6)+1,2)=0,INDEX(Calculos!$B$36:$S$52,IF(A125&lt;=Calculos!$B$4,A125,A125-Calculos!$B$4),MOD(121-1,Calculos!$B$6)+1),INDEX(Calculos!$B$36:$S$52,IF(A125&lt;=Calculos!$B$4,A125,A125-Calculos!$B$4),Calculos!$B$2+1-MOD(121-1,Calculos!$B$6)+1)))))</f>
        <v/>
      </c>
      <c r="G125" s="9" t="str">
        <f t="shared" si="7"/>
        <v/>
      </c>
      <c r="H125" s="9" t="str">
        <f>IF(OR(C125="",F125=""),"",IF(AND(ISNUMBER(D125),ISNUMBER(E125)),IF(D125&gt;E125,Inicio!$E$6,IF(D125=E125,Inicio!$F$6,Inicio!$G$6)),""))</f>
        <v/>
      </c>
      <c r="I125" s="9" t="str">
        <f>IF(OR(C125="",F125=""),"",IF(AND(ISNUMBER(D125),ISNUMBER(E125)),IF(D125&lt;E125,Inicio!$E$6,IF(D125=E125,Inicio!$F$6,Inicio!$G$6)),""))</f>
        <v/>
      </c>
      <c r="J125" s="9">
        <f t="shared" si="8"/>
        <v>0</v>
      </c>
      <c r="K125" s="9">
        <f t="shared" si="9"/>
        <v>0</v>
      </c>
      <c r="L125" s="9">
        <f t="shared" si="10"/>
        <v>0</v>
      </c>
      <c r="M125" s="9">
        <f t="shared" si="11"/>
        <v>0</v>
      </c>
      <c r="N125" s="9">
        <f t="shared" si="12"/>
        <v>0</v>
      </c>
      <c r="O125" s="9">
        <f t="shared" si="13"/>
        <v>0</v>
      </c>
    </row>
    <row r="126" spans="1:15" x14ac:dyDescent="0.25">
      <c r="A126" s="9" t="str">
        <f>IF(OR(Calculos!$B$7=0,122&gt;Calculos!$B$7),"",INT((122-1)/Calculos!$B$6)+1)</f>
        <v/>
      </c>
      <c r="B126" s="10" t="str">
        <f>IF(A126="","",Inicio!$E$5+(A126-1)*Inicio!$B$6)</f>
        <v/>
      </c>
      <c r="C126" s="11" t="str">
        <f>IF(A126="","",INDEX(Calculos!$B$11:$B$28,IF(A126&gt;Calculos!$B$4,IF(MOD(IF(A126&lt;=Calculos!$B$4,A126,A126-Calculos!$B$4)+MOD(122-1,Calculos!$B$6)+1,2)=0,INDEX(Calculos!$B$36:$S$52,IF(A126&lt;=Calculos!$B$4,A126,A126-Calculos!$B$4),MOD(122-1,Calculos!$B$6)+1),INDEX(Calculos!$B$36:$S$52,IF(A126&lt;=Calculos!$B$4,A126,A126-Calculos!$B$4),Calculos!$B$2+1-MOD(122-1,Calculos!$B$6)+1)),IF(MOD(IF(A126&lt;=Calculos!$B$4,A126,A126-Calculos!$B$4)+MOD(122-1,Calculos!$B$6)+1,2)=0,INDEX(Calculos!$B$36:$S$52,IF(A126&lt;=Calculos!$B$4,A126,A126-Calculos!$B$4),Calculos!$B$2+1-MOD(122-1,Calculos!$B$6)+1),INDEX(Calculos!$B$36:$S$52,IF(A126&lt;=Calculos!$B$4,A126,A126-Calculos!$B$4),MOD(122-1,Calculos!$B$6)+1)))))</f>
        <v/>
      </c>
      <c r="D126" s="4"/>
      <c r="E126" s="4"/>
      <c r="F126" s="11" t="str">
        <f>IF(A126="","",INDEX(Calculos!$B$11:$B$28,IF(A126&gt;Calculos!$B$4,IF(MOD(IF(A126&lt;=Calculos!$B$4,A126,A126-Calculos!$B$4)+MOD(122-1,Calculos!$B$6)+1,2)=0,INDEX(Calculos!$B$36:$S$52,IF(A126&lt;=Calculos!$B$4,A126,A126-Calculos!$B$4),Calculos!$B$2+1-MOD(122-1,Calculos!$B$6)+1),INDEX(Calculos!$B$36:$S$52,IF(A126&lt;=Calculos!$B$4,A126,A126-Calculos!$B$4),MOD(122-1,Calculos!$B$6)+1)),IF(MOD(IF(A126&lt;=Calculos!$B$4,A126,A126-Calculos!$B$4)+MOD(122-1,Calculos!$B$6)+1,2)=0,INDEX(Calculos!$B$36:$S$52,IF(A126&lt;=Calculos!$B$4,A126,A126-Calculos!$B$4),MOD(122-1,Calculos!$B$6)+1),INDEX(Calculos!$B$36:$S$52,IF(A126&lt;=Calculos!$B$4,A126,A126-Calculos!$B$4),Calculos!$B$2+1-MOD(122-1,Calculos!$B$6)+1)))))</f>
        <v/>
      </c>
      <c r="G126" s="9" t="str">
        <f t="shared" si="7"/>
        <v/>
      </c>
      <c r="H126" s="9" t="str">
        <f>IF(OR(C126="",F126=""),"",IF(AND(ISNUMBER(D126),ISNUMBER(E126)),IF(D126&gt;E126,Inicio!$E$6,IF(D126=E126,Inicio!$F$6,Inicio!$G$6)),""))</f>
        <v/>
      </c>
      <c r="I126" s="9" t="str">
        <f>IF(OR(C126="",F126=""),"",IF(AND(ISNUMBER(D126),ISNUMBER(E126)),IF(D126&lt;E126,Inicio!$E$6,IF(D126=E126,Inicio!$F$6,Inicio!$G$6)),""))</f>
        <v/>
      </c>
      <c r="J126" s="9">
        <f t="shared" si="8"/>
        <v>0</v>
      </c>
      <c r="K126" s="9">
        <f t="shared" si="9"/>
        <v>0</v>
      </c>
      <c r="L126" s="9">
        <f t="shared" si="10"/>
        <v>0</v>
      </c>
      <c r="M126" s="9">
        <f t="shared" si="11"/>
        <v>0</v>
      </c>
      <c r="N126" s="9">
        <f t="shared" si="12"/>
        <v>0</v>
      </c>
      <c r="O126" s="9">
        <f t="shared" si="13"/>
        <v>0</v>
      </c>
    </row>
    <row r="127" spans="1:15" x14ac:dyDescent="0.25">
      <c r="A127" s="9" t="str">
        <f>IF(OR(Calculos!$B$7=0,123&gt;Calculos!$B$7),"",INT((123-1)/Calculos!$B$6)+1)</f>
        <v/>
      </c>
      <c r="B127" s="10" t="str">
        <f>IF(A127="","",Inicio!$E$5+(A127-1)*Inicio!$B$6)</f>
        <v/>
      </c>
      <c r="C127" s="11" t="str">
        <f>IF(A127="","",INDEX(Calculos!$B$11:$B$28,IF(A127&gt;Calculos!$B$4,IF(MOD(IF(A127&lt;=Calculos!$B$4,A127,A127-Calculos!$B$4)+MOD(123-1,Calculos!$B$6)+1,2)=0,INDEX(Calculos!$B$36:$S$52,IF(A127&lt;=Calculos!$B$4,A127,A127-Calculos!$B$4),MOD(123-1,Calculos!$B$6)+1),INDEX(Calculos!$B$36:$S$52,IF(A127&lt;=Calculos!$B$4,A127,A127-Calculos!$B$4),Calculos!$B$2+1-MOD(123-1,Calculos!$B$6)+1)),IF(MOD(IF(A127&lt;=Calculos!$B$4,A127,A127-Calculos!$B$4)+MOD(123-1,Calculos!$B$6)+1,2)=0,INDEX(Calculos!$B$36:$S$52,IF(A127&lt;=Calculos!$B$4,A127,A127-Calculos!$B$4),Calculos!$B$2+1-MOD(123-1,Calculos!$B$6)+1),INDEX(Calculos!$B$36:$S$52,IF(A127&lt;=Calculos!$B$4,A127,A127-Calculos!$B$4),MOD(123-1,Calculos!$B$6)+1)))))</f>
        <v/>
      </c>
      <c r="D127" s="4"/>
      <c r="E127" s="4"/>
      <c r="F127" s="11" t="str">
        <f>IF(A127="","",INDEX(Calculos!$B$11:$B$28,IF(A127&gt;Calculos!$B$4,IF(MOD(IF(A127&lt;=Calculos!$B$4,A127,A127-Calculos!$B$4)+MOD(123-1,Calculos!$B$6)+1,2)=0,INDEX(Calculos!$B$36:$S$52,IF(A127&lt;=Calculos!$B$4,A127,A127-Calculos!$B$4),Calculos!$B$2+1-MOD(123-1,Calculos!$B$6)+1),INDEX(Calculos!$B$36:$S$52,IF(A127&lt;=Calculos!$B$4,A127,A127-Calculos!$B$4),MOD(123-1,Calculos!$B$6)+1)),IF(MOD(IF(A127&lt;=Calculos!$B$4,A127,A127-Calculos!$B$4)+MOD(123-1,Calculos!$B$6)+1,2)=0,INDEX(Calculos!$B$36:$S$52,IF(A127&lt;=Calculos!$B$4,A127,A127-Calculos!$B$4),MOD(123-1,Calculos!$B$6)+1),INDEX(Calculos!$B$36:$S$52,IF(A127&lt;=Calculos!$B$4,A127,A127-Calculos!$B$4),Calculos!$B$2+1-MOD(123-1,Calculos!$B$6)+1)))))</f>
        <v/>
      </c>
      <c r="G127" s="9" t="str">
        <f t="shared" si="7"/>
        <v/>
      </c>
      <c r="H127" s="9" t="str">
        <f>IF(OR(C127="",F127=""),"",IF(AND(ISNUMBER(D127),ISNUMBER(E127)),IF(D127&gt;E127,Inicio!$E$6,IF(D127=E127,Inicio!$F$6,Inicio!$G$6)),""))</f>
        <v/>
      </c>
      <c r="I127" s="9" t="str">
        <f>IF(OR(C127="",F127=""),"",IF(AND(ISNUMBER(D127),ISNUMBER(E127)),IF(D127&lt;E127,Inicio!$E$6,IF(D127=E127,Inicio!$F$6,Inicio!$G$6)),""))</f>
        <v/>
      </c>
      <c r="J127" s="9">
        <f t="shared" si="8"/>
        <v>0</v>
      </c>
      <c r="K127" s="9">
        <f t="shared" si="9"/>
        <v>0</v>
      </c>
      <c r="L127" s="9">
        <f t="shared" si="10"/>
        <v>0</v>
      </c>
      <c r="M127" s="9">
        <f t="shared" si="11"/>
        <v>0</v>
      </c>
      <c r="N127" s="9">
        <f t="shared" si="12"/>
        <v>0</v>
      </c>
      <c r="O127" s="9">
        <f t="shared" si="13"/>
        <v>0</v>
      </c>
    </row>
    <row r="128" spans="1:15" x14ac:dyDescent="0.25">
      <c r="A128" s="9" t="str">
        <f>IF(OR(Calculos!$B$7=0,124&gt;Calculos!$B$7),"",INT((124-1)/Calculos!$B$6)+1)</f>
        <v/>
      </c>
      <c r="B128" s="10" t="str">
        <f>IF(A128="","",Inicio!$E$5+(A128-1)*Inicio!$B$6)</f>
        <v/>
      </c>
      <c r="C128" s="11" t="str">
        <f>IF(A128="","",INDEX(Calculos!$B$11:$B$28,IF(A128&gt;Calculos!$B$4,IF(MOD(IF(A128&lt;=Calculos!$B$4,A128,A128-Calculos!$B$4)+MOD(124-1,Calculos!$B$6)+1,2)=0,INDEX(Calculos!$B$36:$S$52,IF(A128&lt;=Calculos!$B$4,A128,A128-Calculos!$B$4),MOD(124-1,Calculos!$B$6)+1),INDEX(Calculos!$B$36:$S$52,IF(A128&lt;=Calculos!$B$4,A128,A128-Calculos!$B$4),Calculos!$B$2+1-MOD(124-1,Calculos!$B$6)+1)),IF(MOD(IF(A128&lt;=Calculos!$B$4,A128,A128-Calculos!$B$4)+MOD(124-1,Calculos!$B$6)+1,2)=0,INDEX(Calculos!$B$36:$S$52,IF(A128&lt;=Calculos!$B$4,A128,A128-Calculos!$B$4),Calculos!$B$2+1-MOD(124-1,Calculos!$B$6)+1),INDEX(Calculos!$B$36:$S$52,IF(A128&lt;=Calculos!$B$4,A128,A128-Calculos!$B$4),MOD(124-1,Calculos!$B$6)+1)))))</f>
        <v/>
      </c>
      <c r="D128" s="4"/>
      <c r="E128" s="4"/>
      <c r="F128" s="11" t="str">
        <f>IF(A128="","",INDEX(Calculos!$B$11:$B$28,IF(A128&gt;Calculos!$B$4,IF(MOD(IF(A128&lt;=Calculos!$B$4,A128,A128-Calculos!$B$4)+MOD(124-1,Calculos!$B$6)+1,2)=0,INDEX(Calculos!$B$36:$S$52,IF(A128&lt;=Calculos!$B$4,A128,A128-Calculos!$B$4),Calculos!$B$2+1-MOD(124-1,Calculos!$B$6)+1),INDEX(Calculos!$B$36:$S$52,IF(A128&lt;=Calculos!$B$4,A128,A128-Calculos!$B$4),MOD(124-1,Calculos!$B$6)+1)),IF(MOD(IF(A128&lt;=Calculos!$B$4,A128,A128-Calculos!$B$4)+MOD(124-1,Calculos!$B$6)+1,2)=0,INDEX(Calculos!$B$36:$S$52,IF(A128&lt;=Calculos!$B$4,A128,A128-Calculos!$B$4),MOD(124-1,Calculos!$B$6)+1),INDEX(Calculos!$B$36:$S$52,IF(A128&lt;=Calculos!$B$4,A128,A128-Calculos!$B$4),Calculos!$B$2+1-MOD(124-1,Calculos!$B$6)+1)))))</f>
        <v/>
      </c>
      <c r="G128" s="9" t="str">
        <f t="shared" si="7"/>
        <v/>
      </c>
      <c r="H128" s="9" t="str">
        <f>IF(OR(C128="",F128=""),"",IF(AND(ISNUMBER(D128),ISNUMBER(E128)),IF(D128&gt;E128,Inicio!$E$6,IF(D128=E128,Inicio!$F$6,Inicio!$G$6)),""))</f>
        <v/>
      </c>
      <c r="I128" s="9" t="str">
        <f>IF(OR(C128="",F128=""),"",IF(AND(ISNUMBER(D128),ISNUMBER(E128)),IF(D128&lt;E128,Inicio!$E$6,IF(D128=E128,Inicio!$F$6,Inicio!$G$6)),""))</f>
        <v/>
      </c>
      <c r="J128" s="9">
        <f t="shared" si="8"/>
        <v>0</v>
      </c>
      <c r="K128" s="9">
        <f t="shared" si="9"/>
        <v>0</v>
      </c>
      <c r="L128" s="9">
        <f t="shared" si="10"/>
        <v>0</v>
      </c>
      <c r="M128" s="9">
        <f t="shared" si="11"/>
        <v>0</v>
      </c>
      <c r="N128" s="9">
        <f t="shared" si="12"/>
        <v>0</v>
      </c>
      <c r="O128" s="9">
        <f t="shared" si="13"/>
        <v>0</v>
      </c>
    </row>
    <row r="129" spans="1:15" x14ac:dyDescent="0.25">
      <c r="A129" s="9" t="str">
        <f>IF(OR(Calculos!$B$7=0,125&gt;Calculos!$B$7),"",INT((125-1)/Calculos!$B$6)+1)</f>
        <v/>
      </c>
      <c r="B129" s="10" t="str">
        <f>IF(A129="","",Inicio!$E$5+(A129-1)*Inicio!$B$6)</f>
        <v/>
      </c>
      <c r="C129" s="11" t="str">
        <f>IF(A129="","",INDEX(Calculos!$B$11:$B$28,IF(A129&gt;Calculos!$B$4,IF(MOD(IF(A129&lt;=Calculos!$B$4,A129,A129-Calculos!$B$4)+MOD(125-1,Calculos!$B$6)+1,2)=0,INDEX(Calculos!$B$36:$S$52,IF(A129&lt;=Calculos!$B$4,A129,A129-Calculos!$B$4),MOD(125-1,Calculos!$B$6)+1),INDEX(Calculos!$B$36:$S$52,IF(A129&lt;=Calculos!$B$4,A129,A129-Calculos!$B$4),Calculos!$B$2+1-MOD(125-1,Calculos!$B$6)+1)),IF(MOD(IF(A129&lt;=Calculos!$B$4,A129,A129-Calculos!$B$4)+MOD(125-1,Calculos!$B$6)+1,2)=0,INDEX(Calculos!$B$36:$S$52,IF(A129&lt;=Calculos!$B$4,A129,A129-Calculos!$B$4),Calculos!$B$2+1-MOD(125-1,Calculos!$B$6)+1),INDEX(Calculos!$B$36:$S$52,IF(A129&lt;=Calculos!$B$4,A129,A129-Calculos!$B$4),MOD(125-1,Calculos!$B$6)+1)))))</f>
        <v/>
      </c>
      <c r="D129" s="4"/>
      <c r="E129" s="4"/>
      <c r="F129" s="11" t="str">
        <f>IF(A129="","",INDEX(Calculos!$B$11:$B$28,IF(A129&gt;Calculos!$B$4,IF(MOD(IF(A129&lt;=Calculos!$B$4,A129,A129-Calculos!$B$4)+MOD(125-1,Calculos!$B$6)+1,2)=0,INDEX(Calculos!$B$36:$S$52,IF(A129&lt;=Calculos!$B$4,A129,A129-Calculos!$B$4),Calculos!$B$2+1-MOD(125-1,Calculos!$B$6)+1),INDEX(Calculos!$B$36:$S$52,IF(A129&lt;=Calculos!$B$4,A129,A129-Calculos!$B$4),MOD(125-1,Calculos!$B$6)+1)),IF(MOD(IF(A129&lt;=Calculos!$B$4,A129,A129-Calculos!$B$4)+MOD(125-1,Calculos!$B$6)+1,2)=0,INDEX(Calculos!$B$36:$S$52,IF(A129&lt;=Calculos!$B$4,A129,A129-Calculos!$B$4),MOD(125-1,Calculos!$B$6)+1),INDEX(Calculos!$B$36:$S$52,IF(A129&lt;=Calculos!$B$4,A129,A129-Calculos!$B$4),Calculos!$B$2+1-MOD(125-1,Calculos!$B$6)+1)))))</f>
        <v/>
      </c>
      <c r="G129" s="9" t="str">
        <f t="shared" si="7"/>
        <v/>
      </c>
      <c r="H129" s="9" t="str">
        <f>IF(OR(C129="",F129=""),"",IF(AND(ISNUMBER(D129),ISNUMBER(E129)),IF(D129&gt;E129,Inicio!$E$6,IF(D129=E129,Inicio!$F$6,Inicio!$G$6)),""))</f>
        <v/>
      </c>
      <c r="I129" s="9" t="str">
        <f>IF(OR(C129="",F129=""),"",IF(AND(ISNUMBER(D129),ISNUMBER(E129)),IF(D129&lt;E129,Inicio!$E$6,IF(D129=E129,Inicio!$F$6,Inicio!$G$6)),""))</f>
        <v/>
      </c>
      <c r="J129" s="9">
        <f t="shared" si="8"/>
        <v>0</v>
      </c>
      <c r="K129" s="9">
        <f t="shared" si="9"/>
        <v>0</v>
      </c>
      <c r="L129" s="9">
        <f t="shared" si="10"/>
        <v>0</v>
      </c>
      <c r="M129" s="9">
        <f t="shared" si="11"/>
        <v>0</v>
      </c>
      <c r="N129" s="9">
        <f t="shared" si="12"/>
        <v>0</v>
      </c>
      <c r="O129" s="9">
        <f t="shared" si="13"/>
        <v>0</v>
      </c>
    </row>
    <row r="130" spans="1:15" x14ac:dyDescent="0.25">
      <c r="A130" s="9" t="str">
        <f>IF(OR(Calculos!$B$7=0,126&gt;Calculos!$B$7),"",INT((126-1)/Calculos!$B$6)+1)</f>
        <v/>
      </c>
      <c r="B130" s="10" t="str">
        <f>IF(A130="","",Inicio!$E$5+(A130-1)*Inicio!$B$6)</f>
        <v/>
      </c>
      <c r="C130" s="11" t="str">
        <f>IF(A130="","",INDEX(Calculos!$B$11:$B$28,IF(A130&gt;Calculos!$B$4,IF(MOD(IF(A130&lt;=Calculos!$B$4,A130,A130-Calculos!$B$4)+MOD(126-1,Calculos!$B$6)+1,2)=0,INDEX(Calculos!$B$36:$S$52,IF(A130&lt;=Calculos!$B$4,A130,A130-Calculos!$B$4),MOD(126-1,Calculos!$B$6)+1),INDEX(Calculos!$B$36:$S$52,IF(A130&lt;=Calculos!$B$4,A130,A130-Calculos!$B$4),Calculos!$B$2+1-MOD(126-1,Calculos!$B$6)+1)),IF(MOD(IF(A130&lt;=Calculos!$B$4,A130,A130-Calculos!$B$4)+MOD(126-1,Calculos!$B$6)+1,2)=0,INDEX(Calculos!$B$36:$S$52,IF(A130&lt;=Calculos!$B$4,A130,A130-Calculos!$B$4),Calculos!$B$2+1-MOD(126-1,Calculos!$B$6)+1),INDEX(Calculos!$B$36:$S$52,IF(A130&lt;=Calculos!$B$4,A130,A130-Calculos!$B$4),MOD(126-1,Calculos!$B$6)+1)))))</f>
        <v/>
      </c>
      <c r="D130" s="4"/>
      <c r="E130" s="4"/>
      <c r="F130" s="11" t="str">
        <f>IF(A130="","",INDEX(Calculos!$B$11:$B$28,IF(A130&gt;Calculos!$B$4,IF(MOD(IF(A130&lt;=Calculos!$B$4,A130,A130-Calculos!$B$4)+MOD(126-1,Calculos!$B$6)+1,2)=0,INDEX(Calculos!$B$36:$S$52,IF(A130&lt;=Calculos!$B$4,A130,A130-Calculos!$B$4),Calculos!$B$2+1-MOD(126-1,Calculos!$B$6)+1),INDEX(Calculos!$B$36:$S$52,IF(A130&lt;=Calculos!$B$4,A130,A130-Calculos!$B$4),MOD(126-1,Calculos!$B$6)+1)),IF(MOD(IF(A130&lt;=Calculos!$B$4,A130,A130-Calculos!$B$4)+MOD(126-1,Calculos!$B$6)+1,2)=0,INDEX(Calculos!$B$36:$S$52,IF(A130&lt;=Calculos!$B$4,A130,A130-Calculos!$B$4),MOD(126-1,Calculos!$B$6)+1),INDEX(Calculos!$B$36:$S$52,IF(A130&lt;=Calculos!$B$4,A130,A130-Calculos!$B$4),Calculos!$B$2+1-MOD(126-1,Calculos!$B$6)+1)))))</f>
        <v/>
      </c>
      <c r="G130" s="9" t="str">
        <f t="shared" si="7"/>
        <v/>
      </c>
      <c r="H130" s="9" t="str">
        <f>IF(OR(C130="",F130=""),"",IF(AND(ISNUMBER(D130),ISNUMBER(E130)),IF(D130&gt;E130,Inicio!$E$6,IF(D130=E130,Inicio!$F$6,Inicio!$G$6)),""))</f>
        <v/>
      </c>
      <c r="I130" s="9" t="str">
        <f>IF(OR(C130="",F130=""),"",IF(AND(ISNUMBER(D130),ISNUMBER(E130)),IF(D130&lt;E130,Inicio!$E$6,IF(D130=E130,Inicio!$F$6,Inicio!$G$6)),""))</f>
        <v/>
      </c>
      <c r="J130" s="9">
        <f t="shared" si="8"/>
        <v>0</v>
      </c>
      <c r="K130" s="9">
        <f t="shared" si="9"/>
        <v>0</v>
      </c>
      <c r="L130" s="9">
        <f t="shared" si="10"/>
        <v>0</v>
      </c>
      <c r="M130" s="9">
        <f t="shared" si="11"/>
        <v>0</v>
      </c>
      <c r="N130" s="9">
        <f t="shared" si="12"/>
        <v>0</v>
      </c>
      <c r="O130" s="9">
        <f t="shared" si="13"/>
        <v>0</v>
      </c>
    </row>
    <row r="131" spans="1:15" x14ac:dyDescent="0.25">
      <c r="A131" s="9" t="str">
        <f>IF(OR(Calculos!$B$7=0,127&gt;Calculos!$B$7),"",INT((127-1)/Calculos!$B$6)+1)</f>
        <v/>
      </c>
      <c r="B131" s="10" t="str">
        <f>IF(A131="","",Inicio!$E$5+(A131-1)*Inicio!$B$6)</f>
        <v/>
      </c>
      <c r="C131" s="11" t="str">
        <f>IF(A131="","",INDEX(Calculos!$B$11:$B$28,IF(A131&gt;Calculos!$B$4,IF(MOD(IF(A131&lt;=Calculos!$B$4,A131,A131-Calculos!$B$4)+MOD(127-1,Calculos!$B$6)+1,2)=0,INDEX(Calculos!$B$36:$S$52,IF(A131&lt;=Calculos!$B$4,A131,A131-Calculos!$B$4),MOD(127-1,Calculos!$B$6)+1),INDEX(Calculos!$B$36:$S$52,IF(A131&lt;=Calculos!$B$4,A131,A131-Calculos!$B$4),Calculos!$B$2+1-MOD(127-1,Calculos!$B$6)+1)),IF(MOD(IF(A131&lt;=Calculos!$B$4,A131,A131-Calculos!$B$4)+MOD(127-1,Calculos!$B$6)+1,2)=0,INDEX(Calculos!$B$36:$S$52,IF(A131&lt;=Calculos!$B$4,A131,A131-Calculos!$B$4),Calculos!$B$2+1-MOD(127-1,Calculos!$B$6)+1),INDEX(Calculos!$B$36:$S$52,IF(A131&lt;=Calculos!$B$4,A131,A131-Calculos!$B$4),MOD(127-1,Calculos!$B$6)+1)))))</f>
        <v/>
      </c>
      <c r="D131" s="4"/>
      <c r="E131" s="4"/>
      <c r="F131" s="11" t="str">
        <f>IF(A131="","",INDEX(Calculos!$B$11:$B$28,IF(A131&gt;Calculos!$B$4,IF(MOD(IF(A131&lt;=Calculos!$B$4,A131,A131-Calculos!$B$4)+MOD(127-1,Calculos!$B$6)+1,2)=0,INDEX(Calculos!$B$36:$S$52,IF(A131&lt;=Calculos!$B$4,A131,A131-Calculos!$B$4),Calculos!$B$2+1-MOD(127-1,Calculos!$B$6)+1),INDEX(Calculos!$B$36:$S$52,IF(A131&lt;=Calculos!$B$4,A131,A131-Calculos!$B$4),MOD(127-1,Calculos!$B$6)+1)),IF(MOD(IF(A131&lt;=Calculos!$B$4,A131,A131-Calculos!$B$4)+MOD(127-1,Calculos!$B$6)+1,2)=0,INDEX(Calculos!$B$36:$S$52,IF(A131&lt;=Calculos!$B$4,A131,A131-Calculos!$B$4),MOD(127-1,Calculos!$B$6)+1),INDEX(Calculos!$B$36:$S$52,IF(A131&lt;=Calculos!$B$4,A131,A131-Calculos!$B$4),Calculos!$B$2+1-MOD(127-1,Calculos!$B$6)+1)))))</f>
        <v/>
      </c>
      <c r="G131" s="9" t="str">
        <f t="shared" si="7"/>
        <v/>
      </c>
      <c r="H131" s="9" t="str">
        <f>IF(OR(C131="",F131=""),"",IF(AND(ISNUMBER(D131),ISNUMBER(E131)),IF(D131&gt;E131,Inicio!$E$6,IF(D131=E131,Inicio!$F$6,Inicio!$G$6)),""))</f>
        <v/>
      </c>
      <c r="I131" s="9" t="str">
        <f>IF(OR(C131="",F131=""),"",IF(AND(ISNUMBER(D131),ISNUMBER(E131)),IF(D131&lt;E131,Inicio!$E$6,IF(D131=E131,Inicio!$F$6,Inicio!$G$6)),""))</f>
        <v/>
      </c>
      <c r="J131" s="9">
        <f t="shared" si="8"/>
        <v>0</v>
      </c>
      <c r="K131" s="9">
        <f t="shared" si="9"/>
        <v>0</v>
      </c>
      <c r="L131" s="9">
        <f t="shared" si="10"/>
        <v>0</v>
      </c>
      <c r="M131" s="9">
        <f t="shared" si="11"/>
        <v>0</v>
      </c>
      <c r="N131" s="9">
        <f t="shared" si="12"/>
        <v>0</v>
      </c>
      <c r="O131" s="9">
        <f t="shared" si="13"/>
        <v>0</v>
      </c>
    </row>
    <row r="132" spans="1:15" x14ac:dyDescent="0.25">
      <c r="A132" s="9" t="str">
        <f>IF(OR(Calculos!$B$7=0,128&gt;Calculos!$B$7),"",INT((128-1)/Calculos!$B$6)+1)</f>
        <v/>
      </c>
      <c r="B132" s="10" t="str">
        <f>IF(A132="","",Inicio!$E$5+(A132-1)*Inicio!$B$6)</f>
        <v/>
      </c>
      <c r="C132" s="11" t="str">
        <f>IF(A132="","",INDEX(Calculos!$B$11:$B$28,IF(A132&gt;Calculos!$B$4,IF(MOD(IF(A132&lt;=Calculos!$B$4,A132,A132-Calculos!$B$4)+MOD(128-1,Calculos!$B$6)+1,2)=0,INDEX(Calculos!$B$36:$S$52,IF(A132&lt;=Calculos!$B$4,A132,A132-Calculos!$B$4),MOD(128-1,Calculos!$B$6)+1),INDEX(Calculos!$B$36:$S$52,IF(A132&lt;=Calculos!$B$4,A132,A132-Calculos!$B$4),Calculos!$B$2+1-MOD(128-1,Calculos!$B$6)+1)),IF(MOD(IF(A132&lt;=Calculos!$B$4,A132,A132-Calculos!$B$4)+MOD(128-1,Calculos!$B$6)+1,2)=0,INDEX(Calculos!$B$36:$S$52,IF(A132&lt;=Calculos!$B$4,A132,A132-Calculos!$B$4),Calculos!$B$2+1-MOD(128-1,Calculos!$B$6)+1),INDEX(Calculos!$B$36:$S$52,IF(A132&lt;=Calculos!$B$4,A132,A132-Calculos!$B$4),MOD(128-1,Calculos!$B$6)+1)))))</f>
        <v/>
      </c>
      <c r="D132" s="4"/>
      <c r="E132" s="4"/>
      <c r="F132" s="11" t="str">
        <f>IF(A132="","",INDEX(Calculos!$B$11:$B$28,IF(A132&gt;Calculos!$B$4,IF(MOD(IF(A132&lt;=Calculos!$B$4,A132,A132-Calculos!$B$4)+MOD(128-1,Calculos!$B$6)+1,2)=0,INDEX(Calculos!$B$36:$S$52,IF(A132&lt;=Calculos!$B$4,A132,A132-Calculos!$B$4),Calculos!$B$2+1-MOD(128-1,Calculos!$B$6)+1),INDEX(Calculos!$B$36:$S$52,IF(A132&lt;=Calculos!$B$4,A132,A132-Calculos!$B$4),MOD(128-1,Calculos!$B$6)+1)),IF(MOD(IF(A132&lt;=Calculos!$B$4,A132,A132-Calculos!$B$4)+MOD(128-1,Calculos!$B$6)+1,2)=0,INDEX(Calculos!$B$36:$S$52,IF(A132&lt;=Calculos!$B$4,A132,A132-Calculos!$B$4),MOD(128-1,Calculos!$B$6)+1),INDEX(Calculos!$B$36:$S$52,IF(A132&lt;=Calculos!$B$4,A132,A132-Calculos!$B$4),Calculos!$B$2+1-MOD(128-1,Calculos!$B$6)+1)))))</f>
        <v/>
      </c>
      <c r="G132" s="9" t="str">
        <f t="shared" si="7"/>
        <v/>
      </c>
      <c r="H132" s="9" t="str">
        <f>IF(OR(C132="",F132=""),"",IF(AND(ISNUMBER(D132),ISNUMBER(E132)),IF(D132&gt;E132,Inicio!$E$6,IF(D132=E132,Inicio!$F$6,Inicio!$G$6)),""))</f>
        <v/>
      </c>
      <c r="I132" s="9" t="str">
        <f>IF(OR(C132="",F132=""),"",IF(AND(ISNUMBER(D132),ISNUMBER(E132)),IF(D132&lt;E132,Inicio!$E$6,IF(D132=E132,Inicio!$F$6,Inicio!$G$6)),""))</f>
        <v/>
      </c>
      <c r="J132" s="9">
        <f t="shared" si="8"/>
        <v>0</v>
      </c>
      <c r="K132" s="9">
        <f t="shared" si="9"/>
        <v>0</v>
      </c>
      <c r="L132" s="9">
        <f t="shared" si="10"/>
        <v>0</v>
      </c>
      <c r="M132" s="9">
        <f t="shared" si="11"/>
        <v>0</v>
      </c>
      <c r="N132" s="9">
        <f t="shared" si="12"/>
        <v>0</v>
      </c>
      <c r="O132" s="9">
        <f t="shared" si="13"/>
        <v>0</v>
      </c>
    </row>
    <row r="133" spans="1:15" x14ac:dyDescent="0.25">
      <c r="A133" s="9" t="str">
        <f>IF(OR(Calculos!$B$7=0,129&gt;Calculos!$B$7),"",INT((129-1)/Calculos!$B$6)+1)</f>
        <v/>
      </c>
      <c r="B133" s="10" t="str">
        <f>IF(A133="","",Inicio!$E$5+(A133-1)*Inicio!$B$6)</f>
        <v/>
      </c>
      <c r="C133" s="11" t="str">
        <f>IF(A133="","",INDEX(Calculos!$B$11:$B$28,IF(A133&gt;Calculos!$B$4,IF(MOD(IF(A133&lt;=Calculos!$B$4,A133,A133-Calculos!$B$4)+MOD(129-1,Calculos!$B$6)+1,2)=0,INDEX(Calculos!$B$36:$S$52,IF(A133&lt;=Calculos!$B$4,A133,A133-Calculos!$B$4),MOD(129-1,Calculos!$B$6)+1),INDEX(Calculos!$B$36:$S$52,IF(A133&lt;=Calculos!$B$4,A133,A133-Calculos!$B$4),Calculos!$B$2+1-MOD(129-1,Calculos!$B$6)+1)),IF(MOD(IF(A133&lt;=Calculos!$B$4,A133,A133-Calculos!$B$4)+MOD(129-1,Calculos!$B$6)+1,2)=0,INDEX(Calculos!$B$36:$S$52,IF(A133&lt;=Calculos!$B$4,A133,A133-Calculos!$B$4),Calculos!$B$2+1-MOD(129-1,Calculos!$B$6)+1),INDEX(Calculos!$B$36:$S$52,IF(A133&lt;=Calculos!$B$4,A133,A133-Calculos!$B$4),MOD(129-1,Calculos!$B$6)+1)))))</f>
        <v/>
      </c>
      <c r="D133" s="4"/>
      <c r="E133" s="4"/>
      <c r="F133" s="11" t="str">
        <f>IF(A133="","",INDEX(Calculos!$B$11:$B$28,IF(A133&gt;Calculos!$B$4,IF(MOD(IF(A133&lt;=Calculos!$B$4,A133,A133-Calculos!$B$4)+MOD(129-1,Calculos!$B$6)+1,2)=0,INDEX(Calculos!$B$36:$S$52,IF(A133&lt;=Calculos!$B$4,A133,A133-Calculos!$B$4),Calculos!$B$2+1-MOD(129-1,Calculos!$B$6)+1),INDEX(Calculos!$B$36:$S$52,IF(A133&lt;=Calculos!$B$4,A133,A133-Calculos!$B$4),MOD(129-1,Calculos!$B$6)+1)),IF(MOD(IF(A133&lt;=Calculos!$B$4,A133,A133-Calculos!$B$4)+MOD(129-1,Calculos!$B$6)+1,2)=0,INDEX(Calculos!$B$36:$S$52,IF(A133&lt;=Calculos!$B$4,A133,A133-Calculos!$B$4),MOD(129-1,Calculos!$B$6)+1),INDEX(Calculos!$B$36:$S$52,IF(A133&lt;=Calculos!$B$4,A133,A133-Calculos!$B$4),Calculos!$B$2+1-MOD(129-1,Calculos!$B$6)+1)))))</f>
        <v/>
      </c>
      <c r="G133" s="9" t="str">
        <f t="shared" ref="G133:G196" si="14">IF(A133="","",IF(AND(ISNUMBER(D133),ISNUMBER(E133)),"Jugado","Pendiente"))</f>
        <v/>
      </c>
      <c r="H133" s="9" t="str">
        <f>IF(OR(C133="",F133=""),"",IF(AND(ISNUMBER(D133),ISNUMBER(E133)),IF(D133&gt;E133,Inicio!$E$6,IF(D133=E133,Inicio!$F$6,Inicio!$G$6)),""))</f>
        <v/>
      </c>
      <c r="I133" s="9" t="str">
        <f>IF(OR(C133="",F133=""),"",IF(AND(ISNUMBER(D133),ISNUMBER(E133)),IF(D133&lt;E133,Inicio!$E$6,IF(D133=E133,Inicio!$F$6,Inicio!$G$6)),""))</f>
        <v/>
      </c>
      <c r="J133" s="9">
        <f t="shared" ref="J133:J196" si="15">IF(AND(ISNUMBER(D133),ISNUMBER(E133),D133&gt;E133),1,0)</f>
        <v>0</v>
      </c>
      <c r="K133" s="9">
        <f t="shared" ref="K133:K196" si="16">IF(AND(ISNUMBER(D133),ISNUMBER(E133),D133=E133),1,0)</f>
        <v>0</v>
      </c>
      <c r="L133" s="9">
        <f t="shared" ref="L133:L196" si="17">IF(AND(ISNUMBER(D133),ISNUMBER(E133),D133&lt;E133),1,0)</f>
        <v>0</v>
      </c>
      <c r="M133" s="9">
        <f t="shared" ref="M133:M196" si="18">IF(AND(ISNUMBER(D133),ISNUMBER(E133),D133&lt;E133),1,0)</f>
        <v>0</v>
      </c>
      <c r="N133" s="9">
        <f t="shared" ref="N133:N196" si="19">IF(AND(ISNUMBER(D133),ISNUMBER(E133),D133=E133),1,0)</f>
        <v>0</v>
      </c>
      <c r="O133" s="9">
        <f t="shared" ref="O133:O196" si="20">IF(AND(ISNUMBER(D133),ISNUMBER(E133),D133&gt;E133),1,0)</f>
        <v>0</v>
      </c>
    </row>
    <row r="134" spans="1:15" x14ac:dyDescent="0.25">
      <c r="A134" s="9" t="str">
        <f>IF(OR(Calculos!$B$7=0,130&gt;Calculos!$B$7),"",INT((130-1)/Calculos!$B$6)+1)</f>
        <v/>
      </c>
      <c r="B134" s="10" t="str">
        <f>IF(A134="","",Inicio!$E$5+(A134-1)*Inicio!$B$6)</f>
        <v/>
      </c>
      <c r="C134" s="11" t="str">
        <f>IF(A134="","",INDEX(Calculos!$B$11:$B$28,IF(A134&gt;Calculos!$B$4,IF(MOD(IF(A134&lt;=Calculos!$B$4,A134,A134-Calculos!$B$4)+MOD(130-1,Calculos!$B$6)+1,2)=0,INDEX(Calculos!$B$36:$S$52,IF(A134&lt;=Calculos!$B$4,A134,A134-Calculos!$B$4),MOD(130-1,Calculos!$B$6)+1),INDEX(Calculos!$B$36:$S$52,IF(A134&lt;=Calculos!$B$4,A134,A134-Calculos!$B$4),Calculos!$B$2+1-MOD(130-1,Calculos!$B$6)+1)),IF(MOD(IF(A134&lt;=Calculos!$B$4,A134,A134-Calculos!$B$4)+MOD(130-1,Calculos!$B$6)+1,2)=0,INDEX(Calculos!$B$36:$S$52,IF(A134&lt;=Calculos!$B$4,A134,A134-Calculos!$B$4),Calculos!$B$2+1-MOD(130-1,Calculos!$B$6)+1),INDEX(Calculos!$B$36:$S$52,IF(A134&lt;=Calculos!$B$4,A134,A134-Calculos!$B$4),MOD(130-1,Calculos!$B$6)+1)))))</f>
        <v/>
      </c>
      <c r="D134" s="4"/>
      <c r="E134" s="4"/>
      <c r="F134" s="11" t="str">
        <f>IF(A134="","",INDEX(Calculos!$B$11:$B$28,IF(A134&gt;Calculos!$B$4,IF(MOD(IF(A134&lt;=Calculos!$B$4,A134,A134-Calculos!$B$4)+MOD(130-1,Calculos!$B$6)+1,2)=0,INDEX(Calculos!$B$36:$S$52,IF(A134&lt;=Calculos!$B$4,A134,A134-Calculos!$B$4),Calculos!$B$2+1-MOD(130-1,Calculos!$B$6)+1),INDEX(Calculos!$B$36:$S$52,IF(A134&lt;=Calculos!$B$4,A134,A134-Calculos!$B$4),MOD(130-1,Calculos!$B$6)+1)),IF(MOD(IF(A134&lt;=Calculos!$B$4,A134,A134-Calculos!$B$4)+MOD(130-1,Calculos!$B$6)+1,2)=0,INDEX(Calculos!$B$36:$S$52,IF(A134&lt;=Calculos!$B$4,A134,A134-Calculos!$B$4),MOD(130-1,Calculos!$B$6)+1),INDEX(Calculos!$B$36:$S$52,IF(A134&lt;=Calculos!$B$4,A134,A134-Calculos!$B$4),Calculos!$B$2+1-MOD(130-1,Calculos!$B$6)+1)))))</f>
        <v/>
      </c>
      <c r="G134" s="9" t="str">
        <f t="shared" si="14"/>
        <v/>
      </c>
      <c r="H134" s="9" t="str">
        <f>IF(OR(C134="",F134=""),"",IF(AND(ISNUMBER(D134),ISNUMBER(E134)),IF(D134&gt;E134,Inicio!$E$6,IF(D134=E134,Inicio!$F$6,Inicio!$G$6)),""))</f>
        <v/>
      </c>
      <c r="I134" s="9" t="str">
        <f>IF(OR(C134="",F134=""),"",IF(AND(ISNUMBER(D134),ISNUMBER(E134)),IF(D134&lt;E134,Inicio!$E$6,IF(D134=E134,Inicio!$F$6,Inicio!$G$6)),""))</f>
        <v/>
      </c>
      <c r="J134" s="9">
        <f t="shared" si="15"/>
        <v>0</v>
      </c>
      <c r="K134" s="9">
        <f t="shared" si="16"/>
        <v>0</v>
      </c>
      <c r="L134" s="9">
        <f t="shared" si="17"/>
        <v>0</v>
      </c>
      <c r="M134" s="9">
        <f t="shared" si="18"/>
        <v>0</v>
      </c>
      <c r="N134" s="9">
        <f t="shared" si="19"/>
        <v>0</v>
      </c>
      <c r="O134" s="9">
        <f t="shared" si="20"/>
        <v>0</v>
      </c>
    </row>
    <row r="135" spans="1:15" x14ac:dyDescent="0.25">
      <c r="A135" s="9" t="str">
        <f>IF(OR(Calculos!$B$7=0,131&gt;Calculos!$B$7),"",INT((131-1)/Calculos!$B$6)+1)</f>
        <v/>
      </c>
      <c r="B135" s="10" t="str">
        <f>IF(A135="","",Inicio!$E$5+(A135-1)*Inicio!$B$6)</f>
        <v/>
      </c>
      <c r="C135" s="11" t="str">
        <f>IF(A135="","",INDEX(Calculos!$B$11:$B$28,IF(A135&gt;Calculos!$B$4,IF(MOD(IF(A135&lt;=Calculos!$B$4,A135,A135-Calculos!$B$4)+MOD(131-1,Calculos!$B$6)+1,2)=0,INDEX(Calculos!$B$36:$S$52,IF(A135&lt;=Calculos!$B$4,A135,A135-Calculos!$B$4),MOD(131-1,Calculos!$B$6)+1),INDEX(Calculos!$B$36:$S$52,IF(A135&lt;=Calculos!$B$4,A135,A135-Calculos!$B$4),Calculos!$B$2+1-MOD(131-1,Calculos!$B$6)+1)),IF(MOD(IF(A135&lt;=Calculos!$B$4,A135,A135-Calculos!$B$4)+MOD(131-1,Calculos!$B$6)+1,2)=0,INDEX(Calculos!$B$36:$S$52,IF(A135&lt;=Calculos!$B$4,A135,A135-Calculos!$B$4),Calculos!$B$2+1-MOD(131-1,Calculos!$B$6)+1),INDEX(Calculos!$B$36:$S$52,IF(A135&lt;=Calculos!$B$4,A135,A135-Calculos!$B$4),MOD(131-1,Calculos!$B$6)+1)))))</f>
        <v/>
      </c>
      <c r="D135" s="4"/>
      <c r="E135" s="4"/>
      <c r="F135" s="11" t="str">
        <f>IF(A135="","",INDEX(Calculos!$B$11:$B$28,IF(A135&gt;Calculos!$B$4,IF(MOD(IF(A135&lt;=Calculos!$B$4,A135,A135-Calculos!$B$4)+MOD(131-1,Calculos!$B$6)+1,2)=0,INDEX(Calculos!$B$36:$S$52,IF(A135&lt;=Calculos!$B$4,A135,A135-Calculos!$B$4),Calculos!$B$2+1-MOD(131-1,Calculos!$B$6)+1),INDEX(Calculos!$B$36:$S$52,IF(A135&lt;=Calculos!$B$4,A135,A135-Calculos!$B$4),MOD(131-1,Calculos!$B$6)+1)),IF(MOD(IF(A135&lt;=Calculos!$B$4,A135,A135-Calculos!$B$4)+MOD(131-1,Calculos!$B$6)+1,2)=0,INDEX(Calculos!$B$36:$S$52,IF(A135&lt;=Calculos!$B$4,A135,A135-Calculos!$B$4),MOD(131-1,Calculos!$B$6)+1),INDEX(Calculos!$B$36:$S$52,IF(A135&lt;=Calculos!$B$4,A135,A135-Calculos!$B$4),Calculos!$B$2+1-MOD(131-1,Calculos!$B$6)+1)))))</f>
        <v/>
      </c>
      <c r="G135" s="9" t="str">
        <f t="shared" si="14"/>
        <v/>
      </c>
      <c r="H135" s="9" t="str">
        <f>IF(OR(C135="",F135=""),"",IF(AND(ISNUMBER(D135),ISNUMBER(E135)),IF(D135&gt;E135,Inicio!$E$6,IF(D135=E135,Inicio!$F$6,Inicio!$G$6)),""))</f>
        <v/>
      </c>
      <c r="I135" s="9" t="str">
        <f>IF(OR(C135="",F135=""),"",IF(AND(ISNUMBER(D135),ISNUMBER(E135)),IF(D135&lt;E135,Inicio!$E$6,IF(D135=E135,Inicio!$F$6,Inicio!$G$6)),""))</f>
        <v/>
      </c>
      <c r="J135" s="9">
        <f t="shared" si="15"/>
        <v>0</v>
      </c>
      <c r="K135" s="9">
        <f t="shared" si="16"/>
        <v>0</v>
      </c>
      <c r="L135" s="9">
        <f t="shared" si="17"/>
        <v>0</v>
      </c>
      <c r="M135" s="9">
        <f t="shared" si="18"/>
        <v>0</v>
      </c>
      <c r="N135" s="9">
        <f t="shared" si="19"/>
        <v>0</v>
      </c>
      <c r="O135" s="9">
        <f t="shared" si="20"/>
        <v>0</v>
      </c>
    </row>
    <row r="136" spans="1:15" x14ac:dyDescent="0.25">
      <c r="A136" s="9" t="str">
        <f>IF(OR(Calculos!$B$7=0,132&gt;Calculos!$B$7),"",INT((132-1)/Calculos!$B$6)+1)</f>
        <v/>
      </c>
      <c r="B136" s="10" t="str">
        <f>IF(A136="","",Inicio!$E$5+(A136-1)*Inicio!$B$6)</f>
        <v/>
      </c>
      <c r="C136" s="11" t="str">
        <f>IF(A136="","",INDEX(Calculos!$B$11:$B$28,IF(A136&gt;Calculos!$B$4,IF(MOD(IF(A136&lt;=Calculos!$B$4,A136,A136-Calculos!$B$4)+MOD(132-1,Calculos!$B$6)+1,2)=0,INDEX(Calculos!$B$36:$S$52,IF(A136&lt;=Calculos!$B$4,A136,A136-Calculos!$B$4),MOD(132-1,Calculos!$B$6)+1),INDEX(Calculos!$B$36:$S$52,IF(A136&lt;=Calculos!$B$4,A136,A136-Calculos!$B$4),Calculos!$B$2+1-MOD(132-1,Calculos!$B$6)+1)),IF(MOD(IF(A136&lt;=Calculos!$B$4,A136,A136-Calculos!$B$4)+MOD(132-1,Calculos!$B$6)+1,2)=0,INDEX(Calculos!$B$36:$S$52,IF(A136&lt;=Calculos!$B$4,A136,A136-Calculos!$B$4),Calculos!$B$2+1-MOD(132-1,Calculos!$B$6)+1),INDEX(Calculos!$B$36:$S$52,IF(A136&lt;=Calculos!$B$4,A136,A136-Calculos!$B$4),MOD(132-1,Calculos!$B$6)+1)))))</f>
        <v/>
      </c>
      <c r="D136" s="4"/>
      <c r="E136" s="4"/>
      <c r="F136" s="11" t="str">
        <f>IF(A136="","",INDEX(Calculos!$B$11:$B$28,IF(A136&gt;Calculos!$B$4,IF(MOD(IF(A136&lt;=Calculos!$B$4,A136,A136-Calculos!$B$4)+MOD(132-1,Calculos!$B$6)+1,2)=0,INDEX(Calculos!$B$36:$S$52,IF(A136&lt;=Calculos!$B$4,A136,A136-Calculos!$B$4),Calculos!$B$2+1-MOD(132-1,Calculos!$B$6)+1),INDEX(Calculos!$B$36:$S$52,IF(A136&lt;=Calculos!$B$4,A136,A136-Calculos!$B$4),MOD(132-1,Calculos!$B$6)+1)),IF(MOD(IF(A136&lt;=Calculos!$B$4,A136,A136-Calculos!$B$4)+MOD(132-1,Calculos!$B$6)+1,2)=0,INDEX(Calculos!$B$36:$S$52,IF(A136&lt;=Calculos!$B$4,A136,A136-Calculos!$B$4),MOD(132-1,Calculos!$B$6)+1),INDEX(Calculos!$B$36:$S$52,IF(A136&lt;=Calculos!$B$4,A136,A136-Calculos!$B$4),Calculos!$B$2+1-MOD(132-1,Calculos!$B$6)+1)))))</f>
        <v/>
      </c>
      <c r="G136" s="9" t="str">
        <f t="shared" si="14"/>
        <v/>
      </c>
      <c r="H136" s="9" t="str">
        <f>IF(OR(C136="",F136=""),"",IF(AND(ISNUMBER(D136),ISNUMBER(E136)),IF(D136&gt;E136,Inicio!$E$6,IF(D136=E136,Inicio!$F$6,Inicio!$G$6)),""))</f>
        <v/>
      </c>
      <c r="I136" s="9" t="str">
        <f>IF(OR(C136="",F136=""),"",IF(AND(ISNUMBER(D136),ISNUMBER(E136)),IF(D136&lt;E136,Inicio!$E$6,IF(D136=E136,Inicio!$F$6,Inicio!$G$6)),""))</f>
        <v/>
      </c>
      <c r="J136" s="9">
        <f t="shared" si="15"/>
        <v>0</v>
      </c>
      <c r="K136" s="9">
        <f t="shared" si="16"/>
        <v>0</v>
      </c>
      <c r="L136" s="9">
        <f t="shared" si="17"/>
        <v>0</v>
      </c>
      <c r="M136" s="9">
        <f t="shared" si="18"/>
        <v>0</v>
      </c>
      <c r="N136" s="9">
        <f t="shared" si="19"/>
        <v>0</v>
      </c>
      <c r="O136" s="9">
        <f t="shared" si="20"/>
        <v>0</v>
      </c>
    </row>
    <row r="137" spans="1:15" x14ac:dyDescent="0.25">
      <c r="A137" s="9" t="str">
        <f>IF(OR(Calculos!$B$7=0,133&gt;Calculos!$B$7),"",INT((133-1)/Calculos!$B$6)+1)</f>
        <v/>
      </c>
      <c r="B137" s="10" t="str">
        <f>IF(A137="","",Inicio!$E$5+(A137-1)*Inicio!$B$6)</f>
        <v/>
      </c>
      <c r="C137" s="11" t="str">
        <f>IF(A137="","",INDEX(Calculos!$B$11:$B$28,IF(A137&gt;Calculos!$B$4,IF(MOD(IF(A137&lt;=Calculos!$B$4,A137,A137-Calculos!$B$4)+MOD(133-1,Calculos!$B$6)+1,2)=0,INDEX(Calculos!$B$36:$S$52,IF(A137&lt;=Calculos!$B$4,A137,A137-Calculos!$B$4),MOD(133-1,Calculos!$B$6)+1),INDEX(Calculos!$B$36:$S$52,IF(A137&lt;=Calculos!$B$4,A137,A137-Calculos!$B$4),Calculos!$B$2+1-MOD(133-1,Calculos!$B$6)+1)),IF(MOD(IF(A137&lt;=Calculos!$B$4,A137,A137-Calculos!$B$4)+MOD(133-1,Calculos!$B$6)+1,2)=0,INDEX(Calculos!$B$36:$S$52,IF(A137&lt;=Calculos!$B$4,A137,A137-Calculos!$B$4),Calculos!$B$2+1-MOD(133-1,Calculos!$B$6)+1),INDEX(Calculos!$B$36:$S$52,IF(A137&lt;=Calculos!$B$4,A137,A137-Calculos!$B$4),MOD(133-1,Calculos!$B$6)+1)))))</f>
        <v/>
      </c>
      <c r="D137" s="4"/>
      <c r="E137" s="4"/>
      <c r="F137" s="11" t="str">
        <f>IF(A137="","",INDEX(Calculos!$B$11:$B$28,IF(A137&gt;Calculos!$B$4,IF(MOD(IF(A137&lt;=Calculos!$B$4,A137,A137-Calculos!$B$4)+MOD(133-1,Calculos!$B$6)+1,2)=0,INDEX(Calculos!$B$36:$S$52,IF(A137&lt;=Calculos!$B$4,A137,A137-Calculos!$B$4),Calculos!$B$2+1-MOD(133-1,Calculos!$B$6)+1),INDEX(Calculos!$B$36:$S$52,IF(A137&lt;=Calculos!$B$4,A137,A137-Calculos!$B$4),MOD(133-1,Calculos!$B$6)+1)),IF(MOD(IF(A137&lt;=Calculos!$B$4,A137,A137-Calculos!$B$4)+MOD(133-1,Calculos!$B$6)+1,2)=0,INDEX(Calculos!$B$36:$S$52,IF(A137&lt;=Calculos!$B$4,A137,A137-Calculos!$B$4),MOD(133-1,Calculos!$B$6)+1),INDEX(Calculos!$B$36:$S$52,IF(A137&lt;=Calculos!$B$4,A137,A137-Calculos!$B$4),Calculos!$B$2+1-MOD(133-1,Calculos!$B$6)+1)))))</f>
        <v/>
      </c>
      <c r="G137" s="9" t="str">
        <f t="shared" si="14"/>
        <v/>
      </c>
      <c r="H137" s="9" t="str">
        <f>IF(OR(C137="",F137=""),"",IF(AND(ISNUMBER(D137),ISNUMBER(E137)),IF(D137&gt;E137,Inicio!$E$6,IF(D137=E137,Inicio!$F$6,Inicio!$G$6)),""))</f>
        <v/>
      </c>
      <c r="I137" s="9" t="str">
        <f>IF(OR(C137="",F137=""),"",IF(AND(ISNUMBER(D137),ISNUMBER(E137)),IF(D137&lt;E137,Inicio!$E$6,IF(D137=E137,Inicio!$F$6,Inicio!$G$6)),""))</f>
        <v/>
      </c>
      <c r="J137" s="9">
        <f t="shared" si="15"/>
        <v>0</v>
      </c>
      <c r="K137" s="9">
        <f t="shared" si="16"/>
        <v>0</v>
      </c>
      <c r="L137" s="9">
        <f t="shared" si="17"/>
        <v>0</v>
      </c>
      <c r="M137" s="9">
        <f t="shared" si="18"/>
        <v>0</v>
      </c>
      <c r="N137" s="9">
        <f t="shared" si="19"/>
        <v>0</v>
      </c>
      <c r="O137" s="9">
        <f t="shared" si="20"/>
        <v>0</v>
      </c>
    </row>
    <row r="138" spans="1:15" x14ac:dyDescent="0.25">
      <c r="A138" s="9" t="str">
        <f>IF(OR(Calculos!$B$7=0,134&gt;Calculos!$B$7),"",INT((134-1)/Calculos!$B$6)+1)</f>
        <v/>
      </c>
      <c r="B138" s="10" t="str">
        <f>IF(A138="","",Inicio!$E$5+(A138-1)*Inicio!$B$6)</f>
        <v/>
      </c>
      <c r="C138" s="11" t="str">
        <f>IF(A138="","",INDEX(Calculos!$B$11:$B$28,IF(A138&gt;Calculos!$B$4,IF(MOD(IF(A138&lt;=Calculos!$B$4,A138,A138-Calculos!$B$4)+MOD(134-1,Calculos!$B$6)+1,2)=0,INDEX(Calculos!$B$36:$S$52,IF(A138&lt;=Calculos!$B$4,A138,A138-Calculos!$B$4),MOD(134-1,Calculos!$B$6)+1),INDEX(Calculos!$B$36:$S$52,IF(A138&lt;=Calculos!$B$4,A138,A138-Calculos!$B$4),Calculos!$B$2+1-MOD(134-1,Calculos!$B$6)+1)),IF(MOD(IF(A138&lt;=Calculos!$B$4,A138,A138-Calculos!$B$4)+MOD(134-1,Calculos!$B$6)+1,2)=0,INDEX(Calculos!$B$36:$S$52,IF(A138&lt;=Calculos!$B$4,A138,A138-Calculos!$B$4),Calculos!$B$2+1-MOD(134-1,Calculos!$B$6)+1),INDEX(Calculos!$B$36:$S$52,IF(A138&lt;=Calculos!$B$4,A138,A138-Calculos!$B$4),MOD(134-1,Calculos!$B$6)+1)))))</f>
        <v/>
      </c>
      <c r="D138" s="4"/>
      <c r="E138" s="4"/>
      <c r="F138" s="11" t="str">
        <f>IF(A138="","",INDEX(Calculos!$B$11:$B$28,IF(A138&gt;Calculos!$B$4,IF(MOD(IF(A138&lt;=Calculos!$B$4,A138,A138-Calculos!$B$4)+MOD(134-1,Calculos!$B$6)+1,2)=0,INDEX(Calculos!$B$36:$S$52,IF(A138&lt;=Calculos!$B$4,A138,A138-Calculos!$B$4),Calculos!$B$2+1-MOD(134-1,Calculos!$B$6)+1),INDEX(Calculos!$B$36:$S$52,IF(A138&lt;=Calculos!$B$4,A138,A138-Calculos!$B$4),MOD(134-1,Calculos!$B$6)+1)),IF(MOD(IF(A138&lt;=Calculos!$B$4,A138,A138-Calculos!$B$4)+MOD(134-1,Calculos!$B$6)+1,2)=0,INDEX(Calculos!$B$36:$S$52,IF(A138&lt;=Calculos!$B$4,A138,A138-Calculos!$B$4),MOD(134-1,Calculos!$B$6)+1),INDEX(Calculos!$B$36:$S$52,IF(A138&lt;=Calculos!$B$4,A138,A138-Calculos!$B$4),Calculos!$B$2+1-MOD(134-1,Calculos!$B$6)+1)))))</f>
        <v/>
      </c>
      <c r="G138" s="9" t="str">
        <f t="shared" si="14"/>
        <v/>
      </c>
      <c r="H138" s="9" t="str">
        <f>IF(OR(C138="",F138=""),"",IF(AND(ISNUMBER(D138),ISNUMBER(E138)),IF(D138&gt;E138,Inicio!$E$6,IF(D138=E138,Inicio!$F$6,Inicio!$G$6)),""))</f>
        <v/>
      </c>
      <c r="I138" s="9" t="str">
        <f>IF(OR(C138="",F138=""),"",IF(AND(ISNUMBER(D138),ISNUMBER(E138)),IF(D138&lt;E138,Inicio!$E$6,IF(D138=E138,Inicio!$F$6,Inicio!$G$6)),""))</f>
        <v/>
      </c>
      <c r="J138" s="9">
        <f t="shared" si="15"/>
        <v>0</v>
      </c>
      <c r="K138" s="9">
        <f t="shared" si="16"/>
        <v>0</v>
      </c>
      <c r="L138" s="9">
        <f t="shared" si="17"/>
        <v>0</v>
      </c>
      <c r="M138" s="9">
        <f t="shared" si="18"/>
        <v>0</v>
      </c>
      <c r="N138" s="9">
        <f t="shared" si="19"/>
        <v>0</v>
      </c>
      <c r="O138" s="9">
        <f t="shared" si="20"/>
        <v>0</v>
      </c>
    </row>
    <row r="139" spans="1:15" x14ac:dyDescent="0.25">
      <c r="A139" s="9" t="str">
        <f>IF(OR(Calculos!$B$7=0,135&gt;Calculos!$B$7),"",INT((135-1)/Calculos!$B$6)+1)</f>
        <v/>
      </c>
      <c r="B139" s="10" t="str">
        <f>IF(A139="","",Inicio!$E$5+(A139-1)*Inicio!$B$6)</f>
        <v/>
      </c>
      <c r="C139" s="11" t="str">
        <f>IF(A139="","",INDEX(Calculos!$B$11:$B$28,IF(A139&gt;Calculos!$B$4,IF(MOD(IF(A139&lt;=Calculos!$B$4,A139,A139-Calculos!$B$4)+MOD(135-1,Calculos!$B$6)+1,2)=0,INDEX(Calculos!$B$36:$S$52,IF(A139&lt;=Calculos!$B$4,A139,A139-Calculos!$B$4),MOD(135-1,Calculos!$B$6)+1),INDEX(Calculos!$B$36:$S$52,IF(A139&lt;=Calculos!$B$4,A139,A139-Calculos!$B$4),Calculos!$B$2+1-MOD(135-1,Calculos!$B$6)+1)),IF(MOD(IF(A139&lt;=Calculos!$B$4,A139,A139-Calculos!$B$4)+MOD(135-1,Calculos!$B$6)+1,2)=0,INDEX(Calculos!$B$36:$S$52,IF(A139&lt;=Calculos!$B$4,A139,A139-Calculos!$B$4),Calculos!$B$2+1-MOD(135-1,Calculos!$B$6)+1),INDEX(Calculos!$B$36:$S$52,IF(A139&lt;=Calculos!$B$4,A139,A139-Calculos!$B$4),MOD(135-1,Calculos!$B$6)+1)))))</f>
        <v/>
      </c>
      <c r="D139" s="4"/>
      <c r="E139" s="4"/>
      <c r="F139" s="11" t="str">
        <f>IF(A139="","",INDEX(Calculos!$B$11:$B$28,IF(A139&gt;Calculos!$B$4,IF(MOD(IF(A139&lt;=Calculos!$B$4,A139,A139-Calculos!$B$4)+MOD(135-1,Calculos!$B$6)+1,2)=0,INDEX(Calculos!$B$36:$S$52,IF(A139&lt;=Calculos!$B$4,A139,A139-Calculos!$B$4),Calculos!$B$2+1-MOD(135-1,Calculos!$B$6)+1),INDEX(Calculos!$B$36:$S$52,IF(A139&lt;=Calculos!$B$4,A139,A139-Calculos!$B$4),MOD(135-1,Calculos!$B$6)+1)),IF(MOD(IF(A139&lt;=Calculos!$B$4,A139,A139-Calculos!$B$4)+MOD(135-1,Calculos!$B$6)+1,2)=0,INDEX(Calculos!$B$36:$S$52,IF(A139&lt;=Calculos!$B$4,A139,A139-Calculos!$B$4),MOD(135-1,Calculos!$B$6)+1),INDEX(Calculos!$B$36:$S$52,IF(A139&lt;=Calculos!$B$4,A139,A139-Calculos!$B$4),Calculos!$B$2+1-MOD(135-1,Calculos!$B$6)+1)))))</f>
        <v/>
      </c>
      <c r="G139" s="9" t="str">
        <f t="shared" si="14"/>
        <v/>
      </c>
      <c r="H139" s="9" t="str">
        <f>IF(OR(C139="",F139=""),"",IF(AND(ISNUMBER(D139),ISNUMBER(E139)),IF(D139&gt;E139,Inicio!$E$6,IF(D139=E139,Inicio!$F$6,Inicio!$G$6)),""))</f>
        <v/>
      </c>
      <c r="I139" s="9" t="str">
        <f>IF(OR(C139="",F139=""),"",IF(AND(ISNUMBER(D139),ISNUMBER(E139)),IF(D139&lt;E139,Inicio!$E$6,IF(D139=E139,Inicio!$F$6,Inicio!$G$6)),""))</f>
        <v/>
      </c>
      <c r="J139" s="9">
        <f t="shared" si="15"/>
        <v>0</v>
      </c>
      <c r="K139" s="9">
        <f t="shared" si="16"/>
        <v>0</v>
      </c>
      <c r="L139" s="9">
        <f t="shared" si="17"/>
        <v>0</v>
      </c>
      <c r="M139" s="9">
        <f t="shared" si="18"/>
        <v>0</v>
      </c>
      <c r="N139" s="9">
        <f t="shared" si="19"/>
        <v>0</v>
      </c>
      <c r="O139" s="9">
        <f t="shared" si="20"/>
        <v>0</v>
      </c>
    </row>
    <row r="140" spans="1:15" x14ac:dyDescent="0.25">
      <c r="A140" s="9" t="str">
        <f>IF(OR(Calculos!$B$7=0,136&gt;Calculos!$B$7),"",INT((136-1)/Calculos!$B$6)+1)</f>
        <v/>
      </c>
      <c r="B140" s="10" t="str">
        <f>IF(A140="","",Inicio!$E$5+(A140-1)*Inicio!$B$6)</f>
        <v/>
      </c>
      <c r="C140" s="11" t="str">
        <f>IF(A140="","",INDEX(Calculos!$B$11:$B$28,IF(A140&gt;Calculos!$B$4,IF(MOD(IF(A140&lt;=Calculos!$B$4,A140,A140-Calculos!$B$4)+MOD(136-1,Calculos!$B$6)+1,2)=0,INDEX(Calculos!$B$36:$S$52,IF(A140&lt;=Calculos!$B$4,A140,A140-Calculos!$B$4),MOD(136-1,Calculos!$B$6)+1),INDEX(Calculos!$B$36:$S$52,IF(A140&lt;=Calculos!$B$4,A140,A140-Calculos!$B$4),Calculos!$B$2+1-MOD(136-1,Calculos!$B$6)+1)),IF(MOD(IF(A140&lt;=Calculos!$B$4,A140,A140-Calculos!$B$4)+MOD(136-1,Calculos!$B$6)+1,2)=0,INDEX(Calculos!$B$36:$S$52,IF(A140&lt;=Calculos!$B$4,A140,A140-Calculos!$B$4),Calculos!$B$2+1-MOD(136-1,Calculos!$B$6)+1),INDEX(Calculos!$B$36:$S$52,IF(A140&lt;=Calculos!$B$4,A140,A140-Calculos!$B$4),MOD(136-1,Calculos!$B$6)+1)))))</f>
        <v/>
      </c>
      <c r="D140" s="4"/>
      <c r="E140" s="4"/>
      <c r="F140" s="11" t="str">
        <f>IF(A140="","",INDEX(Calculos!$B$11:$B$28,IF(A140&gt;Calculos!$B$4,IF(MOD(IF(A140&lt;=Calculos!$B$4,A140,A140-Calculos!$B$4)+MOD(136-1,Calculos!$B$6)+1,2)=0,INDEX(Calculos!$B$36:$S$52,IF(A140&lt;=Calculos!$B$4,A140,A140-Calculos!$B$4),Calculos!$B$2+1-MOD(136-1,Calculos!$B$6)+1),INDEX(Calculos!$B$36:$S$52,IF(A140&lt;=Calculos!$B$4,A140,A140-Calculos!$B$4),MOD(136-1,Calculos!$B$6)+1)),IF(MOD(IF(A140&lt;=Calculos!$B$4,A140,A140-Calculos!$B$4)+MOD(136-1,Calculos!$B$6)+1,2)=0,INDEX(Calculos!$B$36:$S$52,IF(A140&lt;=Calculos!$B$4,A140,A140-Calculos!$B$4),MOD(136-1,Calculos!$B$6)+1),INDEX(Calculos!$B$36:$S$52,IF(A140&lt;=Calculos!$B$4,A140,A140-Calculos!$B$4),Calculos!$B$2+1-MOD(136-1,Calculos!$B$6)+1)))))</f>
        <v/>
      </c>
      <c r="G140" s="9" t="str">
        <f t="shared" si="14"/>
        <v/>
      </c>
      <c r="H140" s="9" t="str">
        <f>IF(OR(C140="",F140=""),"",IF(AND(ISNUMBER(D140),ISNUMBER(E140)),IF(D140&gt;E140,Inicio!$E$6,IF(D140=E140,Inicio!$F$6,Inicio!$G$6)),""))</f>
        <v/>
      </c>
      <c r="I140" s="9" t="str">
        <f>IF(OR(C140="",F140=""),"",IF(AND(ISNUMBER(D140),ISNUMBER(E140)),IF(D140&lt;E140,Inicio!$E$6,IF(D140=E140,Inicio!$F$6,Inicio!$G$6)),""))</f>
        <v/>
      </c>
      <c r="J140" s="9">
        <f t="shared" si="15"/>
        <v>0</v>
      </c>
      <c r="K140" s="9">
        <f t="shared" si="16"/>
        <v>0</v>
      </c>
      <c r="L140" s="9">
        <f t="shared" si="17"/>
        <v>0</v>
      </c>
      <c r="M140" s="9">
        <f t="shared" si="18"/>
        <v>0</v>
      </c>
      <c r="N140" s="9">
        <f t="shared" si="19"/>
        <v>0</v>
      </c>
      <c r="O140" s="9">
        <f t="shared" si="20"/>
        <v>0</v>
      </c>
    </row>
    <row r="141" spans="1:15" x14ac:dyDescent="0.25">
      <c r="A141" s="9" t="str">
        <f>IF(OR(Calculos!$B$7=0,137&gt;Calculos!$B$7),"",INT((137-1)/Calculos!$B$6)+1)</f>
        <v/>
      </c>
      <c r="B141" s="10" t="str">
        <f>IF(A141="","",Inicio!$E$5+(A141-1)*Inicio!$B$6)</f>
        <v/>
      </c>
      <c r="C141" s="11" t="str">
        <f>IF(A141="","",INDEX(Calculos!$B$11:$B$28,IF(A141&gt;Calculos!$B$4,IF(MOD(IF(A141&lt;=Calculos!$B$4,A141,A141-Calculos!$B$4)+MOD(137-1,Calculos!$B$6)+1,2)=0,INDEX(Calculos!$B$36:$S$52,IF(A141&lt;=Calculos!$B$4,A141,A141-Calculos!$B$4),MOD(137-1,Calculos!$B$6)+1),INDEX(Calculos!$B$36:$S$52,IF(A141&lt;=Calculos!$B$4,A141,A141-Calculos!$B$4),Calculos!$B$2+1-MOD(137-1,Calculos!$B$6)+1)),IF(MOD(IF(A141&lt;=Calculos!$B$4,A141,A141-Calculos!$B$4)+MOD(137-1,Calculos!$B$6)+1,2)=0,INDEX(Calculos!$B$36:$S$52,IF(A141&lt;=Calculos!$B$4,A141,A141-Calculos!$B$4),Calculos!$B$2+1-MOD(137-1,Calculos!$B$6)+1),INDEX(Calculos!$B$36:$S$52,IF(A141&lt;=Calculos!$B$4,A141,A141-Calculos!$B$4),MOD(137-1,Calculos!$B$6)+1)))))</f>
        <v/>
      </c>
      <c r="D141" s="4"/>
      <c r="E141" s="4"/>
      <c r="F141" s="11" t="str">
        <f>IF(A141="","",INDEX(Calculos!$B$11:$B$28,IF(A141&gt;Calculos!$B$4,IF(MOD(IF(A141&lt;=Calculos!$B$4,A141,A141-Calculos!$B$4)+MOD(137-1,Calculos!$B$6)+1,2)=0,INDEX(Calculos!$B$36:$S$52,IF(A141&lt;=Calculos!$B$4,A141,A141-Calculos!$B$4),Calculos!$B$2+1-MOD(137-1,Calculos!$B$6)+1),INDEX(Calculos!$B$36:$S$52,IF(A141&lt;=Calculos!$B$4,A141,A141-Calculos!$B$4),MOD(137-1,Calculos!$B$6)+1)),IF(MOD(IF(A141&lt;=Calculos!$B$4,A141,A141-Calculos!$B$4)+MOD(137-1,Calculos!$B$6)+1,2)=0,INDEX(Calculos!$B$36:$S$52,IF(A141&lt;=Calculos!$B$4,A141,A141-Calculos!$B$4),MOD(137-1,Calculos!$B$6)+1),INDEX(Calculos!$B$36:$S$52,IF(A141&lt;=Calculos!$B$4,A141,A141-Calculos!$B$4),Calculos!$B$2+1-MOD(137-1,Calculos!$B$6)+1)))))</f>
        <v/>
      </c>
      <c r="G141" s="9" t="str">
        <f t="shared" si="14"/>
        <v/>
      </c>
      <c r="H141" s="9" t="str">
        <f>IF(OR(C141="",F141=""),"",IF(AND(ISNUMBER(D141),ISNUMBER(E141)),IF(D141&gt;E141,Inicio!$E$6,IF(D141=E141,Inicio!$F$6,Inicio!$G$6)),""))</f>
        <v/>
      </c>
      <c r="I141" s="9" t="str">
        <f>IF(OR(C141="",F141=""),"",IF(AND(ISNUMBER(D141),ISNUMBER(E141)),IF(D141&lt;E141,Inicio!$E$6,IF(D141=E141,Inicio!$F$6,Inicio!$G$6)),""))</f>
        <v/>
      </c>
      <c r="J141" s="9">
        <f t="shared" si="15"/>
        <v>0</v>
      </c>
      <c r="K141" s="9">
        <f t="shared" si="16"/>
        <v>0</v>
      </c>
      <c r="L141" s="9">
        <f t="shared" si="17"/>
        <v>0</v>
      </c>
      <c r="M141" s="9">
        <f t="shared" si="18"/>
        <v>0</v>
      </c>
      <c r="N141" s="9">
        <f t="shared" si="19"/>
        <v>0</v>
      </c>
      <c r="O141" s="9">
        <f t="shared" si="20"/>
        <v>0</v>
      </c>
    </row>
    <row r="142" spans="1:15" x14ac:dyDescent="0.25">
      <c r="A142" s="9" t="str">
        <f>IF(OR(Calculos!$B$7=0,138&gt;Calculos!$B$7),"",INT((138-1)/Calculos!$B$6)+1)</f>
        <v/>
      </c>
      <c r="B142" s="10" t="str">
        <f>IF(A142="","",Inicio!$E$5+(A142-1)*Inicio!$B$6)</f>
        <v/>
      </c>
      <c r="C142" s="11" t="str">
        <f>IF(A142="","",INDEX(Calculos!$B$11:$B$28,IF(A142&gt;Calculos!$B$4,IF(MOD(IF(A142&lt;=Calculos!$B$4,A142,A142-Calculos!$B$4)+MOD(138-1,Calculos!$B$6)+1,2)=0,INDEX(Calculos!$B$36:$S$52,IF(A142&lt;=Calculos!$B$4,A142,A142-Calculos!$B$4),MOD(138-1,Calculos!$B$6)+1),INDEX(Calculos!$B$36:$S$52,IF(A142&lt;=Calculos!$B$4,A142,A142-Calculos!$B$4),Calculos!$B$2+1-MOD(138-1,Calculos!$B$6)+1)),IF(MOD(IF(A142&lt;=Calculos!$B$4,A142,A142-Calculos!$B$4)+MOD(138-1,Calculos!$B$6)+1,2)=0,INDEX(Calculos!$B$36:$S$52,IF(A142&lt;=Calculos!$B$4,A142,A142-Calculos!$B$4),Calculos!$B$2+1-MOD(138-1,Calculos!$B$6)+1),INDEX(Calculos!$B$36:$S$52,IF(A142&lt;=Calculos!$B$4,A142,A142-Calculos!$B$4),MOD(138-1,Calculos!$B$6)+1)))))</f>
        <v/>
      </c>
      <c r="D142" s="4"/>
      <c r="E142" s="4"/>
      <c r="F142" s="11" t="str">
        <f>IF(A142="","",INDEX(Calculos!$B$11:$B$28,IF(A142&gt;Calculos!$B$4,IF(MOD(IF(A142&lt;=Calculos!$B$4,A142,A142-Calculos!$B$4)+MOD(138-1,Calculos!$B$6)+1,2)=0,INDEX(Calculos!$B$36:$S$52,IF(A142&lt;=Calculos!$B$4,A142,A142-Calculos!$B$4),Calculos!$B$2+1-MOD(138-1,Calculos!$B$6)+1),INDEX(Calculos!$B$36:$S$52,IF(A142&lt;=Calculos!$B$4,A142,A142-Calculos!$B$4),MOD(138-1,Calculos!$B$6)+1)),IF(MOD(IF(A142&lt;=Calculos!$B$4,A142,A142-Calculos!$B$4)+MOD(138-1,Calculos!$B$6)+1,2)=0,INDEX(Calculos!$B$36:$S$52,IF(A142&lt;=Calculos!$B$4,A142,A142-Calculos!$B$4),MOD(138-1,Calculos!$B$6)+1),INDEX(Calculos!$B$36:$S$52,IF(A142&lt;=Calculos!$B$4,A142,A142-Calculos!$B$4),Calculos!$B$2+1-MOD(138-1,Calculos!$B$6)+1)))))</f>
        <v/>
      </c>
      <c r="G142" s="9" t="str">
        <f t="shared" si="14"/>
        <v/>
      </c>
      <c r="H142" s="9" t="str">
        <f>IF(OR(C142="",F142=""),"",IF(AND(ISNUMBER(D142),ISNUMBER(E142)),IF(D142&gt;E142,Inicio!$E$6,IF(D142=E142,Inicio!$F$6,Inicio!$G$6)),""))</f>
        <v/>
      </c>
      <c r="I142" s="9" t="str">
        <f>IF(OR(C142="",F142=""),"",IF(AND(ISNUMBER(D142),ISNUMBER(E142)),IF(D142&lt;E142,Inicio!$E$6,IF(D142=E142,Inicio!$F$6,Inicio!$G$6)),""))</f>
        <v/>
      </c>
      <c r="J142" s="9">
        <f t="shared" si="15"/>
        <v>0</v>
      </c>
      <c r="K142" s="9">
        <f t="shared" si="16"/>
        <v>0</v>
      </c>
      <c r="L142" s="9">
        <f t="shared" si="17"/>
        <v>0</v>
      </c>
      <c r="M142" s="9">
        <f t="shared" si="18"/>
        <v>0</v>
      </c>
      <c r="N142" s="9">
        <f t="shared" si="19"/>
        <v>0</v>
      </c>
      <c r="O142" s="9">
        <f t="shared" si="20"/>
        <v>0</v>
      </c>
    </row>
    <row r="143" spans="1:15" x14ac:dyDescent="0.25">
      <c r="A143" s="9" t="str">
        <f>IF(OR(Calculos!$B$7=0,139&gt;Calculos!$B$7),"",INT((139-1)/Calculos!$B$6)+1)</f>
        <v/>
      </c>
      <c r="B143" s="10" t="str">
        <f>IF(A143="","",Inicio!$E$5+(A143-1)*Inicio!$B$6)</f>
        <v/>
      </c>
      <c r="C143" s="11" t="str">
        <f>IF(A143="","",INDEX(Calculos!$B$11:$B$28,IF(A143&gt;Calculos!$B$4,IF(MOD(IF(A143&lt;=Calculos!$B$4,A143,A143-Calculos!$B$4)+MOD(139-1,Calculos!$B$6)+1,2)=0,INDEX(Calculos!$B$36:$S$52,IF(A143&lt;=Calculos!$B$4,A143,A143-Calculos!$B$4),MOD(139-1,Calculos!$B$6)+1),INDEX(Calculos!$B$36:$S$52,IF(A143&lt;=Calculos!$B$4,A143,A143-Calculos!$B$4),Calculos!$B$2+1-MOD(139-1,Calculos!$B$6)+1)),IF(MOD(IF(A143&lt;=Calculos!$B$4,A143,A143-Calculos!$B$4)+MOD(139-1,Calculos!$B$6)+1,2)=0,INDEX(Calculos!$B$36:$S$52,IF(A143&lt;=Calculos!$B$4,A143,A143-Calculos!$B$4),Calculos!$B$2+1-MOD(139-1,Calculos!$B$6)+1),INDEX(Calculos!$B$36:$S$52,IF(A143&lt;=Calculos!$B$4,A143,A143-Calculos!$B$4),MOD(139-1,Calculos!$B$6)+1)))))</f>
        <v/>
      </c>
      <c r="D143" s="4"/>
      <c r="E143" s="4"/>
      <c r="F143" s="11" t="str">
        <f>IF(A143="","",INDEX(Calculos!$B$11:$B$28,IF(A143&gt;Calculos!$B$4,IF(MOD(IF(A143&lt;=Calculos!$B$4,A143,A143-Calculos!$B$4)+MOD(139-1,Calculos!$B$6)+1,2)=0,INDEX(Calculos!$B$36:$S$52,IF(A143&lt;=Calculos!$B$4,A143,A143-Calculos!$B$4),Calculos!$B$2+1-MOD(139-1,Calculos!$B$6)+1),INDEX(Calculos!$B$36:$S$52,IF(A143&lt;=Calculos!$B$4,A143,A143-Calculos!$B$4),MOD(139-1,Calculos!$B$6)+1)),IF(MOD(IF(A143&lt;=Calculos!$B$4,A143,A143-Calculos!$B$4)+MOD(139-1,Calculos!$B$6)+1,2)=0,INDEX(Calculos!$B$36:$S$52,IF(A143&lt;=Calculos!$B$4,A143,A143-Calculos!$B$4),MOD(139-1,Calculos!$B$6)+1),INDEX(Calculos!$B$36:$S$52,IF(A143&lt;=Calculos!$B$4,A143,A143-Calculos!$B$4),Calculos!$B$2+1-MOD(139-1,Calculos!$B$6)+1)))))</f>
        <v/>
      </c>
      <c r="G143" s="9" t="str">
        <f t="shared" si="14"/>
        <v/>
      </c>
      <c r="H143" s="9" t="str">
        <f>IF(OR(C143="",F143=""),"",IF(AND(ISNUMBER(D143),ISNUMBER(E143)),IF(D143&gt;E143,Inicio!$E$6,IF(D143=E143,Inicio!$F$6,Inicio!$G$6)),""))</f>
        <v/>
      </c>
      <c r="I143" s="9" t="str">
        <f>IF(OR(C143="",F143=""),"",IF(AND(ISNUMBER(D143),ISNUMBER(E143)),IF(D143&lt;E143,Inicio!$E$6,IF(D143=E143,Inicio!$F$6,Inicio!$G$6)),""))</f>
        <v/>
      </c>
      <c r="J143" s="9">
        <f t="shared" si="15"/>
        <v>0</v>
      </c>
      <c r="K143" s="9">
        <f t="shared" si="16"/>
        <v>0</v>
      </c>
      <c r="L143" s="9">
        <f t="shared" si="17"/>
        <v>0</v>
      </c>
      <c r="M143" s="9">
        <f t="shared" si="18"/>
        <v>0</v>
      </c>
      <c r="N143" s="9">
        <f t="shared" si="19"/>
        <v>0</v>
      </c>
      <c r="O143" s="9">
        <f t="shared" si="20"/>
        <v>0</v>
      </c>
    </row>
    <row r="144" spans="1:15" x14ac:dyDescent="0.25">
      <c r="A144" s="9" t="str">
        <f>IF(OR(Calculos!$B$7=0,140&gt;Calculos!$B$7),"",INT((140-1)/Calculos!$B$6)+1)</f>
        <v/>
      </c>
      <c r="B144" s="10" t="str">
        <f>IF(A144="","",Inicio!$E$5+(A144-1)*Inicio!$B$6)</f>
        <v/>
      </c>
      <c r="C144" s="11" t="str">
        <f>IF(A144="","",INDEX(Calculos!$B$11:$B$28,IF(A144&gt;Calculos!$B$4,IF(MOD(IF(A144&lt;=Calculos!$B$4,A144,A144-Calculos!$B$4)+MOD(140-1,Calculos!$B$6)+1,2)=0,INDEX(Calculos!$B$36:$S$52,IF(A144&lt;=Calculos!$B$4,A144,A144-Calculos!$B$4),MOD(140-1,Calculos!$B$6)+1),INDEX(Calculos!$B$36:$S$52,IF(A144&lt;=Calculos!$B$4,A144,A144-Calculos!$B$4),Calculos!$B$2+1-MOD(140-1,Calculos!$B$6)+1)),IF(MOD(IF(A144&lt;=Calculos!$B$4,A144,A144-Calculos!$B$4)+MOD(140-1,Calculos!$B$6)+1,2)=0,INDEX(Calculos!$B$36:$S$52,IF(A144&lt;=Calculos!$B$4,A144,A144-Calculos!$B$4),Calculos!$B$2+1-MOD(140-1,Calculos!$B$6)+1),INDEX(Calculos!$B$36:$S$52,IF(A144&lt;=Calculos!$B$4,A144,A144-Calculos!$B$4),MOD(140-1,Calculos!$B$6)+1)))))</f>
        <v/>
      </c>
      <c r="D144" s="4"/>
      <c r="E144" s="4"/>
      <c r="F144" s="11" t="str">
        <f>IF(A144="","",INDEX(Calculos!$B$11:$B$28,IF(A144&gt;Calculos!$B$4,IF(MOD(IF(A144&lt;=Calculos!$B$4,A144,A144-Calculos!$B$4)+MOD(140-1,Calculos!$B$6)+1,2)=0,INDEX(Calculos!$B$36:$S$52,IF(A144&lt;=Calculos!$B$4,A144,A144-Calculos!$B$4),Calculos!$B$2+1-MOD(140-1,Calculos!$B$6)+1),INDEX(Calculos!$B$36:$S$52,IF(A144&lt;=Calculos!$B$4,A144,A144-Calculos!$B$4),MOD(140-1,Calculos!$B$6)+1)),IF(MOD(IF(A144&lt;=Calculos!$B$4,A144,A144-Calculos!$B$4)+MOD(140-1,Calculos!$B$6)+1,2)=0,INDEX(Calculos!$B$36:$S$52,IF(A144&lt;=Calculos!$B$4,A144,A144-Calculos!$B$4),MOD(140-1,Calculos!$B$6)+1),INDEX(Calculos!$B$36:$S$52,IF(A144&lt;=Calculos!$B$4,A144,A144-Calculos!$B$4),Calculos!$B$2+1-MOD(140-1,Calculos!$B$6)+1)))))</f>
        <v/>
      </c>
      <c r="G144" s="9" t="str">
        <f t="shared" si="14"/>
        <v/>
      </c>
      <c r="H144" s="9" t="str">
        <f>IF(OR(C144="",F144=""),"",IF(AND(ISNUMBER(D144),ISNUMBER(E144)),IF(D144&gt;E144,Inicio!$E$6,IF(D144=E144,Inicio!$F$6,Inicio!$G$6)),""))</f>
        <v/>
      </c>
      <c r="I144" s="9" t="str">
        <f>IF(OR(C144="",F144=""),"",IF(AND(ISNUMBER(D144),ISNUMBER(E144)),IF(D144&lt;E144,Inicio!$E$6,IF(D144=E144,Inicio!$F$6,Inicio!$G$6)),""))</f>
        <v/>
      </c>
      <c r="J144" s="9">
        <f t="shared" si="15"/>
        <v>0</v>
      </c>
      <c r="K144" s="9">
        <f t="shared" si="16"/>
        <v>0</v>
      </c>
      <c r="L144" s="9">
        <f t="shared" si="17"/>
        <v>0</v>
      </c>
      <c r="M144" s="9">
        <f t="shared" si="18"/>
        <v>0</v>
      </c>
      <c r="N144" s="9">
        <f t="shared" si="19"/>
        <v>0</v>
      </c>
      <c r="O144" s="9">
        <f t="shared" si="20"/>
        <v>0</v>
      </c>
    </row>
    <row r="145" spans="1:15" x14ac:dyDescent="0.25">
      <c r="A145" s="9" t="str">
        <f>IF(OR(Calculos!$B$7=0,141&gt;Calculos!$B$7),"",INT((141-1)/Calculos!$B$6)+1)</f>
        <v/>
      </c>
      <c r="B145" s="10" t="str">
        <f>IF(A145="","",Inicio!$E$5+(A145-1)*Inicio!$B$6)</f>
        <v/>
      </c>
      <c r="C145" s="11" t="str">
        <f>IF(A145="","",INDEX(Calculos!$B$11:$B$28,IF(A145&gt;Calculos!$B$4,IF(MOD(IF(A145&lt;=Calculos!$B$4,A145,A145-Calculos!$B$4)+MOD(141-1,Calculos!$B$6)+1,2)=0,INDEX(Calculos!$B$36:$S$52,IF(A145&lt;=Calculos!$B$4,A145,A145-Calculos!$B$4),MOD(141-1,Calculos!$B$6)+1),INDEX(Calculos!$B$36:$S$52,IF(A145&lt;=Calculos!$B$4,A145,A145-Calculos!$B$4),Calculos!$B$2+1-MOD(141-1,Calculos!$B$6)+1)),IF(MOD(IF(A145&lt;=Calculos!$B$4,A145,A145-Calculos!$B$4)+MOD(141-1,Calculos!$B$6)+1,2)=0,INDEX(Calculos!$B$36:$S$52,IF(A145&lt;=Calculos!$B$4,A145,A145-Calculos!$B$4),Calculos!$B$2+1-MOD(141-1,Calculos!$B$6)+1),INDEX(Calculos!$B$36:$S$52,IF(A145&lt;=Calculos!$B$4,A145,A145-Calculos!$B$4),MOD(141-1,Calculos!$B$6)+1)))))</f>
        <v/>
      </c>
      <c r="D145" s="4"/>
      <c r="E145" s="4"/>
      <c r="F145" s="11" t="str">
        <f>IF(A145="","",INDEX(Calculos!$B$11:$B$28,IF(A145&gt;Calculos!$B$4,IF(MOD(IF(A145&lt;=Calculos!$B$4,A145,A145-Calculos!$B$4)+MOD(141-1,Calculos!$B$6)+1,2)=0,INDEX(Calculos!$B$36:$S$52,IF(A145&lt;=Calculos!$B$4,A145,A145-Calculos!$B$4),Calculos!$B$2+1-MOD(141-1,Calculos!$B$6)+1),INDEX(Calculos!$B$36:$S$52,IF(A145&lt;=Calculos!$B$4,A145,A145-Calculos!$B$4),MOD(141-1,Calculos!$B$6)+1)),IF(MOD(IF(A145&lt;=Calculos!$B$4,A145,A145-Calculos!$B$4)+MOD(141-1,Calculos!$B$6)+1,2)=0,INDEX(Calculos!$B$36:$S$52,IF(A145&lt;=Calculos!$B$4,A145,A145-Calculos!$B$4),MOD(141-1,Calculos!$B$6)+1),INDEX(Calculos!$B$36:$S$52,IF(A145&lt;=Calculos!$B$4,A145,A145-Calculos!$B$4),Calculos!$B$2+1-MOD(141-1,Calculos!$B$6)+1)))))</f>
        <v/>
      </c>
      <c r="G145" s="9" t="str">
        <f t="shared" si="14"/>
        <v/>
      </c>
      <c r="H145" s="9" t="str">
        <f>IF(OR(C145="",F145=""),"",IF(AND(ISNUMBER(D145),ISNUMBER(E145)),IF(D145&gt;E145,Inicio!$E$6,IF(D145=E145,Inicio!$F$6,Inicio!$G$6)),""))</f>
        <v/>
      </c>
      <c r="I145" s="9" t="str">
        <f>IF(OR(C145="",F145=""),"",IF(AND(ISNUMBER(D145),ISNUMBER(E145)),IF(D145&lt;E145,Inicio!$E$6,IF(D145=E145,Inicio!$F$6,Inicio!$G$6)),""))</f>
        <v/>
      </c>
      <c r="J145" s="9">
        <f t="shared" si="15"/>
        <v>0</v>
      </c>
      <c r="K145" s="9">
        <f t="shared" si="16"/>
        <v>0</v>
      </c>
      <c r="L145" s="9">
        <f t="shared" si="17"/>
        <v>0</v>
      </c>
      <c r="M145" s="9">
        <f t="shared" si="18"/>
        <v>0</v>
      </c>
      <c r="N145" s="9">
        <f t="shared" si="19"/>
        <v>0</v>
      </c>
      <c r="O145" s="9">
        <f t="shared" si="20"/>
        <v>0</v>
      </c>
    </row>
    <row r="146" spans="1:15" x14ac:dyDescent="0.25">
      <c r="A146" s="9" t="str">
        <f>IF(OR(Calculos!$B$7=0,142&gt;Calculos!$B$7),"",INT((142-1)/Calculos!$B$6)+1)</f>
        <v/>
      </c>
      <c r="B146" s="10" t="str">
        <f>IF(A146="","",Inicio!$E$5+(A146-1)*Inicio!$B$6)</f>
        <v/>
      </c>
      <c r="C146" s="11" t="str">
        <f>IF(A146="","",INDEX(Calculos!$B$11:$B$28,IF(A146&gt;Calculos!$B$4,IF(MOD(IF(A146&lt;=Calculos!$B$4,A146,A146-Calculos!$B$4)+MOD(142-1,Calculos!$B$6)+1,2)=0,INDEX(Calculos!$B$36:$S$52,IF(A146&lt;=Calculos!$B$4,A146,A146-Calculos!$B$4),MOD(142-1,Calculos!$B$6)+1),INDEX(Calculos!$B$36:$S$52,IF(A146&lt;=Calculos!$B$4,A146,A146-Calculos!$B$4),Calculos!$B$2+1-MOD(142-1,Calculos!$B$6)+1)),IF(MOD(IF(A146&lt;=Calculos!$B$4,A146,A146-Calculos!$B$4)+MOD(142-1,Calculos!$B$6)+1,2)=0,INDEX(Calculos!$B$36:$S$52,IF(A146&lt;=Calculos!$B$4,A146,A146-Calculos!$B$4),Calculos!$B$2+1-MOD(142-1,Calculos!$B$6)+1),INDEX(Calculos!$B$36:$S$52,IF(A146&lt;=Calculos!$B$4,A146,A146-Calculos!$B$4),MOD(142-1,Calculos!$B$6)+1)))))</f>
        <v/>
      </c>
      <c r="D146" s="4"/>
      <c r="E146" s="4"/>
      <c r="F146" s="11" t="str">
        <f>IF(A146="","",INDEX(Calculos!$B$11:$B$28,IF(A146&gt;Calculos!$B$4,IF(MOD(IF(A146&lt;=Calculos!$B$4,A146,A146-Calculos!$B$4)+MOD(142-1,Calculos!$B$6)+1,2)=0,INDEX(Calculos!$B$36:$S$52,IF(A146&lt;=Calculos!$B$4,A146,A146-Calculos!$B$4),Calculos!$B$2+1-MOD(142-1,Calculos!$B$6)+1),INDEX(Calculos!$B$36:$S$52,IF(A146&lt;=Calculos!$B$4,A146,A146-Calculos!$B$4),MOD(142-1,Calculos!$B$6)+1)),IF(MOD(IF(A146&lt;=Calculos!$B$4,A146,A146-Calculos!$B$4)+MOD(142-1,Calculos!$B$6)+1,2)=0,INDEX(Calculos!$B$36:$S$52,IF(A146&lt;=Calculos!$B$4,A146,A146-Calculos!$B$4),MOD(142-1,Calculos!$B$6)+1),INDEX(Calculos!$B$36:$S$52,IF(A146&lt;=Calculos!$B$4,A146,A146-Calculos!$B$4),Calculos!$B$2+1-MOD(142-1,Calculos!$B$6)+1)))))</f>
        <v/>
      </c>
      <c r="G146" s="9" t="str">
        <f t="shared" si="14"/>
        <v/>
      </c>
      <c r="H146" s="9" t="str">
        <f>IF(OR(C146="",F146=""),"",IF(AND(ISNUMBER(D146),ISNUMBER(E146)),IF(D146&gt;E146,Inicio!$E$6,IF(D146=E146,Inicio!$F$6,Inicio!$G$6)),""))</f>
        <v/>
      </c>
      <c r="I146" s="9" t="str">
        <f>IF(OR(C146="",F146=""),"",IF(AND(ISNUMBER(D146),ISNUMBER(E146)),IF(D146&lt;E146,Inicio!$E$6,IF(D146=E146,Inicio!$F$6,Inicio!$G$6)),""))</f>
        <v/>
      </c>
      <c r="J146" s="9">
        <f t="shared" si="15"/>
        <v>0</v>
      </c>
      <c r="K146" s="9">
        <f t="shared" si="16"/>
        <v>0</v>
      </c>
      <c r="L146" s="9">
        <f t="shared" si="17"/>
        <v>0</v>
      </c>
      <c r="M146" s="9">
        <f t="shared" si="18"/>
        <v>0</v>
      </c>
      <c r="N146" s="9">
        <f t="shared" si="19"/>
        <v>0</v>
      </c>
      <c r="O146" s="9">
        <f t="shared" si="20"/>
        <v>0</v>
      </c>
    </row>
    <row r="147" spans="1:15" x14ac:dyDescent="0.25">
      <c r="A147" s="9" t="str">
        <f>IF(OR(Calculos!$B$7=0,143&gt;Calculos!$B$7),"",INT((143-1)/Calculos!$B$6)+1)</f>
        <v/>
      </c>
      <c r="B147" s="10" t="str">
        <f>IF(A147="","",Inicio!$E$5+(A147-1)*Inicio!$B$6)</f>
        <v/>
      </c>
      <c r="C147" s="11" t="str">
        <f>IF(A147="","",INDEX(Calculos!$B$11:$B$28,IF(A147&gt;Calculos!$B$4,IF(MOD(IF(A147&lt;=Calculos!$B$4,A147,A147-Calculos!$B$4)+MOD(143-1,Calculos!$B$6)+1,2)=0,INDEX(Calculos!$B$36:$S$52,IF(A147&lt;=Calculos!$B$4,A147,A147-Calculos!$B$4),MOD(143-1,Calculos!$B$6)+1),INDEX(Calculos!$B$36:$S$52,IF(A147&lt;=Calculos!$B$4,A147,A147-Calculos!$B$4),Calculos!$B$2+1-MOD(143-1,Calculos!$B$6)+1)),IF(MOD(IF(A147&lt;=Calculos!$B$4,A147,A147-Calculos!$B$4)+MOD(143-1,Calculos!$B$6)+1,2)=0,INDEX(Calculos!$B$36:$S$52,IF(A147&lt;=Calculos!$B$4,A147,A147-Calculos!$B$4),Calculos!$B$2+1-MOD(143-1,Calculos!$B$6)+1),INDEX(Calculos!$B$36:$S$52,IF(A147&lt;=Calculos!$B$4,A147,A147-Calculos!$B$4),MOD(143-1,Calculos!$B$6)+1)))))</f>
        <v/>
      </c>
      <c r="D147" s="4"/>
      <c r="E147" s="4"/>
      <c r="F147" s="11" t="str">
        <f>IF(A147="","",INDEX(Calculos!$B$11:$B$28,IF(A147&gt;Calculos!$B$4,IF(MOD(IF(A147&lt;=Calculos!$B$4,A147,A147-Calculos!$B$4)+MOD(143-1,Calculos!$B$6)+1,2)=0,INDEX(Calculos!$B$36:$S$52,IF(A147&lt;=Calculos!$B$4,A147,A147-Calculos!$B$4),Calculos!$B$2+1-MOD(143-1,Calculos!$B$6)+1),INDEX(Calculos!$B$36:$S$52,IF(A147&lt;=Calculos!$B$4,A147,A147-Calculos!$B$4),MOD(143-1,Calculos!$B$6)+1)),IF(MOD(IF(A147&lt;=Calculos!$B$4,A147,A147-Calculos!$B$4)+MOD(143-1,Calculos!$B$6)+1,2)=0,INDEX(Calculos!$B$36:$S$52,IF(A147&lt;=Calculos!$B$4,A147,A147-Calculos!$B$4),MOD(143-1,Calculos!$B$6)+1),INDEX(Calculos!$B$36:$S$52,IF(A147&lt;=Calculos!$B$4,A147,A147-Calculos!$B$4),Calculos!$B$2+1-MOD(143-1,Calculos!$B$6)+1)))))</f>
        <v/>
      </c>
      <c r="G147" s="9" t="str">
        <f t="shared" si="14"/>
        <v/>
      </c>
      <c r="H147" s="9" t="str">
        <f>IF(OR(C147="",F147=""),"",IF(AND(ISNUMBER(D147),ISNUMBER(E147)),IF(D147&gt;E147,Inicio!$E$6,IF(D147=E147,Inicio!$F$6,Inicio!$G$6)),""))</f>
        <v/>
      </c>
      <c r="I147" s="9" t="str">
        <f>IF(OR(C147="",F147=""),"",IF(AND(ISNUMBER(D147),ISNUMBER(E147)),IF(D147&lt;E147,Inicio!$E$6,IF(D147=E147,Inicio!$F$6,Inicio!$G$6)),""))</f>
        <v/>
      </c>
      <c r="J147" s="9">
        <f t="shared" si="15"/>
        <v>0</v>
      </c>
      <c r="K147" s="9">
        <f t="shared" si="16"/>
        <v>0</v>
      </c>
      <c r="L147" s="9">
        <f t="shared" si="17"/>
        <v>0</v>
      </c>
      <c r="M147" s="9">
        <f t="shared" si="18"/>
        <v>0</v>
      </c>
      <c r="N147" s="9">
        <f t="shared" si="19"/>
        <v>0</v>
      </c>
      <c r="O147" s="9">
        <f t="shared" si="20"/>
        <v>0</v>
      </c>
    </row>
    <row r="148" spans="1:15" x14ac:dyDescent="0.25">
      <c r="A148" s="9" t="str">
        <f>IF(OR(Calculos!$B$7=0,144&gt;Calculos!$B$7),"",INT((144-1)/Calculos!$B$6)+1)</f>
        <v/>
      </c>
      <c r="B148" s="10" t="str">
        <f>IF(A148="","",Inicio!$E$5+(A148-1)*Inicio!$B$6)</f>
        <v/>
      </c>
      <c r="C148" s="11" t="str">
        <f>IF(A148="","",INDEX(Calculos!$B$11:$B$28,IF(A148&gt;Calculos!$B$4,IF(MOD(IF(A148&lt;=Calculos!$B$4,A148,A148-Calculos!$B$4)+MOD(144-1,Calculos!$B$6)+1,2)=0,INDEX(Calculos!$B$36:$S$52,IF(A148&lt;=Calculos!$B$4,A148,A148-Calculos!$B$4),MOD(144-1,Calculos!$B$6)+1),INDEX(Calculos!$B$36:$S$52,IF(A148&lt;=Calculos!$B$4,A148,A148-Calculos!$B$4),Calculos!$B$2+1-MOD(144-1,Calculos!$B$6)+1)),IF(MOD(IF(A148&lt;=Calculos!$B$4,A148,A148-Calculos!$B$4)+MOD(144-1,Calculos!$B$6)+1,2)=0,INDEX(Calculos!$B$36:$S$52,IF(A148&lt;=Calculos!$B$4,A148,A148-Calculos!$B$4),Calculos!$B$2+1-MOD(144-1,Calculos!$B$6)+1),INDEX(Calculos!$B$36:$S$52,IF(A148&lt;=Calculos!$B$4,A148,A148-Calculos!$B$4),MOD(144-1,Calculos!$B$6)+1)))))</f>
        <v/>
      </c>
      <c r="D148" s="4"/>
      <c r="E148" s="4"/>
      <c r="F148" s="11" t="str">
        <f>IF(A148="","",INDEX(Calculos!$B$11:$B$28,IF(A148&gt;Calculos!$B$4,IF(MOD(IF(A148&lt;=Calculos!$B$4,A148,A148-Calculos!$B$4)+MOD(144-1,Calculos!$B$6)+1,2)=0,INDEX(Calculos!$B$36:$S$52,IF(A148&lt;=Calculos!$B$4,A148,A148-Calculos!$B$4),Calculos!$B$2+1-MOD(144-1,Calculos!$B$6)+1),INDEX(Calculos!$B$36:$S$52,IF(A148&lt;=Calculos!$B$4,A148,A148-Calculos!$B$4),MOD(144-1,Calculos!$B$6)+1)),IF(MOD(IF(A148&lt;=Calculos!$B$4,A148,A148-Calculos!$B$4)+MOD(144-1,Calculos!$B$6)+1,2)=0,INDEX(Calculos!$B$36:$S$52,IF(A148&lt;=Calculos!$B$4,A148,A148-Calculos!$B$4),MOD(144-1,Calculos!$B$6)+1),INDEX(Calculos!$B$36:$S$52,IF(A148&lt;=Calculos!$B$4,A148,A148-Calculos!$B$4),Calculos!$B$2+1-MOD(144-1,Calculos!$B$6)+1)))))</f>
        <v/>
      </c>
      <c r="G148" s="9" t="str">
        <f t="shared" si="14"/>
        <v/>
      </c>
      <c r="H148" s="9" t="str">
        <f>IF(OR(C148="",F148=""),"",IF(AND(ISNUMBER(D148),ISNUMBER(E148)),IF(D148&gt;E148,Inicio!$E$6,IF(D148=E148,Inicio!$F$6,Inicio!$G$6)),""))</f>
        <v/>
      </c>
      <c r="I148" s="9" t="str">
        <f>IF(OR(C148="",F148=""),"",IF(AND(ISNUMBER(D148),ISNUMBER(E148)),IF(D148&lt;E148,Inicio!$E$6,IF(D148=E148,Inicio!$F$6,Inicio!$G$6)),""))</f>
        <v/>
      </c>
      <c r="J148" s="9">
        <f t="shared" si="15"/>
        <v>0</v>
      </c>
      <c r="K148" s="9">
        <f t="shared" si="16"/>
        <v>0</v>
      </c>
      <c r="L148" s="9">
        <f t="shared" si="17"/>
        <v>0</v>
      </c>
      <c r="M148" s="9">
        <f t="shared" si="18"/>
        <v>0</v>
      </c>
      <c r="N148" s="9">
        <f t="shared" si="19"/>
        <v>0</v>
      </c>
      <c r="O148" s="9">
        <f t="shared" si="20"/>
        <v>0</v>
      </c>
    </row>
    <row r="149" spans="1:15" x14ac:dyDescent="0.25">
      <c r="A149" s="9" t="str">
        <f>IF(OR(Calculos!$B$7=0,145&gt;Calculos!$B$7),"",INT((145-1)/Calculos!$B$6)+1)</f>
        <v/>
      </c>
      <c r="B149" s="10" t="str">
        <f>IF(A149="","",Inicio!$E$5+(A149-1)*Inicio!$B$6)</f>
        <v/>
      </c>
      <c r="C149" s="11" t="str">
        <f>IF(A149="","",INDEX(Calculos!$B$11:$B$28,IF(A149&gt;Calculos!$B$4,IF(MOD(IF(A149&lt;=Calculos!$B$4,A149,A149-Calculos!$B$4)+MOD(145-1,Calculos!$B$6)+1,2)=0,INDEX(Calculos!$B$36:$S$52,IF(A149&lt;=Calculos!$B$4,A149,A149-Calculos!$B$4),MOD(145-1,Calculos!$B$6)+1),INDEX(Calculos!$B$36:$S$52,IF(A149&lt;=Calculos!$B$4,A149,A149-Calculos!$B$4),Calculos!$B$2+1-MOD(145-1,Calculos!$B$6)+1)),IF(MOD(IF(A149&lt;=Calculos!$B$4,A149,A149-Calculos!$B$4)+MOD(145-1,Calculos!$B$6)+1,2)=0,INDEX(Calculos!$B$36:$S$52,IF(A149&lt;=Calculos!$B$4,A149,A149-Calculos!$B$4),Calculos!$B$2+1-MOD(145-1,Calculos!$B$6)+1),INDEX(Calculos!$B$36:$S$52,IF(A149&lt;=Calculos!$B$4,A149,A149-Calculos!$B$4),MOD(145-1,Calculos!$B$6)+1)))))</f>
        <v/>
      </c>
      <c r="D149" s="4"/>
      <c r="E149" s="4"/>
      <c r="F149" s="11" t="str">
        <f>IF(A149="","",INDEX(Calculos!$B$11:$B$28,IF(A149&gt;Calculos!$B$4,IF(MOD(IF(A149&lt;=Calculos!$B$4,A149,A149-Calculos!$B$4)+MOD(145-1,Calculos!$B$6)+1,2)=0,INDEX(Calculos!$B$36:$S$52,IF(A149&lt;=Calculos!$B$4,A149,A149-Calculos!$B$4),Calculos!$B$2+1-MOD(145-1,Calculos!$B$6)+1),INDEX(Calculos!$B$36:$S$52,IF(A149&lt;=Calculos!$B$4,A149,A149-Calculos!$B$4),MOD(145-1,Calculos!$B$6)+1)),IF(MOD(IF(A149&lt;=Calculos!$B$4,A149,A149-Calculos!$B$4)+MOD(145-1,Calculos!$B$6)+1,2)=0,INDEX(Calculos!$B$36:$S$52,IF(A149&lt;=Calculos!$B$4,A149,A149-Calculos!$B$4),MOD(145-1,Calculos!$B$6)+1),INDEX(Calculos!$B$36:$S$52,IF(A149&lt;=Calculos!$B$4,A149,A149-Calculos!$B$4),Calculos!$B$2+1-MOD(145-1,Calculos!$B$6)+1)))))</f>
        <v/>
      </c>
      <c r="G149" s="9" t="str">
        <f t="shared" si="14"/>
        <v/>
      </c>
      <c r="H149" s="9" t="str">
        <f>IF(OR(C149="",F149=""),"",IF(AND(ISNUMBER(D149),ISNUMBER(E149)),IF(D149&gt;E149,Inicio!$E$6,IF(D149=E149,Inicio!$F$6,Inicio!$G$6)),""))</f>
        <v/>
      </c>
      <c r="I149" s="9" t="str">
        <f>IF(OR(C149="",F149=""),"",IF(AND(ISNUMBER(D149),ISNUMBER(E149)),IF(D149&lt;E149,Inicio!$E$6,IF(D149=E149,Inicio!$F$6,Inicio!$G$6)),""))</f>
        <v/>
      </c>
      <c r="J149" s="9">
        <f t="shared" si="15"/>
        <v>0</v>
      </c>
      <c r="K149" s="9">
        <f t="shared" si="16"/>
        <v>0</v>
      </c>
      <c r="L149" s="9">
        <f t="shared" si="17"/>
        <v>0</v>
      </c>
      <c r="M149" s="9">
        <f t="shared" si="18"/>
        <v>0</v>
      </c>
      <c r="N149" s="9">
        <f t="shared" si="19"/>
        <v>0</v>
      </c>
      <c r="O149" s="9">
        <f t="shared" si="20"/>
        <v>0</v>
      </c>
    </row>
    <row r="150" spans="1:15" x14ac:dyDescent="0.25">
      <c r="A150" s="9" t="str">
        <f>IF(OR(Calculos!$B$7=0,146&gt;Calculos!$B$7),"",INT((146-1)/Calculos!$B$6)+1)</f>
        <v/>
      </c>
      <c r="B150" s="10" t="str">
        <f>IF(A150="","",Inicio!$E$5+(A150-1)*Inicio!$B$6)</f>
        <v/>
      </c>
      <c r="C150" s="11" t="str">
        <f>IF(A150="","",INDEX(Calculos!$B$11:$B$28,IF(A150&gt;Calculos!$B$4,IF(MOD(IF(A150&lt;=Calculos!$B$4,A150,A150-Calculos!$B$4)+MOD(146-1,Calculos!$B$6)+1,2)=0,INDEX(Calculos!$B$36:$S$52,IF(A150&lt;=Calculos!$B$4,A150,A150-Calculos!$B$4),MOD(146-1,Calculos!$B$6)+1),INDEX(Calculos!$B$36:$S$52,IF(A150&lt;=Calculos!$B$4,A150,A150-Calculos!$B$4),Calculos!$B$2+1-MOD(146-1,Calculos!$B$6)+1)),IF(MOD(IF(A150&lt;=Calculos!$B$4,A150,A150-Calculos!$B$4)+MOD(146-1,Calculos!$B$6)+1,2)=0,INDEX(Calculos!$B$36:$S$52,IF(A150&lt;=Calculos!$B$4,A150,A150-Calculos!$B$4),Calculos!$B$2+1-MOD(146-1,Calculos!$B$6)+1),INDEX(Calculos!$B$36:$S$52,IF(A150&lt;=Calculos!$B$4,A150,A150-Calculos!$B$4),MOD(146-1,Calculos!$B$6)+1)))))</f>
        <v/>
      </c>
      <c r="D150" s="4"/>
      <c r="E150" s="4"/>
      <c r="F150" s="11" t="str">
        <f>IF(A150="","",INDEX(Calculos!$B$11:$B$28,IF(A150&gt;Calculos!$B$4,IF(MOD(IF(A150&lt;=Calculos!$B$4,A150,A150-Calculos!$B$4)+MOD(146-1,Calculos!$B$6)+1,2)=0,INDEX(Calculos!$B$36:$S$52,IF(A150&lt;=Calculos!$B$4,A150,A150-Calculos!$B$4),Calculos!$B$2+1-MOD(146-1,Calculos!$B$6)+1),INDEX(Calculos!$B$36:$S$52,IF(A150&lt;=Calculos!$B$4,A150,A150-Calculos!$B$4),MOD(146-1,Calculos!$B$6)+1)),IF(MOD(IF(A150&lt;=Calculos!$B$4,A150,A150-Calculos!$B$4)+MOD(146-1,Calculos!$B$6)+1,2)=0,INDEX(Calculos!$B$36:$S$52,IF(A150&lt;=Calculos!$B$4,A150,A150-Calculos!$B$4),MOD(146-1,Calculos!$B$6)+1),INDEX(Calculos!$B$36:$S$52,IF(A150&lt;=Calculos!$B$4,A150,A150-Calculos!$B$4),Calculos!$B$2+1-MOD(146-1,Calculos!$B$6)+1)))))</f>
        <v/>
      </c>
      <c r="G150" s="9" t="str">
        <f t="shared" si="14"/>
        <v/>
      </c>
      <c r="H150" s="9" t="str">
        <f>IF(OR(C150="",F150=""),"",IF(AND(ISNUMBER(D150),ISNUMBER(E150)),IF(D150&gt;E150,Inicio!$E$6,IF(D150=E150,Inicio!$F$6,Inicio!$G$6)),""))</f>
        <v/>
      </c>
      <c r="I150" s="9" t="str">
        <f>IF(OR(C150="",F150=""),"",IF(AND(ISNUMBER(D150),ISNUMBER(E150)),IF(D150&lt;E150,Inicio!$E$6,IF(D150=E150,Inicio!$F$6,Inicio!$G$6)),""))</f>
        <v/>
      </c>
      <c r="J150" s="9">
        <f t="shared" si="15"/>
        <v>0</v>
      </c>
      <c r="K150" s="9">
        <f t="shared" si="16"/>
        <v>0</v>
      </c>
      <c r="L150" s="9">
        <f t="shared" si="17"/>
        <v>0</v>
      </c>
      <c r="M150" s="9">
        <f t="shared" si="18"/>
        <v>0</v>
      </c>
      <c r="N150" s="9">
        <f t="shared" si="19"/>
        <v>0</v>
      </c>
      <c r="O150" s="9">
        <f t="shared" si="20"/>
        <v>0</v>
      </c>
    </row>
    <row r="151" spans="1:15" x14ac:dyDescent="0.25">
      <c r="A151" s="9" t="str">
        <f>IF(OR(Calculos!$B$7=0,147&gt;Calculos!$B$7),"",INT((147-1)/Calculos!$B$6)+1)</f>
        <v/>
      </c>
      <c r="B151" s="10" t="str">
        <f>IF(A151="","",Inicio!$E$5+(A151-1)*Inicio!$B$6)</f>
        <v/>
      </c>
      <c r="C151" s="11" t="str">
        <f>IF(A151="","",INDEX(Calculos!$B$11:$B$28,IF(A151&gt;Calculos!$B$4,IF(MOD(IF(A151&lt;=Calculos!$B$4,A151,A151-Calculos!$B$4)+MOD(147-1,Calculos!$B$6)+1,2)=0,INDEX(Calculos!$B$36:$S$52,IF(A151&lt;=Calculos!$B$4,A151,A151-Calculos!$B$4),MOD(147-1,Calculos!$B$6)+1),INDEX(Calculos!$B$36:$S$52,IF(A151&lt;=Calculos!$B$4,A151,A151-Calculos!$B$4),Calculos!$B$2+1-MOD(147-1,Calculos!$B$6)+1)),IF(MOD(IF(A151&lt;=Calculos!$B$4,A151,A151-Calculos!$B$4)+MOD(147-1,Calculos!$B$6)+1,2)=0,INDEX(Calculos!$B$36:$S$52,IF(A151&lt;=Calculos!$B$4,A151,A151-Calculos!$B$4),Calculos!$B$2+1-MOD(147-1,Calculos!$B$6)+1),INDEX(Calculos!$B$36:$S$52,IF(A151&lt;=Calculos!$B$4,A151,A151-Calculos!$B$4),MOD(147-1,Calculos!$B$6)+1)))))</f>
        <v/>
      </c>
      <c r="D151" s="4"/>
      <c r="E151" s="4"/>
      <c r="F151" s="11" t="str">
        <f>IF(A151="","",INDEX(Calculos!$B$11:$B$28,IF(A151&gt;Calculos!$B$4,IF(MOD(IF(A151&lt;=Calculos!$B$4,A151,A151-Calculos!$B$4)+MOD(147-1,Calculos!$B$6)+1,2)=0,INDEX(Calculos!$B$36:$S$52,IF(A151&lt;=Calculos!$B$4,A151,A151-Calculos!$B$4),Calculos!$B$2+1-MOD(147-1,Calculos!$B$6)+1),INDEX(Calculos!$B$36:$S$52,IF(A151&lt;=Calculos!$B$4,A151,A151-Calculos!$B$4),MOD(147-1,Calculos!$B$6)+1)),IF(MOD(IF(A151&lt;=Calculos!$B$4,A151,A151-Calculos!$B$4)+MOD(147-1,Calculos!$B$6)+1,2)=0,INDEX(Calculos!$B$36:$S$52,IF(A151&lt;=Calculos!$B$4,A151,A151-Calculos!$B$4),MOD(147-1,Calculos!$B$6)+1),INDEX(Calculos!$B$36:$S$52,IF(A151&lt;=Calculos!$B$4,A151,A151-Calculos!$B$4),Calculos!$B$2+1-MOD(147-1,Calculos!$B$6)+1)))))</f>
        <v/>
      </c>
      <c r="G151" s="9" t="str">
        <f t="shared" si="14"/>
        <v/>
      </c>
      <c r="H151" s="9" t="str">
        <f>IF(OR(C151="",F151=""),"",IF(AND(ISNUMBER(D151),ISNUMBER(E151)),IF(D151&gt;E151,Inicio!$E$6,IF(D151=E151,Inicio!$F$6,Inicio!$G$6)),""))</f>
        <v/>
      </c>
      <c r="I151" s="9" t="str">
        <f>IF(OR(C151="",F151=""),"",IF(AND(ISNUMBER(D151),ISNUMBER(E151)),IF(D151&lt;E151,Inicio!$E$6,IF(D151=E151,Inicio!$F$6,Inicio!$G$6)),""))</f>
        <v/>
      </c>
      <c r="J151" s="9">
        <f t="shared" si="15"/>
        <v>0</v>
      </c>
      <c r="K151" s="9">
        <f t="shared" si="16"/>
        <v>0</v>
      </c>
      <c r="L151" s="9">
        <f t="shared" si="17"/>
        <v>0</v>
      </c>
      <c r="M151" s="9">
        <f t="shared" si="18"/>
        <v>0</v>
      </c>
      <c r="N151" s="9">
        <f t="shared" si="19"/>
        <v>0</v>
      </c>
      <c r="O151" s="9">
        <f t="shared" si="20"/>
        <v>0</v>
      </c>
    </row>
    <row r="152" spans="1:15" x14ac:dyDescent="0.25">
      <c r="A152" s="9" t="str">
        <f>IF(OR(Calculos!$B$7=0,148&gt;Calculos!$B$7),"",INT((148-1)/Calculos!$B$6)+1)</f>
        <v/>
      </c>
      <c r="B152" s="10" t="str">
        <f>IF(A152="","",Inicio!$E$5+(A152-1)*Inicio!$B$6)</f>
        <v/>
      </c>
      <c r="C152" s="11" t="str">
        <f>IF(A152="","",INDEX(Calculos!$B$11:$B$28,IF(A152&gt;Calculos!$B$4,IF(MOD(IF(A152&lt;=Calculos!$B$4,A152,A152-Calculos!$B$4)+MOD(148-1,Calculos!$B$6)+1,2)=0,INDEX(Calculos!$B$36:$S$52,IF(A152&lt;=Calculos!$B$4,A152,A152-Calculos!$B$4),MOD(148-1,Calculos!$B$6)+1),INDEX(Calculos!$B$36:$S$52,IF(A152&lt;=Calculos!$B$4,A152,A152-Calculos!$B$4),Calculos!$B$2+1-MOD(148-1,Calculos!$B$6)+1)),IF(MOD(IF(A152&lt;=Calculos!$B$4,A152,A152-Calculos!$B$4)+MOD(148-1,Calculos!$B$6)+1,2)=0,INDEX(Calculos!$B$36:$S$52,IF(A152&lt;=Calculos!$B$4,A152,A152-Calculos!$B$4),Calculos!$B$2+1-MOD(148-1,Calculos!$B$6)+1),INDEX(Calculos!$B$36:$S$52,IF(A152&lt;=Calculos!$B$4,A152,A152-Calculos!$B$4),MOD(148-1,Calculos!$B$6)+1)))))</f>
        <v/>
      </c>
      <c r="D152" s="4"/>
      <c r="E152" s="4"/>
      <c r="F152" s="11" t="str">
        <f>IF(A152="","",INDEX(Calculos!$B$11:$B$28,IF(A152&gt;Calculos!$B$4,IF(MOD(IF(A152&lt;=Calculos!$B$4,A152,A152-Calculos!$B$4)+MOD(148-1,Calculos!$B$6)+1,2)=0,INDEX(Calculos!$B$36:$S$52,IF(A152&lt;=Calculos!$B$4,A152,A152-Calculos!$B$4),Calculos!$B$2+1-MOD(148-1,Calculos!$B$6)+1),INDEX(Calculos!$B$36:$S$52,IF(A152&lt;=Calculos!$B$4,A152,A152-Calculos!$B$4),MOD(148-1,Calculos!$B$6)+1)),IF(MOD(IF(A152&lt;=Calculos!$B$4,A152,A152-Calculos!$B$4)+MOD(148-1,Calculos!$B$6)+1,2)=0,INDEX(Calculos!$B$36:$S$52,IF(A152&lt;=Calculos!$B$4,A152,A152-Calculos!$B$4),MOD(148-1,Calculos!$B$6)+1),INDEX(Calculos!$B$36:$S$52,IF(A152&lt;=Calculos!$B$4,A152,A152-Calculos!$B$4),Calculos!$B$2+1-MOD(148-1,Calculos!$B$6)+1)))))</f>
        <v/>
      </c>
      <c r="G152" s="9" t="str">
        <f t="shared" si="14"/>
        <v/>
      </c>
      <c r="H152" s="9" t="str">
        <f>IF(OR(C152="",F152=""),"",IF(AND(ISNUMBER(D152),ISNUMBER(E152)),IF(D152&gt;E152,Inicio!$E$6,IF(D152=E152,Inicio!$F$6,Inicio!$G$6)),""))</f>
        <v/>
      </c>
      <c r="I152" s="9" t="str">
        <f>IF(OR(C152="",F152=""),"",IF(AND(ISNUMBER(D152),ISNUMBER(E152)),IF(D152&lt;E152,Inicio!$E$6,IF(D152=E152,Inicio!$F$6,Inicio!$G$6)),""))</f>
        <v/>
      </c>
      <c r="J152" s="9">
        <f t="shared" si="15"/>
        <v>0</v>
      </c>
      <c r="K152" s="9">
        <f t="shared" si="16"/>
        <v>0</v>
      </c>
      <c r="L152" s="9">
        <f t="shared" si="17"/>
        <v>0</v>
      </c>
      <c r="M152" s="9">
        <f t="shared" si="18"/>
        <v>0</v>
      </c>
      <c r="N152" s="9">
        <f t="shared" si="19"/>
        <v>0</v>
      </c>
      <c r="O152" s="9">
        <f t="shared" si="20"/>
        <v>0</v>
      </c>
    </row>
    <row r="153" spans="1:15" x14ac:dyDescent="0.25">
      <c r="A153" s="9" t="str">
        <f>IF(OR(Calculos!$B$7=0,149&gt;Calculos!$B$7),"",INT((149-1)/Calculos!$B$6)+1)</f>
        <v/>
      </c>
      <c r="B153" s="10" t="str">
        <f>IF(A153="","",Inicio!$E$5+(A153-1)*Inicio!$B$6)</f>
        <v/>
      </c>
      <c r="C153" s="11" t="str">
        <f>IF(A153="","",INDEX(Calculos!$B$11:$B$28,IF(A153&gt;Calculos!$B$4,IF(MOD(IF(A153&lt;=Calculos!$B$4,A153,A153-Calculos!$B$4)+MOD(149-1,Calculos!$B$6)+1,2)=0,INDEX(Calculos!$B$36:$S$52,IF(A153&lt;=Calculos!$B$4,A153,A153-Calculos!$B$4),MOD(149-1,Calculos!$B$6)+1),INDEX(Calculos!$B$36:$S$52,IF(A153&lt;=Calculos!$B$4,A153,A153-Calculos!$B$4),Calculos!$B$2+1-MOD(149-1,Calculos!$B$6)+1)),IF(MOD(IF(A153&lt;=Calculos!$B$4,A153,A153-Calculos!$B$4)+MOD(149-1,Calculos!$B$6)+1,2)=0,INDEX(Calculos!$B$36:$S$52,IF(A153&lt;=Calculos!$B$4,A153,A153-Calculos!$B$4),Calculos!$B$2+1-MOD(149-1,Calculos!$B$6)+1),INDEX(Calculos!$B$36:$S$52,IF(A153&lt;=Calculos!$B$4,A153,A153-Calculos!$B$4),MOD(149-1,Calculos!$B$6)+1)))))</f>
        <v/>
      </c>
      <c r="D153" s="4"/>
      <c r="E153" s="4"/>
      <c r="F153" s="11" t="str">
        <f>IF(A153="","",INDEX(Calculos!$B$11:$B$28,IF(A153&gt;Calculos!$B$4,IF(MOD(IF(A153&lt;=Calculos!$B$4,A153,A153-Calculos!$B$4)+MOD(149-1,Calculos!$B$6)+1,2)=0,INDEX(Calculos!$B$36:$S$52,IF(A153&lt;=Calculos!$B$4,A153,A153-Calculos!$B$4),Calculos!$B$2+1-MOD(149-1,Calculos!$B$6)+1),INDEX(Calculos!$B$36:$S$52,IF(A153&lt;=Calculos!$B$4,A153,A153-Calculos!$B$4),MOD(149-1,Calculos!$B$6)+1)),IF(MOD(IF(A153&lt;=Calculos!$B$4,A153,A153-Calculos!$B$4)+MOD(149-1,Calculos!$B$6)+1,2)=0,INDEX(Calculos!$B$36:$S$52,IF(A153&lt;=Calculos!$B$4,A153,A153-Calculos!$B$4),MOD(149-1,Calculos!$B$6)+1),INDEX(Calculos!$B$36:$S$52,IF(A153&lt;=Calculos!$B$4,A153,A153-Calculos!$B$4),Calculos!$B$2+1-MOD(149-1,Calculos!$B$6)+1)))))</f>
        <v/>
      </c>
      <c r="G153" s="9" t="str">
        <f t="shared" si="14"/>
        <v/>
      </c>
      <c r="H153" s="9" t="str">
        <f>IF(OR(C153="",F153=""),"",IF(AND(ISNUMBER(D153),ISNUMBER(E153)),IF(D153&gt;E153,Inicio!$E$6,IF(D153=E153,Inicio!$F$6,Inicio!$G$6)),""))</f>
        <v/>
      </c>
      <c r="I153" s="9" t="str">
        <f>IF(OR(C153="",F153=""),"",IF(AND(ISNUMBER(D153),ISNUMBER(E153)),IF(D153&lt;E153,Inicio!$E$6,IF(D153=E153,Inicio!$F$6,Inicio!$G$6)),""))</f>
        <v/>
      </c>
      <c r="J153" s="9">
        <f t="shared" si="15"/>
        <v>0</v>
      </c>
      <c r="K153" s="9">
        <f t="shared" si="16"/>
        <v>0</v>
      </c>
      <c r="L153" s="9">
        <f t="shared" si="17"/>
        <v>0</v>
      </c>
      <c r="M153" s="9">
        <f t="shared" si="18"/>
        <v>0</v>
      </c>
      <c r="N153" s="9">
        <f t="shared" si="19"/>
        <v>0</v>
      </c>
      <c r="O153" s="9">
        <f t="shared" si="20"/>
        <v>0</v>
      </c>
    </row>
    <row r="154" spans="1:15" x14ac:dyDescent="0.25">
      <c r="A154" s="9" t="str">
        <f>IF(OR(Calculos!$B$7=0,150&gt;Calculos!$B$7),"",INT((150-1)/Calculos!$B$6)+1)</f>
        <v/>
      </c>
      <c r="B154" s="10" t="str">
        <f>IF(A154="","",Inicio!$E$5+(A154-1)*Inicio!$B$6)</f>
        <v/>
      </c>
      <c r="C154" s="11" t="str">
        <f>IF(A154="","",INDEX(Calculos!$B$11:$B$28,IF(A154&gt;Calculos!$B$4,IF(MOD(IF(A154&lt;=Calculos!$B$4,A154,A154-Calculos!$B$4)+MOD(150-1,Calculos!$B$6)+1,2)=0,INDEX(Calculos!$B$36:$S$52,IF(A154&lt;=Calculos!$B$4,A154,A154-Calculos!$B$4),MOD(150-1,Calculos!$B$6)+1),INDEX(Calculos!$B$36:$S$52,IF(A154&lt;=Calculos!$B$4,A154,A154-Calculos!$B$4),Calculos!$B$2+1-MOD(150-1,Calculos!$B$6)+1)),IF(MOD(IF(A154&lt;=Calculos!$B$4,A154,A154-Calculos!$B$4)+MOD(150-1,Calculos!$B$6)+1,2)=0,INDEX(Calculos!$B$36:$S$52,IF(A154&lt;=Calculos!$B$4,A154,A154-Calculos!$B$4),Calculos!$B$2+1-MOD(150-1,Calculos!$B$6)+1),INDEX(Calculos!$B$36:$S$52,IF(A154&lt;=Calculos!$B$4,A154,A154-Calculos!$B$4),MOD(150-1,Calculos!$B$6)+1)))))</f>
        <v/>
      </c>
      <c r="D154" s="4"/>
      <c r="E154" s="4"/>
      <c r="F154" s="11" t="str">
        <f>IF(A154="","",INDEX(Calculos!$B$11:$B$28,IF(A154&gt;Calculos!$B$4,IF(MOD(IF(A154&lt;=Calculos!$B$4,A154,A154-Calculos!$B$4)+MOD(150-1,Calculos!$B$6)+1,2)=0,INDEX(Calculos!$B$36:$S$52,IF(A154&lt;=Calculos!$B$4,A154,A154-Calculos!$B$4),Calculos!$B$2+1-MOD(150-1,Calculos!$B$6)+1),INDEX(Calculos!$B$36:$S$52,IF(A154&lt;=Calculos!$B$4,A154,A154-Calculos!$B$4),MOD(150-1,Calculos!$B$6)+1)),IF(MOD(IF(A154&lt;=Calculos!$B$4,A154,A154-Calculos!$B$4)+MOD(150-1,Calculos!$B$6)+1,2)=0,INDEX(Calculos!$B$36:$S$52,IF(A154&lt;=Calculos!$B$4,A154,A154-Calculos!$B$4),MOD(150-1,Calculos!$B$6)+1),INDEX(Calculos!$B$36:$S$52,IF(A154&lt;=Calculos!$B$4,A154,A154-Calculos!$B$4),Calculos!$B$2+1-MOD(150-1,Calculos!$B$6)+1)))))</f>
        <v/>
      </c>
      <c r="G154" s="9" t="str">
        <f t="shared" si="14"/>
        <v/>
      </c>
      <c r="H154" s="9" t="str">
        <f>IF(OR(C154="",F154=""),"",IF(AND(ISNUMBER(D154),ISNUMBER(E154)),IF(D154&gt;E154,Inicio!$E$6,IF(D154=E154,Inicio!$F$6,Inicio!$G$6)),""))</f>
        <v/>
      </c>
      <c r="I154" s="9" t="str">
        <f>IF(OR(C154="",F154=""),"",IF(AND(ISNUMBER(D154),ISNUMBER(E154)),IF(D154&lt;E154,Inicio!$E$6,IF(D154=E154,Inicio!$F$6,Inicio!$G$6)),""))</f>
        <v/>
      </c>
      <c r="J154" s="9">
        <f t="shared" si="15"/>
        <v>0</v>
      </c>
      <c r="K154" s="9">
        <f t="shared" si="16"/>
        <v>0</v>
      </c>
      <c r="L154" s="9">
        <f t="shared" si="17"/>
        <v>0</v>
      </c>
      <c r="M154" s="9">
        <f t="shared" si="18"/>
        <v>0</v>
      </c>
      <c r="N154" s="9">
        <f t="shared" si="19"/>
        <v>0</v>
      </c>
      <c r="O154" s="9">
        <f t="shared" si="20"/>
        <v>0</v>
      </c>
    </row>
    <row r="155" spans="1:15" x14ac:dyDescent="0.25">
      <c r="A155" s="9" t="str">
        <f>IF(OR(Calculos!$B$7=0,151&gt;Calculos!$B$7),"",INT((151-1)/Calculos!$B$6)+1)</f>
        <v/>
      </c>
      <c r="B155" s="10" t="str">
        <f>IF(A155="","",Inicio!$E$5+(A155-1)*Inicio!$B$6)</f>
        <v/>
      </c>
      <c r="C155" s="11" t="str">
        <f>IF(A155="","",INDEX(Calculos!$B$11:$B$28,IF(A155&gt;Calculos!$B$4,IF(MOD(IF(A155&lt;=Calculos!$B$4,A155,A155-Calculos!$B$4)+MOD(151-1,Calculos!$B$6)+1,2)=0,INDEX(Calculos!$B$36:$S$52,IF(A155&lt;=Calculos!$B$4,A155,A155-Calculos!$B$4),MOD(151-1,Calculos!$B$6)+1),INDEX(Calculos!$B$36:$S$52,IF(A155&lt;=Calculos!$B$4,A155,A155-Calculos!$B$4),Calculos!$B$2+1-MOD(151-1,Calculos!$B$6)+1)),IF(MOD(IF(A155&lt;=Calculos!$B$4,A155,A155-Calculos!$B$4)+MOD(151-1,Calculos!$B$6)+1,2)=0,INDEX(Calculos!$B$36:$S$52,IF(A155&lt;=Calculos!$B$4,A155,A155-Calculos!$B$4),Calculos!$B$2+1-MOD(151-1,Calculos!$B$6)+1),INDEX(Calculos!$B$36:$S$52,IF(A155&lt;=Calculos!$B$4,A155,A155-Calculos!$B$4),MOD(151-1,Calculos!$B$6)+1)))))</f>
        <v/>
      </c>
      <c r="D155" s="4"/>
      <c r="E155" s="4"/>
      <c r="F155" s="11" t="str">
        <f>IF(A155="","",INDEX(Calculos!$B$11:$B$28,IF(A155&gt;Calculos!$B$4,IF(MOD(IF(A155&lt;=Calculos!$B$4,A155,A155-Calculos!$B$4)+MOD(151-1,Calculos!$B$6)+1,2)=0,INDEX(Calculos!$B$36:$S$52,IF(A155&lt;=Calculos!$B$4,A155,A155-Calculos!$B$4),Calculos!$B$2+1-MOD(151-1,Calculos!$B$6)+1),INDEX(Calculos!$B$36:$S$52,IF(A155&lt;=Calculos!$B$4,A155,A155-Calculos!$B$4),MOD(151-1,Calculos!$B$6)+1)),IF(MOD(IF(A155&lt;=Calculos!$B$4,A155,A155-Calculos!$B$4)+MOD(151-1,Calculos!$B$6)+1,2)=0,INDEX(Calculos!$B$36:$S$52,IF(A155&lt;=Calculos!$B$4,A155,A155-Calculos!$B$4),MOD(151-1,Calculos!$B$6)+1),INDEX(Calculos!$B$36:$S$52,IF(A155&lt;=Calculos!$B$4,A155,A155-Calculos!$B$4),Calculos!$B$2+1-MOD(151-1,Calculos!$B$6)+1)))))</f>
        <v/>
      </c>
      <c r="G155" s="9" t="str">
        <f t="shared" si="14"/>
        <v/>
      </c>
      <c r="H155" s="9" t="str">
        <f>IF(OR(C155="",F155=""),"",IF(AND(ISNUMBER(D155),ISNUMBER(E155)),IF(D155&gt;E155,Inicio!$E$6,IF(D155=E155,Inicio!$F$6,Inicio!$G$6)),""))</f>
        <v/>
      </c>
      <c r="I155" s="9" t="str">
        <f>IF(OR(C155="",F155=""),"",IF(AND(ISNUMBER(D155),ISNUMBER(E155)),IF(D155&lt;E155,Inicio!$E$6,IF(D155=E155,Inicio!$F$6,Inicio!$G$6)),""))</f>
        <v/>
      </c>
      <c r="J155" s="9">
        <f t="shared" si="15"/>
        <v>0</v>
      </c>
      <c r="K155" s="9">
        <f t="shared" si="16"/>
        <v>0</v>
      </c>
      <c r="L155" s="9">
        <f t="shared" si="17"/>
        <v>0</v>
      </c>
      <c r="M155" s="9">
        <f t="shared" si="18"/>
        <v>0</v>
      </c>
      <c r="N155" s="9">
        <f t="shared" si="19"/>
        <v>0</v>
      </c>
      <c r="O155" s="9">
        <f t="shared" si="20"/>
        <v>0</v>
      </c>
    </row>
    <row r="156" spans="1:15" x14ac:dyDescent="0.25">
      <c r="A156" s="9" t="str">
        <f>IF(OR(Calculos!$B$7=0,152&gt;Calculos!$B$7),"",INT((152-1)/Calculos!$B$6)+1)</f>
        <v/>
      </c>
      <c r="B156" s="10" t="str">
        <f>IF(A156="","",Inicio!$E$5+(A156-1)*Inicio!$B$6)</f>
        <v/>
      </c>
      <c r="C156" s="11" t="str">
        <f>IF(A156="","",INDEX(Calculos!$B$11:$B$28,IF(A156&gt;Calculos!$B$4,IF(MOD(IF(A156&lt;=Calculos!$B$4,A156,A156-Calculos!$B$4)+MOD(152-1,Calculos!$B$6)+1,2)=0,INDEX(Calculos!$B$36:$S$52,IF(A156&lt;=Calculos!$B$4,A156,A156-Calculos!$B$4),MOD(152-1,Calculos!$B$6)+1),INDEX(Calculos!$B$36:$S$52,IF(A156&lt;=Calculos!$B$4,A156,A156-Calculos!$B$4),Calculos!$B$2+1-MOD(152-1,Calculos!$B$6)+1)),IF(MOD(IF(A156&lt;=Calculos!$B$4,A156,A156-Calculos!$B$4)+MOD(152-1,Calculos!$B$6)+1,2)=0,INDEX(Calculos!$B$36:$S$52,IF(A156&lt;=Calculos!$B$4,A156,A156-Calculos!$B$4),Calculos!$B$2+1-MOD(152-1,Calculos!$B$6)+1),INDEX(Calculos!$B$36:$S$52,IF(A156&lt;=Calculos!$B$4,A156,A156-Calculos!$B$4),MOD(152-1,Calculos!$B$6)+1)))))</f>
        <v/>
      </c>
      <c r="D156" s="4"/>
      <c r="E156" s="4"/>
      <c r="F156" s="11" t="str">
        <f>IF(A156="","",INDEX(Calculos!$B$11:$B$28,IF(A156&gt;Calculos!$B$4,IF(MOD(IF(A156&lt;=Calculos!$B$4,A156,A156-Calculos!$B$4)+MOD(152-1,Calculos!$B$6)+1,2)=0,INDEX(Calculos!$B$36:$S$52,IF(A156&lt;=Calculos!$B$4,A156,A156-Calculos!$B$4),Calculos!$B$2+1-MOD(152-1,Calculos!$B$6)+1),INDEX(Calculos!$B$36:$S$52,IF(A156&lt;=Calculos!$B$4,A156,A156-Calculos!$B$4),MOD(152-1,Calculos!$B$6)+1)),IF(MOD(IF(A156&lt;=Calculos!$B$4,A156,A156-Calculos!$B$4)+MOD(152-1,Calculos!$B$6)+1,2)=0,INDEX(Calculos!$B$36:$S$52,IF(A156&lt;=Calculos!$B$4,A156,A156-Calculos!$B$4),MOD(152-1,Calculos!$B$6)+1),INDEX(Calculos!$B$36:$S$52,IF(A156&lt;=Calculos!$B$4,A156,A156-Calculos!$B$4),Calculos!$B$2+1-MOD(152-1,Calculos!$B$6)+1)))))</f>
        <v/>
      </c>
      <c r="G156" s="9" t="str">
        <f t="shared" si="14"/>
        <v/>
      </c>
      <c r="H156" s="9" t="str">
        <f>IF(OR(C156="",F156=""),"",IF(AND(ISNUMBER(D156),ISNUMBER(E156)),IF(D156&gt;E156,Inicio!$E$6,IF(D156=E156,Inicio!$F$6,Inicio!$G$6)),""))</f>
        <v/>
      </c>
      <c r="I156" s="9" t="str">
        <f>IF(OR(C156="",F156=""),"",IF(AND(ISNUMBER(D156),ISNUMBER(E156)),IF(D156&lt;E156,Inicio!$E$6,IF(D156=E156,Inicio!$F$6,Inicio!$G$6)),""))</f>
        <v/>
      </c>
      <c r="J156" s="9">
        <f t="shared" si="15"/>
        <v>0</v>
      </c>
      <c r="K156" s="9">
        <f t="shared" si="16"/>
        <v>0</v>
      </c>
      <c r="L156" s="9">
        <f t="shared" si="17"/>
        <v>0</v>
      </c>
      <c r="M156" s="9">
        <f t="shared" si="18"/>
        <v>0</v>
      </c>
      <c r="N156" s="9">
        <f t="shared" si="19"/>
        <v>0</v>
      </c>
      <c r="O156" s="9">
        <f t="shared" si="20"/>
        <v>0</v>
      </c>
    </row>
    <row r="157" spans="1:15" x14ac:dyDescent="0.25">
      <c r="A157" s="9" t="str">
        <f>IF(OR(Calculos!$B$7=0,153&gt;Calculos!$B$7),"",INT((153-1)/Calculos!$B$6)+1)</f>
        <v/>
      </c>
      <c r="B157" s="10" t="str">
        <f>IF(A157="","",Inicio!$E$5+(A157-1)*Inicio!$B$6)</f>
        <v/>
      </c>
      <c r="C157" s="11" t="str">
        <f>IF(A157="","",INDEX(Calculos!$B$11:$B$28,IF(A157&gt;Calculos!$B$4,IF(MOD(IF(A157&lt;=Calculos!$B$4,A157,A157-Calculos!$B$4)+MOD(153-1,Calculos!$B$6)+1,2)=0,INDEX(Calculos!$B$36:$S$52,IF(A157&lt;=Calculos!$B$4,A157,A157-Calculos!$B$4),MOD(153-1,Calculos!$B$6)+1),INDEX(Calculos!$B$36:$S$52,IF(A157&lt;=Calculos!$B$4,A157,A157-Calculos!$B$4),Calculos!$B$2+1-MOD(153-1,Calculos!$B$6)+1)),IF(MOD(IF(A157&lt;=Calculos!$B$4,A157,A157-Calculos!$B$4)+MOD(153-1,Calculos!$B$6)+1,2)=0,INDEX(Calculos!$B$36:$S$52,IF(A157&lt;=Calculos!$B$4,A157,A157-Calculos!$B$4),Calculos!$B$2+1-MOD(153-1,Calculos!$B$6)+1),INDEX(Calculos!$B$36:$S$52,IF(A157&lt;=Calculos!$B$4,A157,A157-Calculos!$B$4),MOD(153-1,Calculos!$B$6)+1)))))</f>
        <v/>
      </c>
      <c r="D157" s="4"/>
      <c r="E157" s="4"/>
      <c r="F157" s="11" t="str">
        <f>IF(A157="","",INDEX(Calculos!$B$11:$B$28,IF(A157&gt;Calculos!$B$4,IF(MOD(IF(A157&lt;=Calculos!$B$4,A157,A157-Calculos!$B$4)+MOD(153-1,Calculos!$B$6)+1,2)=0,INDEX(Calculos!$B$36:$S$52,IF(A157&lt;=Calculos!$B$4,A157,A157-Calculos!$B$4),Calculos!$B$2+1-MOD(153-1,Calculos!$B$6)+1),INDEX(Calculos!$B$36:$S$52,IF(A157&lt;=Calculos!$B$4,A157,A157-Calculos!$B$4),MOD(153-1,Calculos!$B$6)+1)),IF(MOD(IF(A157&lt;=Calculos!$B$4,A157,A157-Calculos!$B$4)+MOD(153-1,Calculos!$B$6)+1,2)=0,INDEX(Calculos!$B$36:$S$52,IF(A157&lt;=Calculos!$B$4,A157,A157-Calculos!$B$4),MOD(153-1,Calculos!$B$6)+1),INDEX(Calculos!$B$36:$S$52,IF(A157&lt;=Calculos!$B$4,A157,A157-Calculos!$B$4),Calculos!$B$2+1-MOD(153-1,Calculos!$B$6)+1)))))</f>
        <v/>
      </c>
      <c r="G157" s="9" t="str">
        <f t="shared" si="14"/>
        <v/>
      </c>
      <c r="H157" s="9" t="str">
        <f>IF(OR(C157="",F157=""),"",IF(AND(ISNUMBER(D157),ISNUMBER(E157)),IF(D157&gt;E157,Inicio!$E$6,IF(D157=E157,Inicio!$F$6,Inicio!$G$6)),""))</f>
        <v/>
      </c>
      <c r="I157" s="9" t="str">
        <f>IF(OR(C157="",F157=""),"",IF(AND(ISNUMBER(D157),ISNUMBER(E157)),IF(D157&lt;E157,Inicio!$E$6,IF(D157=E157,Inicio!$F$6,Inicio!$G$6)),""))</f>
        <v/>
      </c>
      <c r="J157" s="9">
        <f t="shared" si="15"/>
        <v>0</v>
      </c>
      <c r="K157" s="9">
        <f t="shared" si="16"/>
        <v>0</v>
      </c>
      <c r="L157" s="9">
        <f t="shared" si="17"/>
        <v>0</v>
      </c>
      <c r="M157" s="9">
        <f t="shared" si="18"/>
        <v>0</v>
      </c>
      <c r="N157" s="9">
        <f t="shared" si="19"/>
        <v>0</v>
      </c>
      <c r="O157" s="9">
        <f t="shared" si="20"/>
        <v>0</v>
      </c>
    </row>
    <row r="158" spans="1:15" x14ac:dyDescent="0.25">
      <c r="A158" s="9" t="str">
        <f>IF(OR(Calculos!$B$7=0,154&gt;Calculos!$B$7),"",INT((154-1)/Calculos!$B$6)+1)</f>
        <v/>
      </c>
      <c r="B158" s="10" t="str">
        <f>IF(A158="","",Inicio!$E$5+(A158-1)*Inicio!$B$6)</f>
        <v/>
      </c>
      <c r="C158" s="11" t="str">
        <f>IF(A158="","",INDEX(Calculos!$B$11:$B$28,IF(A158&gt;Calculos!$B$4,IF(MOD(IF(A158&lt;=Calculos!$B$4,A158,A158-Calculos!$B$4)+MOD(154-1,Calculos!$B$6)+1,2)=0,INDEX(Calculos!$B$36:$S$52,IF(A158&lt;=Calculos!$B$4,A158,A158-Calculos!$B$4),MOD(154-1,Calculos!$B$6)+1),INDEX(Calculos!$B$36:$S$52,IF(A158&lt;=Calculos!$B$4,A158,A158-Calculos!$B$4),Calculos!$B$2+1-MOD(154-1,Calculos!$B$6)+1)),IF(MOD(IF(A158&lt;=Calculos!$B$4,A158,A158-Calculos!$B$4)+MOD(154-1,Calculos!$B$6)+1,2)=0,INDEX(Calculos!$B$36:$S$52,IF(A158&lt;=Calculos!$B$4,A158,A158-Calculos!$B$4),Calculos!$B$2+1-MOD(154-1,Calculos!$B$6)+1),INDEX(Calculos!$B$36:$S$52,IF(A158&lt;=Calculos!$B$4,A158,A158-Calculos!$B$4),MOD(154-1,Calculos!$B$6)+1)))))</f>
        <v/>
      </c>
      <c r="D158" s="4"/>
      <c r="E158" s="4"/>
      <c r="F158" s="11" t="str">
        <f>IF(A158="","",INDEX(Calculos!$B$11:$B$28,IF(A158&gt;Calculos!$B$4,IF(MOD(IF(A158&lt;=Calculos!$B$4,A158,A158-Calculos!$B$4)+MOD(154-1,Calculos!$B$6)+1,2)=0,INDEX(Calculos!$B$36:$S$52,IF(A158&lt;=Calculos!$B$4,A158,A158-Calculos!$B$4),Calculos!$B$2+1-MOD(154-1,Calculos!$B$6)+1),INDEX(Calculos!$B$36:$S$52,IF(A158&lt;=Calculos!$B$4,A158,A158-Calculos!$B$4),MOD(154-1,Calculos!$B$6)+1)),IF(MOD(IF(A158&lt;=Calculos!$B$4,A158,A158-Calculos!$B$4)+MOD(154-1,Calculos!$B$6)+1,2)=0,INDEX(Calculos!$B$36:$S$52,IF(A158&lt;=Calculos!$B$4,A158,A158-Calculos!$B$4),MOD(154-1,Calculos!$B$6)+1),INDEX(Calculos!$B$36:$S$52,IF(A158&lt;=Calculos!$B$4,A158,A158-Calculos!$B$4),Calculos!$B$2+1-MOD(154-1,Calculos!$B$6)+1)))))</f>
        <v/>
      </c>
      <c r="G158" s="9" t="str">
        <f t="shared" si="14"/>
        <v/>
      </c>
      <c r="H158" s="9" t="str">
        <f>IF(OR(C158="",F158=""),"",IF(AND(ISNUMBER(D158),ISNUMBER(E158)),IF(D158&gt;E158,Inicio!$E$6,IF(D158=E158,Inicio!$F$6,Inicio!$G$6)),""))</f>
        <v/>
      </c>
      <c r="I158" s="9" t="str">
        <f>IF(OR(C158="",F158=""),"",IF(AND(ISNUMBER(D158),ISNUMBER(E158)),IF(D158&lt;E158,Inicio!$E$6,IF(D158=E158,Inicio!$F$6,Inicio!$G$6)),""))</f>
        <v/>
      </c>
      <c r="J158" s="9">
        <f t="shared" si="15"/>
        <v>0</v>
      </c>
      <c r="K158" s="9">
        <f t="shared" si="16"/>
        <v>0</v>
      </c>
      <c r="L158" s="9">
        <f t="shared" si="17"/>
        <v>0</v>
      </c>
      <c r="M158" s="9">
        <f t="shared" si="18"/>
        <v>0</v>
      </c>
      <c r="N158" s="9">
        <f t="shared" si="19"/>
        <v>0</v>
      </c>
      <c r="O158" s="9">
        <f t="shared" si="20"/>
        <v>0</v>
      </c>
    </row>
    <row r="159" spans="1:15" x14ac:dyDescent="0.25">
      <c r="A159" s="9" t="str">
        <f>IF(OR(Calculos!$B$7=0,155&gt;Calculos!$B$7),"",INT((155-1)/Calculos!$B$6)+1)</f>
        <v/>
      </c>
      <c r="B159" s="10" t="str">
        <f>IF(A159="","",Inicio!$E$5+(A159-1)*Inicio!$B$6)</f>
        <v/>
      </c>
      <c r="C159" s="11" t="str">
        <f>IF(A159="","",INDEX(Calculos!$B$11:$B$28,IF(A159&gt;Calculos!$B$4,IF(MOD(IF(A159&lt;=Calculos!$B$4,A159,A159-Calculos!$B$4)+MOD(155-1,Calculos!$B$6)+1,2)=0,INDEX(Calculos!$B$36:$S$52,IF(A159&lt;=Calculos!$B$4,A159,A159-Calculos!$B$4),MOD(155-1,Calculos!$B$6)+1),INDEX(Calculos!$B$36:$S$52,IF(A159&lt;=Calculos!$B$4,A159,A159-Calculos!$B$4),Calculos!$B$2+1-MOD(155-1,Calculos!$B$6)+1)),IF(MOD(IF(A159&lt;=Calculos!$B$4,A159,A159-Calculos!$B$4)+MOD(155-1,Calculos!$B$6)+1,2)=0,INDEX(Calculos!$B$36:$S$52,IF(A159&lt;=Calculos!$B$4,A159,A159-Calculos!$B$4),Calculos!$B$2+1-MOD(155-1,Calculos!$B$6)+1),INDEX(Calculos!$B$36:$S$52,IF(A159&lt;=Calculos!$B$4,A159,A159-Calculos!$B$4),MOD(155-1,Calculos!$B$6)+1)))))</f>
        <v/>
      </c>
      <c r="D159" s="4"/>
      <c r="E159" s="4"/>
      <c r="F159" s="11" t="str">
        <f>IF(A159="","",INDEX(Calculos!$B$11:$B$28,IF(A159&gt;Calculos!$B$4,IF(MOD(IF(A159&lt;=Calculos!$B$4,A159,A159-Calculos!$B$4)+MOD(155-1,Calculos!$B$6)+1,2)=0,INDEX(Calculos!$B$36:$S$52,IF(A159&lt;=Calculos!$B$4,A159,A159-Calculos!$B$4),Calculos!$B$2+1-MOD(155-1,Calculos!$B$6)+1),INDEX(Calculos!$B$36:$S$52,IF(A159&lt;=Calculos!$B$4,A159,A159-Calculos!$B$4),MOD(155-1,Calculos!$B$6)+1)),IF(MOD(IF(A159&lt;=Calculos!$B$4,A159,A159-Calculos!$B$4)+MOD(155-1,Calculos!$B$6)+1,2)=0,INDEX(Calculos!$B$36:$S$52,IF(A159&lt;=Calculos!$B$4,A159,A159-Calculos!$B$4),MOD(155-1,Calculos!$B$6)+1),INDEX(Calculos!$B$36:$S$52,IF(A159&lt;=Calculos!$B$4,A159,A159-Calculos!$B$4),Calculos!$B$2+1-MOD(155-1,Calculos!$B$6)+1)))))</f>
        <v/>
      </c>
      <c r="G159" s="9" t="str">
        <f t="shared" si="14"/>
        <v/>
      </c>
      <c r="H159" s="9" t="str">
        <f>IF(OR(C159="",F159=""),"",IF(AND(ISNUMBER(D159),ISNUMBER(E159)),IF(D159&gt;E159,Inicio!$E$6,IF(D159=E159,Inicio!$F$6,Inicio!$G$6)),""))</f>
        <v/>
      </c>
      <c r="I159" s="9" t="str">
        <f>IF(OR(C159="",F159=""),"",IF(AND(ISNUMBER(D159),ISNUMBER(E159)),IF(D159&lt;E159,Inicio!$E$6,IF(D159=E159,Inicio!$F$6,Inicio!$G$6)),""))</f>
        <v/>
      </c>
      <c r="J159" s="9">
        <f t="shared" si="15"/>
        <v>0</v>
      </c>
      <c r="K159" s="9">
        <f t="shared" si="16"/>
        <v>0</v>
      </c>
      <c r="L159" s="9">
        <f t="shared" si="17"/>
        <v>0</v>
      </c>
      <c r="M159" s="9">
        <f t="shared" si="18"/>
        <v>0</v>
      </c>
      <c r="N159" s="9">
        <f t="shared" si="19"/>
        <v>0</v>
      </c>
      <c r="O159" s="9">
        <f t="shared" si="20"/>
        <v>0</v>
      </c>
    </row>
    <row r="160" spans="1:15" x14ac:dyDescent="0.25">
      <c r="A160" s="9" t="str">
        <f>IF(OR(Calculos!$B$7=0,156&gt;Calculos!$B$7),"",INT((156-1)/Calculos!$B$6)+1)</f>
        <v/>
      </c>
      <c r="B160" s="10" t="str">
        <f>IF(A160="","",Inicio!$E$5+(A160-1)*Inicio!$B$6)</f>
        <v/>
      </c>
      <c r="C160" s="11" t="str">
        <f>IF(A160="","",INDEX(Calculos!$B$11:$B$28,IF(A160&gt;Calculos!$B$4,IF(MOD(IF(A160&lt;=Calculos!$B$4,A160,A160-Calculos!$B$4)+MOD(156-1,Calculos!$B$6)+1,2)=0,INDEX(Calculos!$B$36:$S$52,IF(A160&lt;=Calculos!$B$4,A160,A160-Calculos!$B$4),MOD(156-1,Calculos!$B$6)+1),INDEX(Calculos!$B$36:$S$52,IF(A160&lt;=Calculos!$B$4,A160,A160-Calculos!$B$4),Calculos!$B$2+1-MOD(156-1,Calculos!$B$6)+1)),IF(MOD(IF(A160&lt;=Calculos!$B$4,A160,A160-Calculos!$B$4)+MOD(156-1,Calculos!$B$6)+1,2)=0,INDEX(Calculos!$B$36:$S$52,IF(A160&lt;=Calculos!$B$4,A160,A160-Calculos!$B$4),Calculos!$B$2+1-MOD(156-1,Calculos!$B$6)+1),INDEX(Calculos!$B$36:$S$52,IF(A160&lt;=Calculos!$B$4,A160,A160-Calculos!$B$4),MOD(156-1,Calculos!$B$6)+1)))))</f>
        <v/>
      </c>
      <c r="D160" s="4"/>
      <c r="E160" s="4"/>
      <c r="F160" s="11" t="str">
        <f>IF(A160="","",INDEX(Calculos!$B$11:$B$28,IF(A160&gt;Calculos!$B$4,IF(MOD(IF(A160&lt;=Calculos!$B$4,A160,A160-Calculos!$B$4)+MOD(156-1,Calculos!$B$6)+1,2)=0,INDEX(Calculos!$B$36:$S$52,IF(A160&lt;=Calculos!$B$4,A160,A160-Calculos!$B$4),Calculos!$B$2+1-MOD(156-1,Calculos!$B$6)+1),INDEX(Calculos!$B$36:$S$52,IF(A160&lt;=Calculos!$B$4,A160,A160-Calculos!$B$4),MOD(156-1,Calculos!$B$6)+1)),IF(MOD(IF(A160&lt;=Calculos!$B$4,A160,A160-Calculos!$B$4)+MOD(156-1,Calculos!$B$6)+1,2)=0,INDEX(Calculos!$B$36:$S$52,IF(A160&lt;=Calculos!$B$4,A160,A160-Calculos!$B$4),MOD(156-1,Calculos!$B$6)+1),INDEX(Calculos!$B$36:$S$52,IF(A160&lt;=Calculos!$B$4,A160,A160-Calculos!$B$4),Calculos!$B$2+1-MOD(156-1,Calculos!$B$6)+1)))))</f>
        <v/>
      </c>
      <c r="G160" s="9" t="str">
        <f t="shared" si="14"/>
        <v/>
      </c>
      <c r="H160" s="9" t="str">
        <f>IF(OR(C160="",F160=""),"",IF(AND(ISNUMBER(D160),ISNUMBER(E160)),IF(D160&gt;E160,Inicio!$E$6,IF(D160=E160,Inicio!$F$6,Inicio!$G$6)),""))</f>
        <v/>
      </c>
      <c r="I160" s="9" t="str">
        <f>IF(OR(C160="",F160=""),"",IF(AND(ISNUMBER(D160),ISNUMBER(E160)),IF(D160&lt;E160,Inicio!$E$6,IF(D160=E160,Inicio!$F$6,Inicio!$G$6)),""))</f>
        <v/>
      </c>
      <c r="J160" s="9">
        <f t="shared" si="15"/>
        <v>0</v>
      </c>
      <c r="K160" s="9">
        <f t="shared" si="16"/>
        <v>0</v>
      </c>
      <c r="L160" s="9">
        <f t="shared" si="17"/>
        <v>0</v>
      </c>
      <c r="M160" s="9">
        <f t="shared" si="18"/>
        <v>0</v>
      </c>
      <c r="N160" s="9">
        <f t="shared" si="19"/>
        <v>0</v>
      </c>
      <c r="O160" s="9">
        <f t="shared" si="20"/>
        <v>0</v>
      </c>
    </row>
    <row r="161" spans="1:15" x14ac:dyDescent="0.25">
      <c r="A161" s="9" t="str">
        <f>IF(OR(Calculos!$B$7=0,157&gt;Calculos!$B$7),"",INT((157-1)/Calculos!$B$6)+1)</f>
        <v/>
      </c>
      <c r="B161" s="10" t="str">
        <f>IF(A161="","",Inicio!$E$5+(A161-1)*Inicio!$B$6)</f>
        <v/>
      </c>
      <c r="C161" s="11" t="str">
        <f>IF(A161="","",INDEX(Calculos!$B$11:$B$28,IF(A161&gt;Calculos!$B$4,IF(MOD(IF(A161&lt;=Calculos!$B$4,A161,A161-Calculos!$B$4)+MOD(157-1,Calculos!$B$6)+1,2)=0,INDEX(Calculos!$B$36:$S$52,IF(A161&lt;=Calculos!$B$4,A161,A161-Calculos!$B$4),MOD(157-1,Calculos!$B$6)+1),INDEX(Calculos!$B$36:$S$52,IF(A161&lt;=Calculos!$B$4,A161,A161-Calculos!$B$4),Calculos!$B$2+1-MOD(157-1,Calculos!$B$6)+1)),IF(MOD(IF(A161&lt;=Calculos!$B$4,A161,A161-Calculos!$B$4)+MOD(157-1,Calculos!$B$6)+1,2)=0,INDEX(Calculos!$B$36:$S$52,IF(A161&lt;=Calculos!$B$4,A161,A161-Calculos!$B$4),Calculos!$B$2+1-MOD(157-1,Calculos!$B$6)+1),INDEX(Calculos!$B$36:$S$52,IF(A161&lt;=Calculos!$B$4,A161,A161-Calculos!$B$4),MOD(157-1,Calculos!$B$6)+1)))))</f>
        <v/>
      </c>
      <c r="D161" s="4"/>
      <c r="E161" s="4"/>
      <c r="F161" s="11" t="str">
        <f>IF(A161="","",INDEX(Calculos!$B$11:$B$28,IF(A161&gt;Calculos!$B$4,IF(MOD(IF(A161&lt;=Calculos!$B$4,A161,A161-Calculos!$B$4)+MOD(157-1,Calculos!$B$6)+1,2)=0,INDEX(Calculos!$B$36:$S$52,IF(A161&lt;=Calculos!$B$4,A161,A161-Calculos!$B$4),Calculos!$B$2+1-MOD(157-1,Calculos!$B$6)+1),INDEX(Calculos!$B$36:$S$52,IF(A161&lt;=Calculos!$B$4,A161,A161-Calculos!$B$4),MOD(157-1,Calculos!$B$6)+1)),IF(MOD(IF(A161&lt;=Calculos!$B$4,A161,A161-Calculos!$B$4)+MOD(157-1,Calculos!$B$6)+1,2)=0,INDEX(Calculos!$B$36:$S$52,IF(A161&lt;=Calculos!$B$4,A161,A161-Calculos!$B$4),MOD(157-1,Calculos!$B$6)+1),INDEX(Calculos!$B$36:$S$52,IF(A161&lt;=Calculos!$B$4,A161,A161-Calculos!$B$4),Calculos!$B$2+1-MOD(157-1,Calculos!$B$6)+1)))))</f>
        <v/>
      </c>
      <c r="G161" s="9" t="str">
        <f t="shared" si="14"/>
        <v/>
      </c>
      <c r="H161" s="9" t="str">
        <f>IF(OR(C161="",F161=""),"",IF(AND(ISNUMBER(D161),ISNUMBER(E161)),IF(D161&gt;E161,Inicio!$E$6,IF(D161=E161,Inicio!$F$6,Inicio!$G$6)),""))</f>
        <v/>
      </c>
      <c r="I161" s="9" t="str">
        <f>IF(OR(C161="",F161=""),"",IF(AND(ISNUMBER(D161),ISNUMBER(E161)),IF(D161&lt;E161,Inicio!$E$6,IF(D161=E161,Inicio!$F$6,Inicio!$G$6)),""))</f>
        <v/>
      </c>
      <c r="J161" s="9">
        <f t="shared" si="15"/>
        <v>0</v>
      </c>
      <c r="K161" s="9">
        <f t="shared" si="16"/>
        <v>0</v>
      </c>
      <c r="L161" s="9">
        <f t="shared" si="17"/>
        <v>0</v>
      </c>
      <c r="M161" s="9">
        <f t="shared" si="18"/>
        <v>0</v>
      </c>
      <c r="N161" s="9">
        <f t="shared" si="19"/>
        <v>0</v>
      </c>
      <c r="O161" s="9">
        <f t="shared" si="20"/>
        <v>0</v>
      </c>
    </row>
    <row r="162" spans="1:15" x14ac:dyDescent="0.25">
      <c r="A162" s="9" t="str">
        <f>IF(OR(Calculos!$B$7=0,158&gt;Calculos!$B$7),"",INT((158-1)/Calculos!$B$6)+1)</f>
        <v/>
      </c>
      <c r="B162" s="10" t="str">
        <f>IF(A162="","",Inicio!$E$5+(A162-1)*Inicio!$B$6)</f>
        <v/>
      </c>
      <c r="C162" s="11" t="str">
        <f>IF(A162="","",INDEX(Calculos!$B$11:$B$28,IF(A162&gt;Calculos!$B$4,IF(MOD(IF(A162&lt;=Calculos!$B$4,A162,A162-Calculos!$B$4)+MOD(158-1,Calculos!$B$6)+1,2)=0,INDEX(Calculos!$B$36:$S$52,IF(A162&lt;=Calculos!$B$4,A162,A162-Calculos!$B$4),MOD(158-1,Calculos!$B$6)+1),INDEX(Calculos!$B$36:$S$52,IF(A162&lt;=Calculos!$B$4,A162,A162-Calculos!$B$4),Calculos!$B$2+1-MOD(158-1,Calculos!$B$6)+1)),IF(MOD(IF(A162&lt;=Calculos!$B$4,A162,A162-Calculos!$B$4)+MOD(158-1,Calculos!$B$6)+1,2)=0,INDEX(Calculos!$B$36:$S$52,IF(A162&lt;=Calculos!$B$4,A162,A162-Calculos!$B$4),Calculos!$B$2+1-MOD(158-1,Calculos!$B$6)+1),INDEX(Calculos!$B$36:$S$52,IF(A162&lt;=Calculos!$B$4,A162,A162-Calculos!$B$4),MOD(158-1,Calculos!$B$6)+1)))))</f>
        <v/>
      </c>
      <c r="D162" s="4"/>
      <c r="E162" s="4"/>
      <c r="F162" s="11" t="str">
        <f>IF(A162="","",INDEX(Calculos!$B$11:$B$28,IF(A162&gt;Calculos!$B$4,IF(MOD(IF(A162&lt;=Calculos!$B$4,A162,A162-Calculos!$B$4)+MOD(158-1,Calculos!$B$6)+1,2)=0,INDEX(Calculos!$B$36:$S$52,IF(A162&lt;=Calculos!$B$4,A162,A162-Calculos!$B$4),Calculos!$B$2+1-MOD(158-1,Calculos!$B$6)+1),INDEX(Calculos!$B$36:$S$52,IF(A162&lt;=Calculos!$B$4,A162,A162-Calculos!$B$4),MOD(158-1,Calculos!$B$6)+1)),IF(MOD(IF(A162&lt;=Calculos!$B$4,A162,A162-Calculos!$B$4)+MOD(158-1,Calculos!$B$6)+1,2)=0,INDEX(Calculos!$B$36:$S$52,IF(A162&lt;=Calculos!$B$4,A162,A162-Calculos!$B$4),MOD(158-1,Calculos!$B$6)+1),INDEX(Calculos!$B$36:$S$52,IF(A162&lt;=Calculos!$B$4,A162,A162-Calculos!$B$4),Calculos!$B$2+1-MOD(158-1,Calculos!$B$6)+1)))))</f>
        <v/>
      </c>
      <c r="G162" s="9" t="str">
        <f t="shared" si="14"/>
        <v/>
      </c>
      <c r="H162" s="9" t="str">
        <f>IF(OR(C162="",F162=""),"",IF(AND(ISNUMBER(D162),ISNUMBER(E162)),IF(D162&gt;E162,Inicio!$E$6,IF(D162=E162,Inicio!$F$6,Inicio!$G$6)),""))</f>
        <v/>
      </c>
      <c r="I162" s="9" t="str">
        <f>IF(OR(C162="",F162=""),"",IF(AND(ISNUMBER(D162),ISNUMBER(E162)),IF(D162&lt;E162,Inicio!$E$6,IF(D162=E162,Inicio!$F$6,Inicio!$G$6)),""))</f>
        <v/>
      </c>
      <c r="J162" s="9">
        <f t="shared" si="15"/>
        <v>0</v>
      </c>
      <c r="K162" s="9">
        <f t="shared" si="16"/>
        <v>0</v>
      </c>
      <c r="L162" s="9">
        <f t="shared" si="17"/>
        <v>0</v>
      </c>
      <c r="M162" s="9">
        <f t="shared" si="18"/>
        <v>0</v>
      </c>
      <c r="N162" s="9">
        <f t="shared" si="19"/>
        <v>0</v>
      </c>
      <c r="O162" s="9">
        <f t="shared" si="20"/>
        <v>0</v>
      </c>
    </row>
    <row r="163" spans="1:15" x14ac:dyDescent="0.25">
      <c r="A163" s="9" t="str">
        <f>IF(OR(Calculos!$B$7=0,159&gt;Calculos!$B$7),"",INT((159-1)/Calculos!$B$6)+1)</f>
        <v/>
      </c>
      <c r="B163" s="10" t="str">
        <f>IF(A163="","",Inicio!$E$5+(A163-1)*Inicio!$B$6)</f>
        <v/>
      </c>
      <c r="C163" s="11" t="str">
        <f>IF(A163="","",INDEX(Calculos!$B$11:$B$28,IF(A163&gt;Calculos!$B$4,IF(MOD(IF(A163&lt;=Calculos!$B$4,A163,A163-Calculos!$B$4)+MOD(159-1,Calculos!$B$6)+1,2)=0,INDEX(Calculos!$B$36:$S$52,IF(A163&lt;=Calculos!$B$4,A163,A163-Calculos!$B$4),MOD(159-1,Calculos!$B$6)+1),INDEX(Calculos!$B$36:$S$52,IF(A163&lt;=Calculos!$B$4,A163,A163-Calculos!$B$4),Calculos!$B$2+1-MOD(159-1,Calculos!$B$6)+1)),IF(MOD(IF(A163&lt;=Calculos!$B$4,A163,A163-Calculos!$B$4)+MOD(159-1,Calculos!$B$6)+1,2)=0,INDEX(Calculos!$B$36:$S$52,IF(A163&lt;=Calculos!$B$4,A163,A163-Calculos!$B$4),Calculos!$B$2+1-MOD(159-1,Calculos!$B$6)+1),INDEX(Calculos!$B$36:$S$52,IF(A163&lt;=Calculos!$B$4,A163,A163-Calculos!$B$4),MOD(159-1,Calculos!$B$6)+1)))))</f>
        <v/>
      </c>
      <c r="D163" s="4"/>
      <c r="E163" s="4"/>
      <c r="F163" s="11" t="str">
        <f>IF(A163="","",INDEX(Calculos!$B$11:$B$28,IF(A163&gt;Calculos!$B$4,IF(MOD(IF(A163&lt;=Calculos!$B$4,A163,A163-Calculos!$B$4)+MOD(159-1,Calculos!$B$6)+1,2)=0,INDEX(Calculos!$B$36:$S$52,IF(A163&lt;=Calculos!$B$4,A163,A163-Calculos!$B$4),Calculos!$B$2+1-MOD(159-1,Calculos!$B$6)+1),INDEX(Calculos!$B$36:$S$52,IF(A163&lt;=Calculos!$B$4,A163,A163-Calculos!$B$4),MOD(159-1,Calculos!$B$6)+1)),IF(MOD(IF(A163&lt;=Calculos!$B$4,A163,A163-Calculos!$B$4)+MOD(159-1,Calculos!$B$6)+1,2)=0,INDEX(Calculos!$B$36:$S$52,IF(A163&lt;=Calculos!$B$4,A163,A163-Calculos!$B$4),MOD(159-1,Calculos!$B$6)+1),INDEX(Calculos!$B$36:$S$52,IF(A163&lt;=Calculos!$B$4,A163,A163-Calculos!$B$4),Calculos!$B$2+1-MOD(159-1,Calculos!$B$6)+1)))))</f>
        <v/>
      </c>
      <c r="G163" s="9" t="str">
        <f t="shared" si="14"/>
        <v/>
      </c>
      <c r="H163" s="9" t="str">
        <f>IF(OR(C163="",F163=""),"",IF(AND(ISNUMBER(D163),ISNUMBER(E163)),IF(D163&gt;E163,Inicio!$E$6,IF(D163=E163,Inicio!$F$6,Inicio!$G$6)),""))</f>
        <v/>
      </c>
      <c r="I163" s="9" t="str">
        <f>IF(OR(C163="",F163=""),"",IF(AND(ISNUMBER(D163),ISNUMBER(E163)),IF(D163&lt;E163,Inicio!$E$6,IF(D163=E163,Inicio!$F$6,Inicio!$G$6)),""))</f>
        <v/>
      </c>
      <c r="J163" s="9">
        <f t="shared" si="15"/>
        <v>0</v>
      </c>
      <c r="K163" s="9">
        <f t="shared" si="16"/>
        <v>0</v>
      </c>
      <c r="L163" s="9">
        <f t="shared" si="17"/>
        <v>0</v>
      </c>
      <c r="M163" s="9">
        <f t="shared" si="18"/>
        <v>0</v>
      </c>
      <c r="N163" s="9">
        <f t="shared" si="19"/>
        <v>0</v>
      </c>
      <c r="O163" s="9">
        <f t="shared" si="20"/>
        <v>0</v>
      </c>
    </row>
    <row r="164" spans="1:15" x14ac:dyDescent="0.25">
      <c r="A164" s="9" t="str">
        <f>IF(OR(Calculos!$B$7=0,160&gt;Calculos!$B$7),"",INT((160-1)/Calculos!$B$6)+1)</f>
        <v/>
      </c>
      <c r="B164" s="10" t="str">
        <f>IF(A164="","",Inicio!$E$5+(A164-1)*Inicio!$B$6)</f>
        <v/>
      </c>
      <c r="C164" s="11" t="str">
        <f>IF(A164="","",INDEX(Calculos!$B$11:$B$28,IF(A164&gt;Calculos!$B$4,IF(MOD(IF(A164&lt;=Calculos!$B$4,A164,A164-Calculos!$B$4)+MOD(160-1,Calculos!$B$6)+1,2)=0,INDEX(Calculos!$B$36:$S$52,IF(A164&lt;=Calculos!$B$4,A164,A164-Calculos!$B$4),MOD(160-1,Calculos!$B$6)+1),INDEX(Calculos!$B$36:$S$52,IF(A164&lt;=Calculos!$B$4,A164,A164-Calculos!$B$4),Calculos!$B$2+1-MOD(160-1,Calculos!$B$6)+1)),IF(MOD(IF(A164&lt;=Calculos!$B$4,A164,A164-Calculos!$B$4)+MOD(160-1,Calculos!$B$6)+1,2)=0,INDEX(Calculos!$B$36:$S$52,IF(A164&lt;=Calculos!$B$4,A164,A164-Calculos!$B$4),Calculos!$B$2+1-MOD(160-1,Calculos!$B$6)+1),INDEX(Calculos!$B$36:$S$52,IF(A164&lt;=Calculos!$B$4,A164,A164-Calculos!$B$4),MOD(160-1,Calculos!$B$6)+1)))))</f>
        <v/>
      </c>
      <c r="D164" s="4"/>
      <c r="E164" s="4"/>
      <c r="F164" s="11" t="str">
        <f>IF(A164="","",INDEX(Calculos!$B$11:$B$28,IF(A164&gt;Calculos!$B$4,IF(MOD(IF(A164&lt;=Calculos!$B$4,A164,A164-Calculos!$B$4)+MOD(160-1,Calculos!$B$6)+1,2)=0,INDEX(Calculos!$B$36:$S$52,IF(A164&lt;=Calculos!$B$4,A164,A164-Calculos!$B$4),Calculos!$B$2+1-MOD(160-1,Calculos!$B$6)+1),INDEX(Calculos!$B$36:$S$52,IF(A164&lt;=Calculos!$B$4,A164,A164-Calculos!$B$4),MOD(160-1,Calculos!$B$6)+1)),IF(MOD(IF(A164&lt;=Calculos!$B$4,A164,A164-Calculos!$B$4)+MOD(160-1,Calculos!$B$6)+1,2)=0,INDEX(Calculos!$B$36:$S$52,IF(A164&lt;=Calculos!$B$4,A164,A164-Calculos!$B$4),MOD(160-1,Calculos!$B$6)+1),INDEX(Calculos!$B$36:$S$52,IF(A164&lt;=Calculos!$B$4,A164,A164-Calculos!$B$4),Calculos!$B$2+1-MOD(160-1,Calculos!$B$6)+1)))))</f>
        <v/>
      </c>
      <c r="G164" s="9" t="str">
        <f t="shared" si="14"/>
        <v/>
      </c>
      <c r="H164" s="9" t="str">
        <f>IF(OR(C164="",F164=""),"",IF(AND(ISNUMBER(D164),ISNUMBER(E164)),IF(D164&gt;E164,Inicio!$E$6,IF(D164=E164,Inicio!$F$6,Inicio!$G$6)),""))</f>
        <v/>
      </c>
      <c r="I164" s="9" t="str">
        <f>IF(OR(C164="",F164=""),"",IF(AND(ISNUMBER(D164),ISNUMBER(E164)),IF(D164&lt;E164,Inicio!$E$6,IF(D164=E164,Inicio!$F$6,Inicio!$G$6)),""))</f>
        <v/>
      </c>
      <c r="J164" s="9">
        <f t="shared" si="15"/>
        <v>0</v>
      </c>
      <c r="K164" s="9">
        <f t="shared" si="16"/>
        <v>0</v>
      </c>
      <c r="L164" s="9">
        <f t="shared" si="17"/>
        <v>0</v>
      </c>
      <c r="M164" s="9">
        <f t="shared" si="18"/>
        <v>0</v>
      </c>
      <c r="N164" s="9">
        <f t="shared" si="19"/>
        <v>0</v>
      </c>
      <c r="O164" s="9">
        <f t="shared" si="20"/>
        <v>0</v>
      </c>
    </row>
    <row r="165" spans="1:15" x14ac:dyDescent="0.25">
      <c r="A165" s="9" t="str">
        <f>IF(OR(Calculos!$B$7=0,161&gt;Calculos!$B$7),"",INT((161-1)/Calculos!$B$6)+1)</f>
        <v/>
      </c>
      <c r="B165" s="10" t="str">
        <f>IF(A165="","",Inicio!$E$5+(A165-1)*Inicio!$B$6)</f>
        <v/>
      </c>
      <c r="C165" s="11" t="str">
        <f>IF(A165="","",INDEX(Calculos!$B$11:$B$28,IF(A165&gt;Calculos!$B$4,IF(MOD(IF(A165&lt;=Calculos!$B$4,A165,A165-Calculos!$B$4)+MOD(161-1,Calculos!$B$6)+1,2)=0,INDEX(Calculos!$B$36:$S$52,IF(A165&lt;=Calculos!$B$4,A165,A165-Calculos!$B$4),MOD(161-1,Calculos!$B$6)+1),INDEX(Calculos!$B$36:$S$52,IF(A165&lt;=Calculos!$B$4,A165,A165-Calculos!$B$4),Calculos!$B$2+1-MOD(161-1,Calculos!$B$6)+1)),IF(MOD(IF(A165&lt;=Calculos!$B$4,A165,A165-Calculos!$B$4)+MOD(161-1,Calculos!$B$6)+1,2)=0,INDEX(Calculos!$B$36:$S$52,IF(A165&lt;=Calculos!$B$4,A165,A165-Calculos!$B$4),Calculos!$B$2+1-MOD(161-1,Calculos!$B$6)+1),INDEX(Calculos!$B$36:$S$52,IF(A165&lt;=Calculos!$B$4,A165,A165-Calculos!$B$4),MOD(161-1,Calculos!$B$6)+1)))))</f>
        <v/>
      </c>
      <c r="D165" s="4"/>
      <c r="E165" s="4"/>
      <c r="F165" s="11" t="str">
        <f>IF(A165="","",INDEX(Calculos!$B$11:$B$28,IF(A165&gt;Calculos!$B$4,IF(MOD(IF(A165&lt;=Calculos!$B$4,A165,A165-Calculos!$B$4)+MOD(161-1,Calculos!$B$6)+1,2)=0,INDEX(Calculos!$B$36:$S$52,IF(A165&lt;=Calculos!$B$4,A165,A165-Calculos!$B$4),Calculos!$B$2+1-MOD(161-1,Calculos!$B$6)+1),INDEX(Calculos!$B$36:$S$52,IF(A165&lt;=Calculos!$B$4,A165,A165-Calculos!$B$4),MOD(161-1,Calculos!$B$6)+1)),IF(MOD(IF(A165&lt;=Calculos!$B$4,A165,A165-Calculos!$B$4)+MOD(161-1,Calculos!$B$6)+1,2)=0,INDEX(Calculos!$B$36:$S$52,IF(A165&lt;=Calculos!$B$4,A165,A165-Calculos!$B$4),MOD(161-1,Calculos!$B$6)+1),INDEX(Calculos!$B$36:$S$52,IF(A165&lt;=Calculos!$B$4,A165,A165-Calculos!$B$4),Calculos!$B$2+1-MOD(161-1,Calculos!$B$6)+1)))))</f>
        <v/>
      </c>
      <c r="G165" s="9" t="str">
        <f t="shared" si="14"/>
        <v/>
      </c>
      <c r="H165" s="9" t="str">
        <f>IF(OR(C165="",F165=""),"",IF(AND(ISNUMBER(D165),ISNUMBER(E165)),IF(D165&gt;E165,Inicio!$E$6,IF(D165=E165,Inicio!$F$6,Inicio!$G$6)),""))</f>
        <v/>
      </c>
      <c r="I165" s="9" t="str">
        <f>IF(OR(C165="",F165=""),"",IF(AND(ISNUMBER(D165),ISNUMBER(E165)),IF(D165&lt;E165,Inicio!$E$6,IF(D165=E165,Inicio!$F$6,Inicio!$G$6)),""))</f>
        <v/>
      </c>
      <c r="J165" s="9">
        <f t="shared" si="15"/>
        <v>0</v>
      </c>
      <c r="K165" s="9">
        <f t="shared" si="16"/>
        <v>0</v>
      </c>
      <c r="L165" s="9">
        <f t="shared" si="17"/>
        <v>0</v>
      </c>
      <c r="M165" s="9">
        <f t="shared" si="18"/>
        <v>0</v>
      </c>
      <c r="N165" s="9">
        <f t="shared" si="19"/>
        <v>0</v>
      </c>
      <c r="O165" s="9">
        <f t="shared" si="20"/>
        <v>0</v>
      </c>
    </row>
    <row r="166" spans="1:15" x14ac:dyDescent="0.25">
      <c r="A166" s="9" t="str">
        <f>IF(OR(Calculos!$B$7=0,162&gt;Calculos!$B$7),"",INT((162-1)/Calculos!$B$6)+1)</f>
        <v/>
      </c>
      <c r="B166" s="10" t="str">
        <f>IF(A166="","",Inicio!$E$5+(A166-1)*Inicio!$B$6)</f>
        <v/>
      </c>
      <c r="C166" s="11" t="str">
        <f>IF(A166="","",INDEX(Calculos!$B$11:$B$28,IF(A166&gt;Calculos!$B$4,IF(MOD(IF(A166&lt;=Calculos!$B$4,A166,A166-Calculos!$B$4)+MOD(162-1,Calculos!$B$6)+1,2)=0,INDEX(Calculos!$B$36:$S$52,IF(A166&lt;=Calculos!$B$4,A166,A166-Calculos!$B$4),MOD(162-1,Calculos!$B$6)+1),INDEX(Calculos!$B$36:$S$52,IF(A166&lt;=Calculos!$B$4,A166,A166-Calculos!$B$4),Calculos!$B$2+1-MOD(162-1,Calculos!$B$6)+1)),IF(MOD(IF(A166&lt;=Calculos!$B$4,A166,A166-Calculos!$B$4)+MOD(162-1,Calculos!$B$6)+1,2)=0,INDEX(Calculos!$B$36:$S$52,IF(A166&lt;=Calculos!$B$4,A166,A166-Calculos!$B$4),Calculos!$B$2+1-MOD(162-1,Calculos!$B$6)+1),INDEX(Calculos!$B$36:$S$52,IF(A166&lt;=Calculos!$B$4,A166,A166-Calculos!$B$4),MOD(162-1,Calculos!$B$6)+1)))))</f>
        <v/>
      </c>
      <c r="D166" s="4"/>
      <c r="E166" s="4"/>
      <c r="F166" s="11" t="str">
        <f>IF(A166="","",INDEX(Calculos!$B$11:$B$28,IF(A166&gt;Calculos!$B$4,IF(MOD(IF(A166&lt;=Calculos!$B$4,A166,A166-Calculos!$B$4)+MOD(162-1,Calculos!$B$6)+1,2)=0,INDEX(Calculos!$B$36:$S$52,IF(A166&lt;=Calculos!$B$4,A166,A166-Calculos!$B$4),Calculos!$B$2+1-MOD(162-1,Calculos!$B$6)+1),INDEX(Calculos!$B$36:$S$52,IF(A166&lt;=Calculos!$B$4,A166,A166-Calculos!$B$4),MOD(162-1,Calculos!$B$6)+1)),IF(MOD(IF(A166&lt;=Calculos!$B$4,A166,A166-Calculos!$B$4)+MOD(162-1,Calculos!$B$6)+1,2)=0,INDEX(Calculos!$B$36:$S$52,IF(A166&lt;=Calculos!$B$4,A166,A166-Calculos!$B$4),MOD(162-1,Calculos!$B$6)+1),INDEX(Calculos!$B$36:$S$52,IF(A166&lt;=Calculos!$B$4,A166,A166-Calculos!$B$4),Calculos!$B$2+1-MOD(162-1,Calculos!$B$6)+1)))))</f>
        <v/>
      </c>
      <c r="G166" s="9" t="str">
        <f t="shared" si="14"/>
        <v/>
      </c>
      <c r="H166" s="9" t="str">
        <f>IF(OR(C166="",F166=""),"",IF(AND(ISNUMBER(D166),ISNUMBER(E166)),IF(D166&gt;E166,Inicio!$E$6,IF(D166=E166,Inicio!$F$6,Inicio!$G$6)),""))</f>
        <v/>
      </c>
      <c r="I166" s="9" t="str">
        <f>IF(OR(C166="",F166=""),"",IF(AND(ISNUMBER(D166),ISNUMBER(E166)),IF(D166&lt;E166,Inicio!$E$6,IF(D166=E166,Inicio!$F$6,Inicio!$G$6)),""))</f>
        <v/>
      </c>
      <c r="J166" s="9">
        <f t="shared" si="15"/>
        <v>0</v>
      </c>
      <c r="K166" s="9">
        <f t="shared" si="16"/>
        <v>0</v>
      </c>
      <c r="L166" s="9">
        <f t="shared" si="17"/>
        <v>0</v>
      </c>
      <c r="M166" s="9">
        <f t="shared" si="18"/>
        <v>0</v>
      </c>
      <c r="N166" s="9">
        <f t="shared" si="19"/>
        <v>0</v>
      </c>
      <c r="O166" s="9">
        <f t="shared" si="20"/>
        <v>0</v>
      </c>
    </row>
    <row r="167" spans="1:15" x14ac:dyDescent="0.25">
      <c r="A167" s="9" t="str">
        <f>IF(OR(Calculos!$B$7=0,163&gt;Calculos!$B$7),"",INT((163-1)/Calculos!$B$6)+1)</f>
        <v/>
      </c>
      <c r="B167" s="10" t="str">
        <f>IF(A167="","",Inicio!$E$5+(A167-1)*Inicio!$B$6)</f>
        <v/>
      </c>
      <c r="C167" s="11" t="str">
        <f>IF(A167="","",INDEX(Calculos!$B$11:$B$28,IF(A167&gt;Calculos!$B$4,IF(MOD(IF(A167&lt;=Calculos!$B$4,A167,A167-Calculos!$B$4)+MOD(163-1,Calculos!$B$6)+1,2)=0,INDEX(Calculos!$B$36:$S$52,IF(A167&lt;=Calculos!$B$4,A167,A167-Calculos!$B$4),MOD(163-1,Calculos!$B$6)+1),INDEX(Calculos!$B$36:$S$52,IF(A167&lt;=Calculos!$B$4,A167,A167-Calculos!$B$4),Calculos!$B$2+1-MOD(163-1,Calculos!$B$6)+1)),IF(MOD(IF(A167&lt;=Calculos!$B$4,A167,A167-Calculos!$B$4)+MOD(163-1,Calculos!$B$6)+1,2)=0,INDEX(Calculos!$B$36:$S$52,IF(A167&lt;=Calculos!$B$4,A167,A167-Calculos!$B$4),Calculos!$B$2+1-MOD(163-1,Calculos!$B$6)+1),INDEX(Calculos!$B$36:$S$52,IF(A167&lt;=Calculos!$B$4,A167,A167-Calculos!$B$4),MOD(163-1,Calculos!$B$6)+1)))))</f>
        <v/>
      </c>
      <c r="D167" s="4"/>
      <c r="E167" s="4"/>
      <c r="F167" s="11" t="str">
        <f>IF(A167="","",INDEX(Calculos!$B$11:$B$28,IF(A167&gt;Calculos!$B$4,IF(MOD(IF(A167&lt;=Calculos!$B$4,A167,A167-Calculos!$B$4)+MOD(163-1,Calculos!$B$6)+1,2)=0,INDEX(Calculos!$B$36:$S$52,IF(A167&lt;=Calculos!$B$4,A167,A167-Calculos!$B$4),Calculos!$B$2+1-MOD(163-1,Calculos!$B$6)+1),INDEX(Calculos!$B$36:$S$52,IF(A167&lt;=Calculos!$B$4,A167,A167-Calculos!$B$4),MOD(163-1,Calculos!$B$6)+1)),IF(MOD(IF(A167&lt;=Calculos!$B$4,A167,A167-Calculos!$B$4)+MOD(163-1,Calculos!$B$6)+1,2)=0,INDEX(Calculos!$B$36:$S$52,IF(A167&lt;=Calculos!$B$4,A167,A167-Calculos!$B$4),MOD(163-1,Calculos!$B$6)+1),INDEX(Calculos!$B$36:$S$52,IF(A167&lt;=Calculos!$B$4,A167,A167-Calculos!$B$4),Calculos!$B$2+1-MOD(163-1,Calculos!$B$6)+1)))))</f>
        <v/>
      </c>
      <c r="G167" s="9" t="str">
        <f t="shared" si="14"/>
        <v/>
      </c>
      <c r="H167" s="9" t="str">
        <f>IF(OR(C167="",F167=""),"",IF(AND(ISNUMBER(D167),ISNUMBER(E167)),IF(D167&gt;E167,Inicio!$E$6,IF(D167=E167,Inicio!$F$6,Inicio!$G$6)),""))</f>
        <v/>
      </c>
      <c r="I167" s="9" t="str">
        <f>IF(OR(C167="",F167=""),"",IF(AND(ISNUMBER(D167),ISNUMBER(E167)),IF(D167&lt;E167,Inicio!$E$6,IF(D167=E167,Inicio!$F$6,Inicio!$G$6)),""))</f>
        <v/>
      </c>
      <c r="J167" s="9">
        <f t="shared" si="15"/>
        <v>0</v>
      </c>
      <c r="K167" s="9">
        <f t="shared" si="16"/>
        <v>0</v>
      </c>
      <c r="L167" s="9">
        <f t="shared" si="17"/>
        <v>0</v>
      </c>
      <c r="M167" s="9">
        <f t="shared" si="18"/>
        <v>0</v>
      </c>
      <c r="N167" s="9">
        <f t="shared" si="19"/>
        <v>0</v>
      </c>
      <c r="O167" s="9">
        <f t="shared" si="20"/>
        <v>0</v>
      </c>
    </row>
    <row r="168" spans="1:15" x14ac:dyDescent="0.25">
      <c r="A168" s="9" t="str">
        <f>IF(OR(Calculos!$B$7=0,164&gt;Calculos!$B$7),"",INT((164-1)/Calculos!$B$6)+1)</f>
        <v/>
      </c>
      <c r="B168" s="10" t="str">
        <f>IF(A168="","",Inicio!$E$5+(A168-1)*Inicio!$B$6)</f>
        <v/>
      </c>
      <c r="C168" s="11" t="str">
        <f>IF(A168="","",INDEX(Calculos!$B$11:$B$28,IF(A168&gt;Calculos!$B$4,IF(MOD(IF(A168&lt;=Calculos!$B$4,A168,A168-Calculos!$B$4)+MOD(164-1,Calculos!$B$6)+1,2)=0,INDEX(Calculos!$B$36:$S$52,IF(A168&lt;=Calculos!$B$4,A168,A168-Calculos!$B$4),MOD(164-1,Calculos!$B$6)+1),INDEX(Calculos!$B$36:$S$52,IF(A168&lt;=Calculos!$B$4,A168,A168-Calculos!$B$4),Calculos!$B$2+1-MOD(164-1,Calculos!$B$6)+1)),IF(MOD(IF(A168&lt;=Calculos!$B$4,A168,A168-Calculos!$B$4)+MOD(164-1,Calculos!$B$6)+1,2)=0,INDEX(Calculos!$B$36:$S$52,IF(A168&lt;=Calculos!$B$4,A168,A168-Calculos!$B$4),Calculos!$B$2+1-MOD(164-1,Calculos!$B$6)+1),INDEX(Calculos!$B$36:$S$52,IF(A168&lt;=Calculos!$B$4,A168,A168-Calculos!$B$4),MOD(164-1,Calculos!$B$6)+1)))))</f>
        <v/>
      </c>
      <c r="D168" s="4"/>
      <c r="E168" s="4"/>
      <c r="F168" s="11" t="str">
        <f>IF(A168="","",INDEX(Calculos!$B$11:$B$28,IF(A168&gt;Calculos!$B$4,IF(MOD(IF(A168&lt;=Calculos!$B$4,A168,A168-Calculos!$B$4)+MOD(164-1,Calculos!$B$6)+1,2)=0,INDEX(Calculos!$B$36:$S$52,IF(A168&lt;=Calculos!$B$4,A168,A168-Calculos!$B$4),Calculos!$B$2+1-MOD(164-1,Calculos!$B$6)+1),INDEX(Calculos!$B$36:$S$52,IF(A168&lt;=Calculos!$B$4,A168,A168-Calculos!$B$4),MOD(164-1,Calculos!$B$6)+1)),IF(MOD(IF(A168&lt;=Calculos!$B$4,A168,A168-Calculos!$B$4)+MOD(164-1,Calculos!$B$6)+1,2)=0,INDEX(Calculos!$B$36:$S$52,IF(A168&lt;=Calculos!$B$4,A168,A168-Calculos!$B$4),MOD(164-1,Calculos!$B$6)+1),INDEX(Calculos!$B$36:$S$52,IF(A168&lt;=Calculos!$B$4,A168,A168-Calculos!$B$4),Calculos!$B$2+1-MOD(164-1,Calculos!$B$6)+1)))))</f>
        <v/>
      </c>
      <c r="G168" s="9" t="str">
        <f t="shared" si="14"/>
        <v/>
      </c>
      <c r="H168" s="9" t="str">
        <f>IF(OR(C168="",F168=""),"",IF(AND(ISNUMBER(D168),ISNUMBER(E168)),IF(D168&gt;E168,Inicio!$E$6,IF(D168=E168,Inicio!$F$6,Inicio!$G$6)),""))</f>
        <v/>
      </c>
      <c r="I168" s="9" t="str">
        <f>IF(OR(C168="",F168=""),"",IF(AND(ISNUMBER(D168),ISNUMBER(E168)),IF(D168&lt;E168,Inicio!$E$6,IF(D168=E168,Inicio!$F$6,Inicio!$G$6)),""))</f>
        <v/>
      </c>
      <c r="J168" s="9">
        <f t="shared" si="15"/>
        <v>0</v>
      </c>
      <c r="K168" s="9">
        <f t="shared" si="16"/>
        <v>0</v>
      </c>
      <c r="L168" s="9">
        <f t="shared" si="17"/>
        <v>0</v>
      </c>
      <c r="M168" s="9">
        <f t="shared" si="18"/>
        <v>0</v>
      </c>
      <c r="N168" s="9">
        <f t="shared" si="19"/>
        <v>0</v>
      </c>
      <c r="O168" s="9">
        <f t="shared" si="20"/>
        <v>0</v>
      </c>
    </row>
    <row r="169" spans="1:15" x14ac:dyDescent="0.25">
      <c r="A169" s="9" t="str">
        <f>IF(OR(Calculos!$B$7=0,165&gt;Calculos!$B$7),"",INT((165-1)/Calculos!$B$6)+1)</f>
        <v/>
      </c>
      <c r="B169" s="10" t="str">
        <f>IF(A169="","",Inicio!$E$5+(A169-1)*Inicio!$B$6)</f>
        <v/>
      </c>
      <c r="C169" s="11" t="str">
        <f>IF(A169="","",INDEX(Calculos!$B$11:$B$28,IF(A169&gt;Calculos!$B$4,IF(MOD(IF(A169&lt;=Calculos!$B$4,A169,A169-Calculos!$B$4)+MOD(165-1,Calculos!$B$6)+1,2)=0,INDEX(Calculos!$B$36:$S$52,IF(A169&lt;=Calculos!$B$4,A169,A169-Calculos!$B$4),MOD(165-1,Calculos!$B$6)+1),INDEX(Calculos!$B$36:$S$52,IF(A169&lt;=Calculos!$B$4,A169,A169-Calculos!$B$4),Calculos!$B$2+1-MOD(165-1,Calculos!$B$6)+1)),IF(MOD(IF(A169&lt;=Calculos!$B$4,A169,A169-Calculos!$B$4)+MOD(165-1,Calculos!$B$6)+1,2)=0,INDEX(Calculos!$B$36:$S$52,IF(A169&lt;=Calculos!$B$4,A169,A169-Calculos!$B$4),Calculos!$B$2+1-MOD(165-1,Calculos!$B$6)+1),INDEX(Calculos!$B$36:$S$52,IF(A169&lt;=Calculos!$B$4,A169,A169-Calculos!$B$4),MOD(165-1,Calculos!$B$6)+1)))))</f>
        <v/>
      </c>
      <c r="D169" s="4"/>
      <c r="E169" s="4"/>
      <c r="F169" s="11" t="str">
        <f>IF(A169="","",INDEX(Calculos!$B$11:$B$28,IF(A169&gt;Calculos!$B$4,IF(MOD(IF(A169&lt;=Calculos!$B$4,A169,A169-Calculos!$B$4)+MOD(165-1,Calculos!$B$6)+1,2)=0,INDEX(Calculos!$B$36:$S$52,IF(A169&lt;=Calculos!$B$4,A169,A169-Calculos!$B$4),Calculos!$B$2+1-MOD(165-1,Calculos!$B$6)+1),INDEX(Calculos!$B$36:$S$52,IF(A169&lt;=Calculos!$B$4,A169,A169-Calculos!$B$4),MOD(165-1,Calculos!$B$6)+1)),IF(MOD(IF(A169&lt;=Calculos!$B$4,A169,A169-Calculos!$B$4)+MOD(165-1,Calculos!$B$6)+1,2)=0,INDEX(Calculos!$B$36:$S$52,IF(A169&lt;=Calculos!$B$4,A169,A169-Calculos!$B$4),MOD(165-1,Calculos!$B$6)+1),INDEX(Calculos!$B$36:$S$52,IF(A169&lt;=Calculos!$B$4,A169,A169-Calculos!$B$4),Calculos!$B$2+1-MOD(165-1,Calculos!$B$6)+1)))))</f>
        <v/>
      </c>
      <c r="G169" s="9" t="str">
        <f t="shared" si="14"/>
        <v/>
      </c>
      <c r="H169" s="9" t="str">
        <f>IF(OR(C169="",F169=""),"",IF(AND(ISNUMBER(D169),ISNUMBER(E169)),IF(D169&gt;E169,Inicio!$E$6,IF(D169=E169,Inicio!$F$6,Inicio!$G$6)),""))</f>
        <v/>
      </c>
      <c r="I169" s="9" t="str">
        <f>IF(OR(C169="",F169=""),"",IF(AND(ISNUMBER(D169),ISNUMBER(E169)),IF(D169&lt;E169,Inicio!$E$6,IF(D169=E169,Inicio!$F$6,Inicio!$G$6)),""))</f>
        <v/>
      </c>
      <c r="J169" s="9">
        <f t="shared" si="15"/>
        <v>0</v>
      </c>
      <c r="K169" s="9">
        <f t="shared" si="16"/>
        <v>0</v>
      </c>
      <c r="L169" s="9">
        <f t="shared" si="17"/>
        <v>0</v>
      </c>
      <c r="M169" s="9">
        <f t="shared" si="18"/>
        <v>0</v>
      </c>
      <c r="N169" s="9">
        <f t="shared" si="19"/>
        <v>0</v>
      </c>
      <c r="O169" s="9">
        <f t="shared" si="20"/>
        <v>0</v>
      </c>
    </row>
    <row r="170" spans="1:15" x14ac:dyDescent="0.25">
      <c r="A170" s="9" t="str">
        <f>IF(OR(Calculos!$B$7=0,166&gt;Calculos!$B$7),"",INT((166-1)/Calculos!$B$6)+1)</f>
        <v/>
      </c>
      <c r="B170" s="10" t="str">
        <f>IF(A170="","",Inicio!$E$5+(A170-1)*Inicio!$B$6)</f>
        <v/>
      </c>
      <c r="C170" s="11" t="str">
        <f>IF(A170="","",INDEX(Calculos!$B$11:$B$28,IF(A170&gt;Calculos!$B$4,IF(MOD(IF(A170&lt;=Calculos!$B$4,A170,A170-Calculos!$B$4)+MOD(166-1,Calculos!$B$6)+1,2)=0,INDEX(Calculos!$B$36:$S$52,IF(A170&lt;=Calculos!$B$4,A170,A170-Calculos!$B$4),MOD(166-1,Calculos!$B$6)+1),INDEX(Calculos!$B$36:$S$52,IF(A170&lt;=Calculos!$B$4,A170,A170-Calculos!$B$4),Calculos!$B$2+1-MOD(166-1,Calculos!$B$6)+1)),IF(MOD(IF(A170&lt;=Calculos!$B$4,A170,A170-Calculos!$B$4)+MOD(166-1,Calculos!$B$6)+1,2)=0,INDEX(Calculos!$B$36:$S$52,IF(A170&lt;=Calculos!$B$4,A170,A170-Calculos!$B$4),Calculos!$B$2+1-MOD(166-1,Calculos!$B$6)+1),INDEX(Calculos!$B$36:$S$52,IF(A170&lt;=Calculos!$B$4,A170,A170-Calculos!$B$4),MOD(166-1,Calculos!$B$6)+1)))))</f>
        <v/>
      </c>
      <c r="D170" s="4"/>
      <c r="E170" s="4"/>
      <c r="F170" s="11" t="str">
        <f>IF(A170="","",INDEX(Calculos!$B$11:$B$28,IF(A170&gt;Calculos!$B$4,IF(MOD(IF(A170&lt;=Calculos!$B$4,A170,A170-Calculos!$B$4)+MOD(166-1,Calculos!$B$6)+1,2)=0,INDEX(Calculos!$B$36:$S$52,IF(A170&lt;=Calculos!$B$4,A170,A170-Calculos!$B$4),Calculos!$B$2+1-MOD(166-1,Calculos!$B$6)+1),INDEX(Calculos!$B$36:$S$52,IF(A170&lt;=Calculos!$B$4,A170,A170-Calculos!$B$4),MOD(166-1,Calculos!$B$6)+1)),IF(MOD(IF(A170&lt;=Calculos!$B$4,A170,A170-Calculos!$B$4)+MOD(166-1,Calculos!$B$6)+1,2)=0,INDEX(Calculos!$B$36:$S$52,IF(A170&lt;=Calculos!$B$4,A170,A170-Calculos!$B$4),MOD(166-1,Calculos!$B$6)+1),INDEX(Calculos!$B$36:$S$52,IF(A170&lt;=Calculos!$B$4,A170,A170-Calculos!$B$4),Calculos!$B$2+1-MOD(166-1,Calculos!$B$6)+1)))))</f>
        <v/>
      </c>
      <c r="G170" s="9" t="str">
        <f t="shared" si="14"/>
        <v/>
      </c>
      <c r="H170" s="9" t="str">
        <f>IF(OR(C170="",F170=""),"",IF(AND(ISNUMBER(D170),ISNUMBER(E170)),IF(D170&gt;E170,Inicio!$E$6,IF(D170=E170,Inicio!$F$6,Inicio!$G$6)),""))</f>
        <v/>
      </c>
      <c r="I170" s="9" t="str">
        <f>IF(OR(C170="",F170=""),"",IF(AND(ISNUMBER(D170),ISNUMBER(E170)),IF(D170&lt;E170,Inicio!$E$6,IF(D170=E170,Inicio!$F$6,Inicio!$G$6)),""))</f>
        <v/>
      </c>
      <c r="J170" s="9">
        <f t="shared" si="15"/>
        <v>0</v>
      </c>
      <c r="K170" s="9">
        <f t="shared" si="16"/>
        <v>0</v>
      </c>
      <c r="L170" s="9">
        <f t="shared" si="17"/>
        <v>0</v>
      </c>
      <c r="M170" s="9">
        <f t="shared" si="18"/>
        <v>0</v>
      </c>
      <c r="N170" s="9">
        <f t="shared" si="19"/>
        <v>0</v>
      </c>
      <c r="O170" s="9">
        <f t="shared" si="20"/>
        <v>0</v>
      </c>
    </row>
    <row r="171" spans="1:15" x14ac:dyDescent="0.25">
      <c r="A171" s="9" t="str">
        <f>IF(OR(Calculos!$B$7=0,167&gt;Calculos!$B$7),"",INT((167-1)/Calculos!$B$6)+1)</f>
        <v/>
      </c>
      <c r="B171" s="10" t="str">
        <f>IF(A171="","",Inicio!$E$5+(A171-1)*Inicio!$B$6)</f>
        <v/>
      </c>
      <c r="C171" s="11" t="str">
        <f>IF(A171="","",INDEX(Calculos!$B$11:$B$28,IF(A171&gt;Calculos!$B$4,IF(MOD(IF(A171&lt;=Calculos!$B$4,A171,A171-Calculos!$B$4)+MOD(167-1,Calculos!$B$6)+1,2)=0,INDEX(Calculos!$B$36:$S$52,IF(A171&lt;=Calculos!$B$4,A171,A171-Calculos!$B$4),MOD(167-1,Calculos!$B$6)+1),INDEX(Calculos!$B$36:$S$52,IF(A171&lt;=Calculos!$B$4,A171,A171-Calculos!$B$4),Calculos!$B$2+1-MOD(167-1,Calculos!$B$6)+1)),IF(MOD(IF(A171&lt;=Calculos!$B$4,A171,A171-Calculos!$B$4)+MOD(167-1,Calculos!$B$6)+1,2)=0,INDEX(Calculos!$B$36:$S$52,IF(A171&lt;=Calculos!$B$4,A171,A171-Calculos!$B$4),Calculos!$B$2+1-MOD(167-1,Calculos!$B$6)+1),INDEX(Calculos!$B$36:$S$52,IF(A171&lt;=Calculos!$B$4,A171,A171-Calculos!$B$4),MOD(167-1,Calculos!$B$6)+1)))))</f>
        <v/>
      </c>
      <c r="D171" s="4"/>
      <c r="E171" s="4"/>
      <c r="F171" s="11" t="str">
        <f>IF(A171="","",INDEX(Calculos!$B$11:$B$28,IF(A171&gt;Calculos!$B$4,IF(MOD(IF(A171&lt;=Calculos!$B$4,A171,A171-Calculos!$B$4)+MOD(167-1,Calculos!$B$6)+1,2)=0,INDEX(Calculos!$B$36:$S$52,IF(A171&lt;=Calculos!$B$4,A171,A171-Calculos!$B$4),Calculos!$B$2+1-MOD(167-1,Calculos!$B$6)+1),INDEX(Calculos!$B$36:$S$52,IF(A171&lt;=Calculos!$B$4,A171,A171-Calculos!$B$4),MOD(167-1,Calculos!$B$6)+1)),IF(MOD(IF(A171&lt;=Calculos!$B$4,A171,A171-Calculos!$B$4)+MOD(167-1,Calculos!$B$6)+1,2)=0,INDEX(Calculos!$B$36:$S$52,IF(A171&lt;=Calculos!$B$4,A171,A171-Calculos!$B$4),MOD(167-1,Calculos!$B$6)+1),INDEX(Calculos!$B$36:$S$52,IF(A171&lt;=Calculos!$B$4,A171,A171-Calculos!$B$4),Calculos!$B$2+1-MOD(167-1,Calculos!$B$6)+1)))))</f>
        <v/>
      </c>
      <c r="G171" s="9" t="str">
        <f t="shared" si="14"/>
        <v/>
      </c>
      <c r="H171" s="9" t="str">
        <f>IF(OR(C171="",F171=""),"",IF(AND(ISNUMBER(D171),ISNUMBER(E171)),IF(D171&gt;E171,Inicio!$E$6,IF(D171=E171,Inicio!$F$6,Inicio!$G$6)),""))</f>
        <v/>
      </c>
      <c r="I171" s="9" t="str">
        <f>IF(OR(C171="",F171=""),"",IF(AND(ISNUMBER(D171),ISNUMBER(E171)),IF(D171&lt;E171,Inicio!$E$6,IF(D171=E171,Inicio!$F$6,Inicio!$G$6)),""))</f>
        <v/>
      </c>
      <c r="J171" s="9">
        <f t="shared" si="15"/>
        <v>0</v>
      </c>
      <c r="K171" s="9">
        <f t="shared" si="16"/>
        <v>0</v>
      </c>
      <c r="L171" s="9">
        <f t="shared" si="17"/>
        <v>0</v>
      </c>
      <c r="M171" s="9">
        <f t="shared" si="18"/>
        <v>0</v>
      </c>
      <c r="N171" s="9">
        <f t="shared" si="19"/>
        <v>0</v>
      </c>
      <c r="O171" s="9">
        <f t="shared" si="20"/>
        <v>0</v>
      </c>
    </row>
    <row r="172" spans="1:15" x14ac:dyDescent="0.25">
      <c r="A172" s="9" t="str">
        <f>IF(OR(Calculos!$B$7=0,168&gt;Calculos!$B$7),"",INT((168-1)/Calculos!$B$6)+1)</f>
        <v/>
      </c>
      <c r="B172" s="10" t="str">
        <f>IF(A172="","",Inicio!$E$5+(A172-1)*Inicio!$B$6)</f>
        <v/>
      </c>
      <c r="C172" s="11" t="str">
        <f>IF(A172="","",INDEX(Calculos!$B$11:$B$28,IF(A172&gt;Calculos!$B$4,IF(MOD(IF(A172&lt;=Calculos!$B$4,A172,A172-Calculos!$B$4)+MOD(168-1,Calculos!$B$6)+1,2)=0,INDEX(Calculos!$B$36:$S$52,IF(A172&lt;=Calculos!$B$4,A172,A172-Calculos!$B$4),MOD(168-1,Calculos!$B$6)+1),INDEX(Calculos!$B$36:$S$52,IF(A172&lt;=Calculos!$B$4,A172,A172-Calculos!$B$4),Calculos!$B$2+1-MOD(168-1,Calculos!$B$6)+1)),IF(MOD(IF(A172&lt;=Calculos!$B$4,A172,A172-Calculos!$B$4)+MOD(168-1,Calculos!$B$6)+1,2)=0,INDEX(Calculos!$B$36:$S$52,IF(A172&lt;=Calculos!$B$4,A172,A172-Calculos!$B$4),Calculos!$B$2+1-MOD(168-1,Calculos!$B$6)+1),INDEX(Calculos!$B$36:$S$52,IF(A172&lt;=Calculos!$B$4,A172,A172-Calculos!$B$4),MOD(168-1,Calculos!$B$6)+1)))))</f>
        <v/>
      </c>
      <c r="D172" s="4"/>
      <c r="E172" s="4"/>
      <c r="F172" s="11" t="str">
        <f>IF(A172="","",INDEX(Calculos!$B$11:$B$28,IF(A172&gt;Calculos!$B$4,IF(MOD(IF(A172&lt;=Calculos!$B$4,A172,A172-Calculos!$B$4)+MOD(168-1,Calculos!$B$6)+1,2)=0,INDEX(Calculos!$B$36:$S$52,IF(A172&lt;=Calculos!$B$4,A172,A172-Calculos!$B$4),Calculos!$B$2+1-MOD(168-1,Calculos!$B$6)+1),INDEX(Calculos!$B$36:$S$52,IF(A172&lt;=Calculos!$B$4,A172,A172-Calculos!$B$4),MOD(168-1,Calculos!$B$6)+1)),IF(MOD(IF(A172&lt;=Calculos!$B$4,A172,A172-Calculos!$B$4)+MOD(168-1,Calculos!$B$6)+1,2)=0,INDEX(Calculos!$B$36:$S$52,IF(A172&lt;=Calculos!$B$4,A172,A172-Calculos!$B$4),MOD(168-1,Calculos!$B$6)+1),INDEX(Calculos!$B$36:$S$52,IF(A172&lt;=Calculos!$B$4,A172,A172-Calculos!$B$4),Calculos!$B$2+1-MOD(168-1,Calculos!$B$6)+1)))))</f>
        <v/>
      </c>
      <c r="G172" s="9" t="str">
        <f t="shared" si="14"/>
        <v/>
      </c>
      <c r="H172" s="9" t="str">
        <f>IF(OR(C172="",F172=""),"",IF(AND(ISNUMBER(D172),ISNUMBER(E172)),IF(D172&gt;E172,Inicio!$E$6,IF(D172=E172,Inicio!$F$6,Inicio!$G$6)),""))</f>
        <v/>
      </c>
      <c r="I172" s="9" t="str">
        <f>IF(OR(C172="",F172=""),"",IF(AND(ISNUMBER(D172),ISNUMBER(E172)),IF(D172&lt;E172,Inicio!$E$6,IF(D172=E172,Inicio!$F$6,Inicio!$G$6)),""))</f>
        <v/>
      </c>
      <c r="J172" s="9">
        <f t="shared" si="15"/>
        <v>0</v>
      </c>
      <c r="K172" s="9">
        <f t="shared" si="16"/>
        <v>0</v>
      </c>
      <c r="L172" s="9">
        <f t="shared" si="17"/>
        <v>0</v>
      </c>
      <c r="M172" s="9">
        <f t="shared" si="18"/>
        <v>0</v>
      </c>
      <c r="N172" s="9">
        <f t="shared" si="19"/>
        <v>0</v>
      </c>
      <c r="O172" s="9">
        <f t="shared" si="20"/>
        <v>0</v>
      </c>
    </row>
    <row r="173" spans="1:15" x14ac:dyDescent="0.25">
      <c r="A173" s="9" t="str">
        <f>IF(OR(Calculos!$B$7=0,169&gt;Calculos!$B$7),"",INT((169-1)/Calculos!$B$6)+1)</f>
        <v/>
      </c>
      <c r="B173" s="10" t="str">
        <f>IF(A173="","",Inicio!$E$5+(A173-1)*Inicio!$B$6)</f>
        <v/>
      </c>
      <c r="C173" s="11" t="str">
        <f>IF(A173="","",INDEX(Calculos!$B$11:$B$28,IF(A173&gt;Calculos!$B$4,IF(MOD(IF(A173&lt;=Calculos!$B$4,A173,A173-Calculos!$B$4)+MOD(169-1,Calculos!$B$6)+1,2)=0,INDEX(Calculos!$B$36:$S$52,IF(A173&lt;=Calculos!$B$4,A173,A173-Calculos!$B$4),MOD(169-1,Calculos!$B$6)+1),INDEX(Calculos!$B$36:$S$52,IF(A173&lt;=Calculos!$B$4,A173,A173-Calculos!$B$4),Calculos!$B$2+1-MOD(169-1,Calculos!$B$6)+1)),IF(MOD(IF(A173&lt;=Calculos!$B$4,A173,A173-Calculos!$B$4)+MOD(169-1,Calculos!$B$6)+1,2)=0,INDEX(Calculos!$B$36:$S$52,IF(A173&lt;=Calculos!$B$4,A173,A173-Calculos!$B$4),Calculos!$B$2+1-MOD(169-1,Calculos!$B$6)+1),INDEX(Calculos!$B$36:$S$52,IF(A173&lt;=Calculos!$B$4,A173,A173-Calculos!$B$4),MOD(169-1,Calculos!$B$6)+1)))))</f>
        <v/>
      </c>
      <c r="D173" s="4"/>
      <c r="E173" s="4"/>
      <c r="F173" s="11" t="str">
        <f>IF(A173="","",INDEX(Calculos!$B$11:$B$28,IF(A173&gt;Calculos!$B$4,IF(MOD(IF(A173&lt;=Calculos!$B$4,A173,A173-Calculos!$B$4)+MOD(169-1,Calculos!$B$6)+1,2)=0,INDEX(Calculos!$B$36:$S$52,IF(A173&lt;=Calculos!$B$4,A173,A173-Calculos!$B$4),Calculos!$B$2+1-MOD(169-1,Calculos!$B$6)+1),INDEX(Calculos!$B$36:$S$52,IF(A173&lt;=Calculos!$B$4,A173,A173-Calculos!$B$4),MOD(169-1,Calculos!$B$6)+1)),IF(MOD(IF(A173&lt;=Calculos!$B$4,A173,A173-Calculos!$B$4)+MOD(169-1,Calculos!$B$6)+1,2)=0,INDEX(Calculos!$B$36:$S$52,IF(A173&lt;=Calculos!$B$4,A173,A173-Calculos!$B$4),MOD(169-1,Calculos!$B$6)+1),INDEX(Calculos!$B$36:$S$52,IF(A173&lt;=Calculos!$B$4,A173,A173-Calculos!$B$4),Calculos!$B$2+1-MOD(169-1,Calculos!$B$6)+1)))))</f>
        <v/>
      </c>
      <c r="G173" s="9" t="str">
        <f t="shared" si="14"/>
        <v/>
      </c>
      <c r="H173" s="9" t="str">
        <f>IF(OR(C173="",F173=""),"",IF(AND(ISNUMBER(D173),ISNUMBER(E173)),IF(D173&gt;E173,Inicio!$E$6,IF(D173=E173,Inicio!$F$6,Inicio!$G$6)),""))</f>
        <v/>
      </c>
      <c r="I173" s="9" t="str">
        <f>IF(OR(C173="",F173=""),"",IF(AND(ISNUMBER(D173),ISNUMBER(E173)),IF(D173&lt;E173,Inicio!$E$6,IF(D173=E173,Inicio!$F$6,Inicio!$G$6)),""))</f>
        <v/>
      </c>
      <c r="J173" s="9">
        <f t="shared" si="15"/>
        <v>0</v>
      </c>
      <c r="K173" s="9">
        <f t="shared" si="16"/>
        <v>0</v>
      </c>
      <c r="L173" s="9">
        <f t="shared" si="17"/>
        <v>0</v>
      </c>
      <c r="M173" s="9">
        <f t="shared" si="18"/>
        <v>0</v>
      </c>
      <c r="N173" s="9">
        <f t="shared" si="19"/>
        <v>0</v>
      </c>
      <c r="O173" s="9">
        <f t="shared" si="20"/>
        <v>0</v>
      </c>
    </row>
    <row r="174" spans="1:15" x14ac:dyDescent="0.25">
      <c r="A174" s="9" t="str">
        <f>IF(OR(Calculos!$B$7=0,170&gt;Calculos!$B$7),"",INT((170-1)/Calculos!$B$6)+1)</f>
        <v/>
      </c>
      <c r="B174" s="10" t="str">
        <f>IF(A174="","",Inicio!$E$5+(A174-1)*Inicio!$B$6)</f>
        <v/>
      </c>
      <c r="C174" s="11" t="str">
        <f>IF(A174="","",INDEX(Calculos!$B$11:$B$28,IF(A174&gt;Calculos!$B$4,IF(MOD(IF(A174&lt;=Calculos!$B$4,A174,A174-Calculos!$B$4)+MOD(170-1,Calculos!$B$6)+1,2)=0,INDEX(Calculos!$B$36:$S$52,IF(A174&lt;=Calculos!$B$4,A174,A174-Calculos!$B$4),MOD(170-1,Calculos!$B$6)+1),INDEX(Calculos!$B$36:$S$52,IF(A174&lt;=Calculos!$B$4,A174,A174-Calculos!$B$4),Calculos!$B$2+1-MOD(170-1,Calculos!$B$6)+1)),IF(MOD(IF(A174&lt;=Calculos!$B$4,A174,A174-Calculos!$B$4)+MOD(170-1,Calculos!$B$6)+1,2)=0,INDEX(Calculos!$B$36:$S$52,IF(A174&lt;=Calculos!$B$4,A174,A174-Calculos!$B$4),Calculos!$B$2+1-MOD(170-1,Calculos!$B$6)+1),INDEX(Calculos!$B$36:$S$52,IF(A174&lt;=Calculos!$B$4,A174,A174-Calculos!$B$4),MOD(170-1,Calculos!$B$6)+1)))))</f>
        <v/>
      </c>
      <c r="D174" s="4"/>
      <c r="E174" s="4"/>
      <c r="F174" s="11" t="str">
        <f>IF(A174="","",INDEX(Calculos!$B$11:$B$28,IF(A174&gt;Calculos!$B$4,IF(MOD(IF(A174&lt;=Calculos!$B$4,A174,A174-Calculos!$B$4)+MOD(170-1,Calculos!$B$6)+1,2)=0,INDEX(Calculos!$B$36:$S$52,IF(A174&lt;=Calculos!$B$4,A174,A174-Calculos!$B$4),Calculos!$B$2+1-MOD(170-1,Calculos!$B$6)+1),INDEX(Calculos!$B$36:$S$52,IF(A174&lt;=Calculos!$B$4,A174,A174-Calculos!$B$4),MOD(170-1,Calculos!$B$6)+1)),IF(MOD(IF(A174&lt;=Calculos!$B$4,A174,A174-Calculos!$B$4)+MOD(170-1,Calculos!$B$6)+1,2)=0,INDEX(Calculos!$B$36:$S$52,IF(A174&lt;=Calculos!$B$4,A174,A174-Calculos!$B$4),MOD(170-1,Calculos!$B$6)+1),INDEX(Calculos!$B$36:$S$52,IF(A174&lt;=Calculos!$B$4,A174,A174-Calculos!$B$4),Calculos!$B$2+1-MOD(170-1,Calculos!$B$6)+1)))))</f>
        <v/>
      </c>
      <c r="G174" s="9" t="str">
        <f t="shared" si="14"/>
        <v/>
      </c>
      <c r="H174" s="9" t="str">
        <f>IF(OR(C174="",F174=""),"",IF(AND(ISNUMBER(D174),ISNUMBER(E174)),IF(D174&gt;E174,Inicio!$E$6,IF(D174=E174,Inicio!$F$6,Inicio!$G$6)),""))</f>
        <v/>
      </c>
      <c r="I174" s="9" t="str">
        <f>IF(OR(C174="",F174=""),"",IF(AND(ISNUMBER(D174),ISNUMBER(E174)),IF(D174&lt;E174,Inicio!$E$6,IF(D174=E174,Inicio!$F$6,Inicio!$G$6)),""))</f>
        <v/>
      </c>
      <c r="J174" s="9">
        <f t="shared" si="15"/>
        <v>0</v>
      </c>
      <c r="K174" s="9">
        <f t="shared" si="16"/>
        <v>0</v>
      </c>
      <c r="L174" s="9">
        <f t="shared" si="17"/>
        <v>0</v>
      </c>
      <c r="M174" s="9">
        <f t="shared" si="18"/>
        <v>0</v>
      </c>
      <c r="N174" s="9">
        <f t="shared" si="19"/>
        <v>0</v>
      </c>
      <c r="O174" s="9">
        <f t="shared" si="20"/>
        <v>0</v>
      </c>
    </row>
    <row r="175" spans="1:15" x14ac:dyDescent="0.25">
      <c r="A175" s="9" t="str">
        <f>IF(OR(Calculos!$B$7=0,171&gt;Calculos!$B$7),"",INT((171-1)/Calculos!$B$6)+1)</f>
        <v/>
      </c>
      <c r="B175" s="10" t="str">
        <f>IF(A175="","",Inicio!$E$5+(A175-1)*Inicio!$B$6)</f>
        <v/>
      </c>
      <c r="C175" s="11" t="str">
        <f>IF(A175="","",INDEX(Calculos!$B$11:$B$28,IF(A175&gt;Calculos!$B$4,IF(MOD(IF(A175&lt;=Calculos!$B$4,A175,A175-Calculos!$B$4)+MOD(171-1,Calculos!$B$6)+1,2)=0,INDEX(Calculos!$B$36:$S$52,IF(A175&lt;=Calculos!$B$4,A175,A175-Calculos!$B$4),MOD(171-1,Calculos!$B$6)+1),INDEX(Calculos!$B$36:$S$52,IF(A175&lt;=Calculos!$B$4,A175,A175-Calculos!$B$4),Calculos!$B$2+1-MOD(171-1,Calculos!$B$6)+1)),IF(MOD(IF(A175&lt;=Calculos!$B$4,A175,A175-Calculos!$B$4)+MOD(171-1,Calculos!$B$6)+1,2)=0,INDEX(Calculos!$B$36:$S$52,IF(A175&lt;=Calculos!$B$4,A175,A175-Calculos!$B$4),Calculos!$B$2+1-MOD(171-1,Calculos!$B$6)+1),INDEX(Calculos!$B$36:$S$52,IF(A175&lt;=Calculos!$B$4,A175,A175-Calculos!$B$4),MOD(171-1,Calculos!$B$6)+1)))))</f>
        <v/>
      </c>
      <c r="D175" s="4"/>
      <c r="E175" s="4"/>
      <c r="F175" s="11" t="str">
        <f>IF(A175="","",INDEX(Calculos!$B$11:$B$28,IF(A175&gt;Calculos!$B$4,IF(MOD(IF(A175&lt;=Calculos!$B$4,A175,A175-Calculos!$B$4)+MOD(171-1,Calculos!$B$6)+1,2)=0,INDEX(Calculos!$B$36:$S$52,IF(A175&lt;=Calculos!$B$4,A175,A175-Calculos!$B$4),Calculos!$B$2+1-MOD(171-1,Calculos!$B$6)+1),INDEX(Calculos!$B$36:$S$52,IF(A175&lt;=Calculos!$B$4,A175,A175-Calculos!$B$4),MOD(171-1,Calculos!$B$6)+1)),IF(MOD(IF(A175&lt;=Calculos!$B$4,A175,A175-Calculos!$B$4)+MOD(171-1,Calculos!$B$6)+1,2)=0,INDEX(Calculos!$B$36:$S$52,IF(A175&lt;=Calculos!$B$4,A175,A175-Calculos!$B$4),MOD(171-1,Calculos!$B$6)+1),INDEX(Calculos!$B$36:$S$52,IF(A175&lt;=Calculos!$B$4,A175,A175-Calculos!$B$4),Calculos!$B$2+1-MOD(171-1,Calculos!$B$6)+1)))))</f>
        <v/>
      </c>
      <c r="G175" s="9" t="str">
        <f t="shared" si="14"/>
        <v/>
      </c>
      <c r="H175" s="9" t="str">
        <f>IF(OR(C175="",F175=""),"",IF(AND(ISNUMBER(D175),ISNUMBER(E175)),IF(D175&gt;E175,Inicio!$E$6,IF(D175=E175,Inicio!$F$6,Inicio!$G$6)),""))</f>
        <v/>
      </c>
      <c r="I175" s="9" t="str">
        <f>IF(OR(C175="",F175=""),"",IF(AND(ISNUMBER(D175),ISNUMBER(E175)),IF(D175&lt;E175,Inicio!$E$6,IF(D175=E175,Inicio!$F$6,Inicio!$G$6)),""))</f>
        <v/>
      </c>
      <c r="J175" s="9">
        <f t="shared" si="15"/>
        <v>0</v>
      </c>
      <c r="K175" s="9">
        <f t="shared" si="16"/>
        <v>0</v>
      </c>
      <c r="L175" s="9">
        <f t="shared" si="17"/>
        <v>0</v>
      </c>
      <c r="M175" s="9">
        <f t="shared" si="18"/>
        <v>0</v>
      </c>
      <c r="N175" s="9">
        <f t="shared" si="19"/>
        <v>0</v>
      </c>
      <c r="O175" s="9">
        <f t="shared" si="20"/>
        <v>0</v>
      </c>
    </row>
    <row r="176" spans="1:15" x14ac:dyDescent="0.25">
      <c r="A176" s="9" t="str">
        <f>IF(OR(Calculos!$B$7=0,172&gt;Calculos!$B$7),"",INT((172-1)/Calculos!$B$6)+1)</f>
        <v/>
      </c>
      <c r="B176" s="10" t="str">
        <f>IF(A176="","",Inicio!$E$5+(A176-1)*Inicio!$B$6)</f>
        <v/>
      </c>
      <c r="C176" s="11" t="str">
        <f>IF(A176="","",INDEX(Calculos!$B$11:$B$28,IF(A176&gt;Calculos!$B$4,IF(MOD(IF(A176&lt;=Calculos!$B$4,A176,A176-Calculos!$B$4)+MOD(172-1,Calculos!$B$6)+1,2)=0,INDEX(Calculos!$B$36:$S$52,IF(A176&lt;=Calculos!$B$4,A176,A176-Calculos!$B$4),MOD(172-1,Calculos!$B$6)+1),INDEX(Calculos!$B$36:$S$52,IF(A176&lt;=Calculos!$B$4,A176,A176-Calculos!$B$4),Calculos!$B$2+1-MOD(172-1,Calculos!$B$6)+1)),IF(MOD(IF(A176&lt;=Calculos!$B$4,A176,A176-Calculos!$B$4)+MOD(172-1,Calculos!$B$6)+1,2)=0,INDEX(Calculos!$B$36:$S$52,IF(A176&lt;=Calculos!$B$4,A176,A176-Calculos!$B$4),Calculos!$B$2+1-MOD(172-1,Calculos!$B$6)+1),INDEX(Calculos!$B$36:$S$52,IF(A176&lt;=Calculos!$B$4,A176,A176-Calculos!$B$4),MOD(172-1,Calculos!$B$6)+1)))))</f>
        <v/>
      </c>
      <c r="D176" s="4"/>
      <c r="E176" s="4"/>
      <c r="F176" s="11" t="str">
        <f>IF(A176="","",INDEX(Calculos!$B$11:$B$28,IF(A176&gt;Calculos!$B$4,IF(MOD(IF(A176&lt;=Calculos!$B$4,A176,A176-Calculos!$B$4)+MOD(172-1,Calculos!$B$6)+1,2)=0,INDEX(Calculos!$B$36:$S$52,IF(A176&lt;=Calculos!$B$4,A176,A176-Calculos!$B$4),Calculos!$B$2+1-MOD(172-1,Calculos!$B$6)+1),INDEX(Calculos!$B$36:$S$52,IF(A176&lt;=Calculos!$B$4,A176,A176-Calculos!$B$4),MOD(172-1,Calculos!$B$6)+1)),IF(MOD(IF(A176&lt;=Calculos!$B$4,A176,A176-Calculos!$B$4)+MOD(172-1,Calculos!$B$6)+1,2)=0,INDEX(Calculos!$B$36:$S$52,IF(A176&lt;=Calculos!$B$4,A176,A176-Calculos!$B$4),MOD(172-1,Calculos!$B$6)+1),INDEX(Calculos!$B$36:$S$52,IF(A176&lt;=Calculos!$B$4,A176,A176-Calculos!$B$4),Calculos!$B$2+1-MOD(172-1,Calculos!$B$6)+1)))))</f>
        <v/>
      </c>
      <c r="G176" s="9" t="str">
        <f t="shared" si="14"/>
        <v/>
      </c>
      <c r="H176" s="9" t="str">
        <f>IF(OR(C176="",F176=""),"",IF(AND(ISNUMBER(D176),ISNUMBER(E176)),IF(D176&gt;E176,Inicio!$E$6,IF(D176=E176,Inicio!$F$6,Inicio!$G$6)),""))</f>
        <v/>
      </c>
      <c r="I176" s="9" t="str">
        <f>IF(OR(C176="",F176=""),"",IF(AND(ISNUMBER(D176),ISNUMBER(E176)),IF(D176&lt;E176,Inicio!$E$6,IF(D176=E176,Inicio!$F$6,Inicio!$G$6)),""))</f>
        <v/>
      </c>
      <c r="J176" s="9">
        <f t="shared" si="15"/>
        <v>0</v>
      </c>
      <c r="K176" s="9">
        <f t="shared" si="16"/>
        <v>0</v>
      </c>
      <c r="L176" s="9">
        <f t="shared" si="17"/>
        <v>0</v>
      </c>
      <c r="M176" s="9">
        <f t="shared" si="18"/>
        <v>0</v>
      </c>
      <c r="N176" s="9">
        <f t="shared" si="19"/>
        <v>0</v>
      </c>
      <c r="O176" s="9">
        <f t="shared" si="20"/>
        <v>0</v>
      </c>
    </row>
    <row r="177" spans="1:15" x14ac:dyDescent="0.25">
      <c r="A177" s="9" t="str">
        <f>IF(OR(Calculos!$B$7=0,173&gt;Calculos!$B$7),"",INT((173-1)/Calculos!$B$6)+1)</f>
        <v/>
      </c>
      <c r="B177" s="10" t="str">
        <f>IF(A177="","",Inicio!$E$5+(A177-1)*Inicio!$B$6)</f>
        <v/>
      </c>
      <c r="C177" s="11" t="str">
        <f>IF(A177="","",INDEX(Calculos!$B$11:$B$28,IF(A177&gt;Calculos!$B$4,IF(MOD(IF(A177&lt;=Calculos!$B$4,A177,A177-Calculos!$B$4)+MOD(173-1,Calculos!$B$6)+1,2)=0,INDEX(Calculos!$B$36:$S$52,IF(A177&lt;=Calculos!$B$4,A177,A177-Calculos!$B$4),MOD(173-1,Calculos!$B$6)+1),INDEX(Calculos!$B$36:$S$52,IF(A177&lt;=Calculos!$B$4,A177,A177-Calculos!$B$4),Calculos!$B$2+1-MOD(173-1,Calculos!$B$6)+1)),IF(MOD(IF(A177&lt;=Calculos!$B$4,A177,A177-Calculos!$B$4)+MOD(173-1,Calculos!$B$6)+1,2)=0,INDEX(Calculos!$B$36:$S$52,IF(A177&lt;=Calculos!$B$4,A177,A177-Calculos!$B$4),Calculos!$B$2+1-MOD(173-1,Calculos!$B$6)+1),INDEX(Calculos!$B$36:$S$52,IF(A177&lt;=Calculos!$B$4,A177,A177-Calculos!$B$4),MOD(173-1,Calculos!$B$6)+1)))))</f>
        <v/>
      </c>
      <c r="D177" s="4"/>
      <c r="E177" s="4"/>
      <c r="F177" s="11" t="str">
        <f>IF(A177="","",INDEX(Calculos!$B$11:$B$28,IF(A177&gt;Calculos!$B$4,IF(MOD(IF(A177&lt;=Calculos!$B$4,A177,A177-Calculos!$B$4)+MOD(173-1,Calculos!$B$6)+1,2)=0,INDEX(Calculos!$B$36:$S$52,IF(A177&lt;=Calculos!$B$4,A177,A177-Calculos!$B$4),Calculos!$B$2+1-MOD(173-1,Calculos!$B$6)+1),INDEX(Calculos!$B$36:$S$52,IF(A177&lt;=Calculos!$B$4,A177,A177-Calculos!$B$4),MOD(173-1,Calculos!$B$6)+1)),IF(MOD(IF(A177&lt;=Calculos!$B$4,A177,A177-Calculos!$B$4)+MOD(173-1,Calculos!$B$6)+1,2)=0,INDEX(Calculos!$B$36:$S$52,IF(A177&lt;=Calculos!$B$4,A177,A177-Calculos!$B$4),MOD(173-1,Calculos!$B$6)+1),INDEX(Calculos!$B$36:$S$52,IF(A177&lt;=Calculos!$B$4,A177,A177-Calculos!$B$4),Calculos!$B$2+1-MOD(173-1,Calculos!$B$6)+1)))))</f>
        <v/>
      </c>
      <c r="G177" s="9" t="str">
        <f t="shared" si="14"/>
        <v/>
      </c>
      <c r="H177" s="9" t="str">
        <f>IF(OR(C177="",F177=""),"",IF(AND(ISNUMBER(D177),ISNUMBER(E177)),IF(D177&gt;E177,Inicio!$E$6,IF(D177=E177,Inicio!$F$6,Inicio!$G$6)),""))</f>
        <v/>
      </c>
      <c r="I177" s="9" t="str">
        <f>IF(OR(C177="",F177=""),"",IF(AND(ISNUMBER(D177),ISNUMBER(E177)),IF(D177&lt;E177,Inicio!$E$6,IF(D177=E177,Inicio!$F$6,Inicio!$G$6)),""))</f>
        <v/>
      </c>
      <c r="J177" s="9">
        <f t="shared" si="15"/>
        <v>0</v>
      </c>
      <c r="K177" s="9">
        <f t="shared" si="16"/>
        <v>0</v>
      </c>
      <c r="L177" s="9">
        <f t="shared" si="17"/>
        <v>0</v>
      </c>
      <c r="M177" s="9">
        <f t="shared" si="18"/>
        <v>0</v>
      </c>
      <c r="N177" s="9">
        <f t="shared" si="19"/>
        <v>0</v>
      </c>
      <c r="O177" s="9">
        <f t="shared" si="20"/>
        <v>0</v>
      </c>
    </row>
    <row r="178" spans="1:15" x14ac:dyDescent="0.25">
      <c r="A178" s="9" t="str">
        <f>IF(OR(Calculos!$B$7=0,174&gt;Calculos!$B$7),"",INT((174-1)/Calculos!$B$6)+1)</f>
        <v/>
      </c>
      <c r="B178" s="10" t="str">
        <f>IF(A178="","",Inicio!$E$5+(A178-1)*Inicio!$B$6)</f>
        <v/>
      </c>
      <c r="C178" s="11" t="str">
        <f>IF(A178="","",INDEX(Calculos!$B$11:$B$28,IF(A178&gt;Calculos!$B$4,IF(MOD(IF(A178&lt;=Calculos!$B$4,A178,A178-Calculos!$B$4)+MOD(174-1,Calculos!$B$6)+1,2)=0,INDEX(Calculos!$B$36:$S$52,IF(A178&lt;=Calculos!$B$4,A178,A178-Calculos!$B$4),MOD(174-1,Calculos!$B$6)+1),INDEX(Calculos!$B$36:$S$52,IF(A178&lt;=Calculos!$B$4,A178,A178-Calculos!$B$4),Calculos!$B$2+1-MOD(174-1,Calculos!$B$6)+1)),IF(MOD(IF(A178&lt;=Calculos!$B$4,A178,A178-Calculos!$B$4)+MOD(174-1,Calculos!$B$6)+1,2)=0,INDEX(Calculos!$B$36:$S$52,IF(A178&lt;=Calculos!$B$4,A178,A178-Calculos!$B$4),Calculos!$B$2+1-MOD(174-1,Calculos!$B$6)+1),INDEX(Calculos!$B$36:$S$52,IF(A178&lt;=Calculos!$B$4,A178,A178-Calculos!$B$4),MOD(174-1,Calculos!$B$6)+1)))))</f>
        <v/>
      </c>
      <c r="D178" s="4"/>
      <c r="E178" s="4"/>
      <c r="F178" s="11" t="str">
        <f>IF(A178="","",INDEX(Calculos!$B$11:$B$28,IF(A178&gt;Calculos!$B$4,IF(MOD(IF(A178&lt;=Calculos!$B$4,A178,A178-Calculos!$B$4)+MOD(174-1,Calculos!$B$6)+1,2)=0,INDEX(Calculos!$B$36:$S$52,IF(A178&lt;=Calculos!$B$4,A178,A178-Calculos!$B$4),Calculos!$B$2+1-MOD(174-1,Calculos!$B$6)+1),INDEX(Calculos!$B$36:$S$52,IF(A178&lt;=Calculos!$B$4,A178,A178-Calculos!$B$4),MOD(174-1,Calculos!$B$6)+1)),IF(MOD(IF(A178&lt;=Calculos!$B$4,A178,A178-Calculos!$B$4)+MOD(174-1,Calculos!$B$6)+1,2)=0,INDEX(Calculos!$B$36:$S$52,IF(A178&lt;=Calculos!$B$4,A178,A178-Calculos!$B$4),MOD(174-1,Calculos!$B$6)+1),INDEX(Calculos!$B$36:$S$52,IF(A178&lt;=Calculos!$B$4,A178,A178-Calculos!$B$4),Calculos!$B$2+1-MOD(174-1,Calculos!$B$6)+1)))))</f>
        <v/>
      </c>
      <c r="G178" s="9" t="str">
        <f t="shared" si="14"/>
        <v/>
      </c>
      <c r="H178" s="9" t="str">
        <f>IF(OR(C178="",F178=""),"",IF(AND(ISNUMBER(D178),ISNUMBER(E178)),IF(D178&gt;E178,Inicio!$E$6,IF(D178=E178,Inicio!$F$6,Inicio!$G$6)),""))</f>
        <v/>
      </c>
      <c r="I178" s="9" t="str">
        <f>IF(OR(C178="",F178=""),"",IF(AND(ISNUMBER(D178),ISNUMBER(E178)),IF(D178&lt;E178,Inicio!$E$6,IF(D178=E178,Inicio!$F$6,Inicio!$G$6)),""))</f>
        <v/>
      </c>
      <c r="J178" s="9">
        <f t="shared" si="15"/>
        <v>0</v>
      </c>
      <c r="K178" s="9">
        <f t="shared" si="16"/>
        <v>0</v>
      </c>
      <c r="L178" s="9">
        <f t="shared" si="17"/>
        <v>0</v>
      </c>
      <c r="M178" s="9">
        <f t="shared" si="18"/>
        <v>0</v>
      </c>
      <c r="N178" s="9">
        <f t="shared" si="19"/>
        <v>0</v>
      </c>
      <c r="O178" s="9">
        <f t="shared" si="20"/>
        <v>0</v>
      </c>
    </row>
    <row r="179" spans="1:15" x14ac:dyDescent="0.25">
      <c r="A179" s="9" t="str">
        <f>IF(OR(Calculos!$B$7=0,175&gt;Calculos!$B$7),"",INT((175-1)/Calculos!$B$6)+1)</f>
        <v/>
      </c>
      <c r="B179" s="10" t="str">
        <f>IF(A179="","",Inicio!$E$5+(A179-1)*Inicio!$B$6)</f>
        <v/>
      </c>
      <c r="C179" s="11" t="str">
        <f>IF(A179="","",INDEX(Calculos!$B$11:$B$28,IF(A179&gt;Calculos!$B$4,IF(MOD(IF(A179&lt;=Calculos!$B$4,A179,A179-Calculos!$B$4)+MOD(175-1,Calculos!$B$6)+1,2)=0,INDEX(Calculos!$B$36:$S$52,IF(A179&lt;=Calculos!$B$4,A179,A179-Calculos!$B$4),MOD(175-1,Calculos!$B$6)+1),INDEX(Calculos!$B$36:$S$52,IF(A179&lt;=Calculos!$B$4,A179,A179-Calculos!$B$4),Calculos!$B$2+1-MOD(175-1,Calculos!$B$6)+1)),IF(MOD(IF(A179&lt;=Calculos!$B$4,A179,A179-Calculos!$B$4)+MOD(175-1,Calculos!$B$6)+1,2)=0,INDEX(Calculos!$B$36:$S$52,IF(A179&lt;=Calculos!$B$4,A179,A179-Calculos!$B$4),Calculos!$B$2+1-MOD(175-1,Calculos!$B$6)+1),INDEX(Calculos!$B$36:$S$52,IF(A179&lt;=Calculos!$B$4,A179,A179-Calculos!$B$4),MOD(175-1,Calculos!$B$6)+1)))))</f>
        <v/>
      </c>
      <c r="D179" s="4"/>
      <c r="E179" s="4"/>
      <c r="F179" s="11" t="str">
        <f>IF(A179="","",INDEX(Calculos!$B$11:$B$28,IF(A179&gt;Calculos!$B$4,IF(MOD(IF(A179&lt;=Calculos!$B$4,A179,A179-Calculos!$B$4)+MOD(175-1,Calculos!$B$6)+1,2)=0,INDEX(Calculos!$B$36:$S$52,IF(A179&lt;=Calculos!$B$4,A179,A179-Calculos!$B$4),Calculos!$B$2+1-MOD(175-1,Calculos!$B$6)+1),INDEX(Calculos!$B$36:$S$52,IF(A179&lt;=Calculos!$B$4,A179,A179-Calculos!$B$4),MOD(175-1,Calculos!$B$6)+1)),IF(MOD(IF(A179&lt;=Calculos!$B$4,A179,A179-Calculos!$B$4)+MOD(175-1,Calculos!$B$6)+1,2)=0,INDEX(Calculos!$B$36:$S$52,IF(A179&lt;=Calculos!$B$4,A179,A179-Calculos!$B$4),MOD(175-1,Calculos!$B$6)+1),INDEX(Calculos!$B$36:$S$52,IF(A179&lt;=Calculos!$B$4,A179,A179-Calculos!$B$4),Calculos!$B$2+1-MOD(175-1,Calculos!$B$6)+1)))))</f>
        <v/>
      </c>
      <c r="G179" s="9" t="str">
        <f t="shared" si="14"/>
        <v/>
      </c>
      <c r="H179" s="9" t="str">
        <f>IF(OR(C179="",F179=""),"",IF(AND(ISNUMBER(D179),ISNUMBER(E179)),IF(D179&gt;E179,Inicio!$E$6,IF(D179=E179,Inicio!$F$6,Inicio!$G$6)),""))</f>
        <v/>
      </c>
      <c r="I179" s="9" t="str">
        <f>IF(OR(C179="",F179=""),"",IF(AND(ISNUMBER(D179),ISNUMBER(E179)),IF(D179&lt;E179,Inicio!$E$6,IF(D179=E179,Inicio!$F$6,Inicio!$G$6)),""))</f>
        <v/>
      </c>
      <c r="J179" s="9">
        <f t="shared" si="15"/>
        <v>0</v>
      </c>
      <c r="K179" s="9">
        <f t="shared" si="16"/>
        <v>0</v>
      </c>
      <c r="L179" s="9">
        <f t="shared" si="17"/>
        <v>0</v>
      </c>
      <c r="M179" s="9">
        <f t="shared" si="18"/>
        <v>0</v>
      </c>
      <c r="N179" s="9">
        <f t="shared" si="19"/>
        <v>0</v>
      </c>
      <c r="O179" s="9">
        <f t="shared" si="20"/>
        <v>0</v>
      </c>
    </row>
    <row r="180" spans="1:15" x14ac:dyDescent="0.25">
      <c r="A180" s="9" t="str">
        <f>IF(OR(Calculos!$B$7=0,176&gt;Calculos!$B$7),"",INT((176-1)/Calculos!$B$6)+1)</f>
        <v/>
      </c>
      <c r="B180" s="10" t="str">
        <f>IF(A180="","",Inicio!$E$5+(A180-1)*Inicio!$B$6)</f>
        <v/>
      </c>
      <c r="C180" s="11" t="str">
        <f>IF(A180="","",INDEX(Calculos!$B$11:$B$28,IF(A180&gt;Calculos!$B$4,IF(MOD(IF(A180&lt;=Calculos!$B$4,A180,A180-Calculos!$B$4)+MOD(176-1,Calculos!$B$6)+1,2)=0,INDEX(Calculos!$B$36:$S$52,IF(A180&lt;=Calculos!$B$4,A180,A180-Calculos!$B$4),MOD(176-1,Calculos!$B$6)+1),INDEX(Calculos!$B$36:$S$52,IF(A180&lt;=Calculos!$B$4,A180,A180-Calculos!$B$4),Calculos!$B$2+1-MOD(176-1,Calculos!$B$6)+1)),IF(MOD(IF(A180&lt;=Calculos!$B$4,A180,A180-Calculos!$B$4)+MOD(176-1,Calculos!$B$6)+1,2)=0,INDEX(Calculos!$B$36:$S$52,IF(A180&lt;=Calculos!$B$4,A180,A180-Calculos!$B$4),Calculos!$B$2+1-MOD(176-1,Calculos!$B$6)+1),INDEX(Calculos!$B$36:$S$52,IF(A180&lt;=Calculos!$B$4,A180,A180-Calculos!$B$4),MOD(176-1,Calculos!$B$6)+1)))))</f>
        <v/>
      </c>
      <c r="D180" s="4"/>
      <c r="E180" s="4"/>
      <c r="F180" s="11" t="str">
        <f>IF(A180="","",INDEX(Calculos!$B$11:$B$28,IF(A180&gt;Calculos!$B$4,IF(MOD(IF(A180&lt;=Calculos!$B$4,A180,A180-Calculos!$B$4)+MOD(176-1,Calculos!$B$6)+1,2)=0,INDEX(Calculos!$B$36:$S$52,IF(A180&lt;=Calculos!$B$4,A180,A180-Calculos!$B$4),Calculos!$B$2+1-MOD(176-1,Calculos!$B$6)+1),INDEX(Calculos!$B$36:$S$52,IF(A180&lt;=Calculos!$B$4,A180,A180-Calculos!$B$4),MOD(176-1,Calculos!$B$6)+1)),IF(MOD(IF(A180&lt;=Calculos!$B$4,A180,A180-Calculos!$B$4)+MOD(176-1,Calculos!$B$6)+1,2)=0,INDEX(Calculos!$B$36:$S$52,IF(A180&lt;=Calculos!$B$4,A180,A180-Calculos!$B$4),MOD(176-1,Calculos!$B$6)+1),INDEX(Calculos!$B$36:$S$52,IF(A180&lt;=Calculos!$B$4,A180,A180-Calculos!$B$4),Calculos!$B$2+1-MOD(176-1,Calculos!$B$6)+1)))))</f>
        <v/>
      </c>
      <c r="G180" s="9" t="str">
        <f t="shared" si="14"/>
        <v/>
      </c>
      <c r="H180" s="9" t="str">
        <f>IF(OR(C180="",F180=""),"",IF(AND(ISNUMBER(D180),ISNUMBER(E180)),IF(D180&gt;E180,Inicio!$E$6,IF(D180=E180,Inicio!$F$6,Inicio!$G$6)),""))</f>
        <v/>
      </c>
      <c r="I180" s="9" t="str">
        <f>IF(OR(C180="",F180=""),"",IF(AND(ISNUMBER(D180),ISNUMBER(E180)),IF(D180&lt;E180,Inicio!$E$6,IF(D180=E180,Inicio!$F$6,Inicio!$G$6)),""))</f>
        <v/>
      </c>
      <c r="J180" s="9">
        <f t="shared" si="15"/>
        <v>0</v>
      </c>
      <c r="K180" s="9">
        <f t="shared" si="16"/>
        <v>0</v>
      </c>
      <c r="L180" s="9">
        <f t="shared" si="17"/>
        <v>0</v>
      </c>
      <c r="M180" s="9">
        <f t="shared" si="18"/>
        <v>0</v>
      </c>
      <c r="N180" s="9">
        <f t="shared" si="19"/>
        <v>0</v>
      </c>
      <c r="O180" s="9">
        <f t="shared" si="20"/>
        <v>0</v>
      </c>
    </row>
    <row r="181" spans="1:15" x14ac:dyDescent="0.25">
      <c r="A181" s="9" t="str">
        <f>IF(OR(Calculos!$B$7=0,177&gt;Calculos!$B$7),"",INT((177-1)/Calculos!$B$6)+1)</f>
        <v/>
      </c>
      <c r="B181" s="10" t="str">
        <f>IF(A181="","",Inicio!$E$5+(A181-1)*Inicio!$B$6)</f>
        <v/>
      </c>
      <c r="C181" s="11" t="str">
        <f>IF(A181="","",INDEX(Calculos!$B$11:$B$28,IF(A181&gt;Calculos!$B$4,IF(MOD(IF(A181&lt;=Calculos!$B$4,A181,A181-Calculos!$B$4)+MOD(177-1,Calculos!$B$6)+1,2)=0,INDEX(Calculos!$B$36:$S$52,IF(A181&lt;=Calculos!$B$4,A181,A181-Calculos!$B$4),MOD(177-1,Calculos!$B$6)+1),INDEX(Calculos!$B$36:$S$52,IF(A181&lt;=Calculos!$B$4,A181,A181-Calculos!$B$4),Calculos!$B$2+1-MOD(177-1,Calculos!$B$6)+1)),IF(MOD(IF(A181&lt;=Calculos!$B$4,A181,A181-Calculos!$B$4)+MOD(177-1,Calculos!$B$6)+1,2)=0,INDEX(Calculos!$B$36:$S$52,IF(A181&lt;=Calculos!$B$4,A181,A181-Calculos!$B$4),Calculos!$B$2+1-MOD(177-1,Calculos!$B$6)+1),INDEX(Calculos!$B$36:$S$52,IF(A181&lt;=Calculos!$B$4,A181,A181-Calculos!$B$4),MOD(177-1,Calculos!$B$6)+1)))))</f>
        <v/>
      </c>
      <c r="D181" s="4"/>
      <c r="E181" s="4"/>
      <c r="F181" s="11" t="str">
        <f>IF(A181="","",INDEX(Calculos!$B$11:$B$28,IF(A181&gt;Calculos!$B$4,IF(MOD(IF(A181&lt;=Calculos!$B$4,A181,A181-Calculos!$B$4)+MOD(177-1,Calculos!$B$6)+1,2)=0,INDEX(Calculos!$B$36:$S$52,IF(A181&lt;=Calculos!$B$4,A181,A181-Calculos!$B$4),Calculos!$B$2+1-MOD(177-1,Calculos!$B$6)+1),INDEX(Calculos!$B$36:$S$52,IF(A181&lt;=Calculos!$B$4,A181,A181-Calculos!$B$4),MOD(177-1,Calculos!$B$6)+1)),IF(MOD(IF(A181&lt;=Calculos!$B$4,A181,A181-Calculos!$B$4)+MOD(177-1,Calculos!$B$6)+1,2)=0,INDEX(Calculos!$B$36:$S$52,IF(A181&lt;=Calculos!$B$4,A181,A181-Calculos!$B$4),MOD(177-1,Calculos!$B$6)+1),INDEX(Calculos!$B$36:$S$52,IF(A181&lt;=Calculos!$B$4,A181,A181-Calculos!$B$4),Calculos!$B$2+1-MOD(177-1,Calculos!$B$6)+1)))))</f>
        <v/>
      </c>
      <c r="G181" s="9" t="str">
        <f t="shared" si="14"/>
        <v/>
      </c>
      <c r="H181" s="9" t="str">
        <f>IF(OR(C181="",F181=""),"",IF(AND(ISNUMBER(D181),ISNUMBER(E181)),IF(D181&gt;E181,Inicio!$E$6,IF(D181=E181,Inicio!$F$6,Inicio!$G$6)),""))</f>
        <v/>
      </c>
      <c r="I181" s="9" t="str">
        <f>IF(OR(C181="",F181=""),"",IF(AND(ISNUMBER(D181),ISNUMBER(E181)),IF(D181&lt;E181,Inicio!$E$6,IF(D181=E181,Inicio!$F$6,Inicio!$G$6)),""))</f>
        <v/>
      </c>
      <c r="J181" s="9">
        <f t="shared" si="15"/>
        <v>0</v>
      </c>
      <c r="K181" s="9">
        <f t="shared" si="16"/>
        <v>0</v>
      </c>
      <c r="L181" s="9">
        <f t="shared" si="17"/>
        <v>0</v>
      </c>
      <c r="M181" s="9">
        <f t="shared" si="18"/>
        <v>0</v>
      </c>
      <c r="N181" s="9">
        <f t="shared" si="19"/>
        <v>0</v>
      </c>
      <c r="O181" s="9">
        <f t="shared" si="20"/>
        <v>0</v>
      </c>
    </row>
    <row r="182" spans="1:15" x14ac:dyDescent="0.25">
      <c r="A182" s="9" t="str">
        <f>IF(OR(Calculos!$B$7=0,178&gt;Calculos!$B$7),"",INT((178-1)/Calculos!$B$6)+1)</f>
        <v/>
      </c>
      <c r="B182" s="10" t="str">
        <f>IF(A182="","",Inicio!$E$5+(A182-1)*Inicio!$B$6)</f>
        <v/>
      </c>
      <c r="C182" s="11" t="str">
        <f>IF(A182="","",INDEX(Calculos!$B$11:$B$28,IF(A182&gt;Calculos!$B$4,IF(MOD(IF(A182&lt;=Calculos!$B$4,A182,A182-Calculos!$B$4)+MOD(178-1,Calculos!$B$6)+1,2)=0,INDEX(Calculos!$B$36:$S$52,IF(A182&lt;=Calculos!$B$4,A182,A182-Calculos!$B$4),MOD(178-1,Calculos!$B$6)+1),INDEX(Calculos!$B$36:$S$52,IF(A182&lt;=Calculos!$B$4,A182,A182-Calculos!$B$4),Calculos!$B$2+1-MOD(178-1,Calculos!$B$6)+1)),IF(MOD(IF(A182&lt;=Calculos!$B$4,A182,A182-Calculos!$B$4)+MOD(178-1,Calculos!$B$6)+1,2)=0,INDEX(Calculos!$B$36:$S$52,IF(A182&lt;=Calculos!$B$4,A182,A182-Calculos!$B$4),Calculos!$B$2+1-MOD(178-1,Calculos!$B$6)+1),INDEX(Calculos!$B$36:$S$52,IF(A182&lt;=Calculos!$B$4,A182,A182-Calculos!$B$4),MOD(178-1,Calculos!$B$6)+1)))))</f>
        <v/>
      </c>
      <c r="D182" s="4"/>
      <c r="E182" s="4"/>
      <c r="F182" s="11" t="str">
        <f>IF(A182="","",INDEX(Calculos!$B$11:$B$28,IF(A182&gt;Calculos!$B$4,IF(MOD(IF(A182&lt;=Calculos!$B$4,A182,A182-Calculos!$B$4)+MOD(178-1,Calculos!$B$6)+1,2)=0,INDEX(Calculos!$B$36:$S$52,IF(A182&lt;=Calculos!$B$4,A182,A182-Calculos!$B$4),Calculos!$B$2+1-MOD(178-1,Calculos!$B$6)+1),INDEX(Calculos!$B$36:$S$52,IF(A182&lt;=Calculos!$B$4,A182,A182-Calculos!$B$4),MOD(178-1,Calculos!$B$6)+1)),IF(MOD(IF(A182&lt;=Calculos!$B$4,A182,A182-Calculos!$B$4)+MOD(178-1,Calculos!$B$6)+1,2)=0,INDEX(Calculos!$B$36:$S$52,IF(A182&lt;=Calculos!$B$4,A182,A182-Calculos!$B$4),MOD(178-1,Calculos!$B$6)+1),INDEX(Calculos!$B$36:$S$52,IF(A182&lt;=Calculos!$B$4,A182,A182-Calculos!$B$4),Calculos!$B$2+1-MOD(178-1,Calculos!$B$6)+1)))))</f>
        <v/>
      </c>
      <c r="G182" s="9" t="str">
        <f t="shared" si="14"/>
        <v/>
      </c>
      <c r="H182" s="9" t="str">
        <f>IF(OR(C182="",F182=""),"",IF(AND(ISNUMBER(D182),ISNUMBER(E182)),IF(D182&gt;E182,Inicio!$E$6,IF(D182=E182,Inicio!$F$6,Inicio!$G$6)),""))</f>
        <v/>
      </c>
      <c r="I182" s="9" t="str">
        <f>IF(OR(C182="",F182=""),"",IF(AND(ISNUMBER(D182),ISNUMBER(E182)),IF(D182&lt;E182,Inicio!$E$6,IF(D182=E182,Inicio!$F$6,Inicio!$G$6)),""))</f>
        <v/>
      </c>
      <c r="J182" s="9">
        <f t="shared" si="15"/>
        <v>0</v>
      </c>
      <c r="K182" s="9">
        <f t="shared" si="16"/>
        <v>0</v>
      </c>
      <c r="L182" s="9">
        <f t="shared" si="17"/>
        <v>0</v>
      </c>
      <c r="M182" s="9">
        <f t="shared" si="18"/>
        <v>0</v>
      </c>
      <c r="N182" s="9">
        <f t="shared" si="19"/>
        <v>0</v>
      </c>
      <c r="O182" s="9">
        <f t="shared" si="20"/>
        <v>0</v>
      </c>
    </row>
    <row r="183" spans="1:15" x14ac:dyDescent="0.25">
      <c r="A183" s="9" t="str">
        <f>IF(OR(Calculos!$B$7=0,179&gt;Calculos!$B$7),"",INT((179-1)/Calculos!$B$6)+1)</f>
        <v/>
      </c>
      <c r="B183" s="10" t="str">
        <f>IF(A183="","",Inicio!$E$5+(A183-1)*Inicio!$B$6)</f>
        <v/>
      </c>
      <c r="C183" s="11" t="str">
        <f>IF(A183="","",INDEX(Calculos!$B$11:$B$28,IF(A183&gt;Calculos!$B$4,IF(MOD(IF(A183&lt;=Calculos!$B$4,A183,A183-Calculos!$B$4)+MOD(179-1,Calculos!$B$6)+1,2)=0,INDEX(Calculos!$B$36:$S$52,IF(A183&lt;=Calculos!$B$4,A183,A183-Calculos!$B$4),MOD(179-1,Calculos!$B$6)+1),INDEX(Calculos!$B$36:$S$52,IF(A183&lt;=Calculos!$B$4,A183,A183-Calculos!$B$4),Calculos!$B$2+1-MOD(179-1,Calculos!$B$6)+1)),IF(MOD(IF(A183&lt;=Calculos!$B$4,A183,A183-Calculos!$B$4)+MOD(179-1,Calculos!$B$6)+1,2)=0,INDEX(Calculos!$B$36:$S$52,IF(A183&lt;=Calculos!$B$4,A183,A183-Calculos!$B$4),Calculos!$B$2+1-MOD(179-1,Calculos!$B$6)+1),INDEX(Calculos!$B$36:$S$52,IF(A183&lt;=Calculos!$B$4,A183,A183-Calculos!$B$4),MOD(179-1,Calculos!$B$6)+1)))))</f>
        <v/>
      </c>
      <c r="D183" s="4"/>
      <c r="E183" s="4"/>
      <c r="F183" s="11" t="str">
        <f>IF(A183="","",INDEX(Calculos!$B$11:$B$28,IF(A183&gt;Calculos!$B$4,IF(MOD(IF(A183&lt;=Calculos!$B$4,A183,A183-Calculos!$B$4)+MOD(179-1,Calculos!$B$6)+1,2)=0,INDEX(Calculos!$B$36:$S$52,IF(A183&lt;=Calculos!$B$4,A183,A183-Calculos!$B$4),Calculos!$B$2+1-MOD(179-1,Calculos!$B$6)+1),INDEX(Calculos!$B$36:$S$52,IF(A183&lt;=Calculos!$B$4,A183,A183-Calculos!$B$4),MOD(179-1,Calculos!$B$6)+1)),IF(MOD(IF(A183&lt;=Calculos!$B$4,A183,A183-Calculos!$B$4)+MOD(179-1,Calculos!$B$6)+1,2)=0,INDEX(Calculos!$B$36:$S$52,IF(A183&lt;=Calculos!$B$4,A183,A183-Calculos!$B$4),MOD(179-1,Calculos!$B$6)+1),INDEX(Calculos!$B$36:$S$52,IF(A183&lt;=Calculos!$B$4,A183,A183-Calculos!$B$4),Calculos!$B$2+1-MOD(179-1,Calculos!$B$6)+1)))))</f>
        <v/>
      </c>
      <c r="G183" s="9" t="str">
        <f t="shared" si="14"/>
        <v/>
      </c>
      <c r="H183" s="9" t="str">
        <f>IF(OR(C183="",F183=""),"",IF(AND(ISNUMBER(D183),ISNUMBER(E183)),IF(D183&gt;E183,Inicio!$E$6,IF(D183=E183,Inicio!$F$6,Inicio!$G$6)),""))</f>
        <v/>
      </c>
      <c r="I183" s="9" t="str">
        <f>IF(OR(C183="",F183=""),"",IF(AND(ISNUMBER(D183),ISNUMBER(E183)),IF(D183&lt;E183,Inicio!$E$6,IF(D183=E183,Inicio!$F$6,Inicio!$G$6)),""))</f>
        <v/>
      </c>
      <c r="J183" s="9">
        <f t="shared" si="15"/>
        <v>0</v>
      </c>
      <c r="K183" s="9">
        <f t="shared" si="16"/>
        <v>0</v>
      </c>
      <c r="L183" s="9">
        <f t="shared" si="17"/>
        <v>0</v>
      </c>
      <c r="M183" s="9">
        <f t="shared" si="18"/>
        <v>0</v>
      </c>
      <c r="N183" s="9">
        <f t="shared" si="19"/>
        <v>0</v>
      </c>
      <c r="O183" s="9">
        <f t="shared" si="20"/>
        <v>0</v>
      </c>
    </row>
    <row r="184" spans="1:15" x14ac:dyDescent="0.25">
      <c r="A184" s="9" t="str">
        <f>IF(OR(Calculos!$B$7=0,180&gt;Calculos!$B$7),"",INT((180-1)/Calculos!$B$6)+1)</f>
        <v/>
      </c>
      <c r="B184" s="10" t="str">
        <f>IF(A184="","",Inicio!$E$5+(A184-1)*Inicio!$B$6)</f>
        <v/>
      </c>
      <c r="C184" s="11" t="str">
        <f>IF(A184="","",INDEX(Calculos!$B$11:$B$28,IF(A184&gt;Calculos!$B$4,IF(MOD(IF(A184&lt;=Calculos!$B$4,A184,A184-Calculos!$B$4)+MOD(180-1,Calculos!$B$6)+1,2)=0,INDEX(Calculos!$B$36:$S$52,IF(A184&lt;=Calculos!$B$4,A184,A184-Calculos!$B$4),MOD(180-1,Calculos!$B$6)+1),INDEX(Calculos!$B$36:$S$52,IF(A184&lt;=Calculos!$B$4,A184,A184-Calculos!$B$4),Calculos!$B$2+1-MOD(180-1,Calculos!$B$6)+1)),IF(MOD(IF(A184&lt;=Calculos!$B$4,A184,A184-Calculos!$B$4)+MOD(180-1,Calculos!$B$6)+1,2)=0,INDEX(Calculos!$B$36:$S$52,IF(A184&lt;=Calculos!$B$4,A184,A184-Calculos!$B$4),Calculos!$B$2+1-MOD(180-1,Calculos!$B$6)+1),INDEX(Calculos!$B$36:$S$52,IF(A184&lt;=Calculos!$B$4,A184,A184-Calculos!$B$4),MOD(180-1,Calculos!$B$6)+1)))))</f>
        <v/>
      </c>
      <c r="D184" s="4"/>
      <c r="E184" s="4"/>
      <c r="F184" s="11" t="str">
        <f>IF(A184="","",INDEX(Calculos!$B$11:$B$28,IF(A184&gt;Calculos!$B$4,IF(MOD(IF(A184&lt;=Calculos!$B$4,A184,A184-Calculos!$B$4)+MOD(180-1,Calculos!$B$6)+1,2)=0,INDEX(Calculos!$B$36:$S$52,IF(A184&lt;=Calculos!$B$4,A184,A184-Calculos!$B$4),Calculos!$B$2+1-MOD(180-1,Calculos!$B$6)+1),INDEX(Calculos!$B$36:$S$52,IF(A184&lt;=Calculos!$B$4,A184,A184-Calculos!$B$4),MOD(180-1,Calculos!$B$6)+1)),IF(MOD(IF(A184&lt;=Calculos!$B$4,A184,A184-Calculos!$B$4)+MOD(180-1,Calculos!$B$6)+1,2)=0,INDEX(Calculos!$B$36:$S$52,IF(A184&lt;=Calculos!$B$4,A184,A184-Calculos!$B$4),MOD(180-1,Calculos!$B$6)+1),INDEX(Calculos!$B$36:$S$52,IF(A184&lt;=Calculos!$B$4,A184,A184-Calculos!$B$4),Calculos!$B$2+1-MOD(180-1,Calculos!$B$6)+1)))))</f>
        <v/>
      </c>
      <c r="G184" s="9" t="str">
        <f t="shared" si="14"/>
        <v/>
      </c>
      <c r="H184" s="9" t="str">
        <f>IF(OR(C184="",F184=""),"",IF(AND(ISNUMBER(D184),ISNUMBER(E184)),IF(D184&gt;E184,Inicio!$E$6,IF(D184=E184,Inicio!$F$6,Inicio!$G$6)),""))</f>
        <v/>
      </c>
      <c r="I184" s="9" t="str">
        <f>IF(OR(C184="",F184=""),"",IF(AND(ISNUMBER(D184),ISNUMBER(E184)),IF(D184&lt;E184,Inicio!$E$6,IF(D184=E184,Inicio!$F$6,Inicio!$G$6)),""))</f>
        <v/>
      </c>
      <c r="J184" s="9">
        <f t="shared" si="15"/>
        <v>0</v>
      </c>
      <c r="K184" s="9">
        <f t="shared" si="16"/>
        <v>0</v>
      </c>
      <c r="L184" s="9">
        <f t="shared" si="17"/>
        <v>0</v>
      </c>
      <c r="M184" s="9">
        <f t="shared" si="18"/>
        <v>0</v>
      </c>
      <c r="N184" s="9">
        <f t="shared" si="19"/>
        <v>0</v>
      </c>
      <c r="O184" s="9">
        <f t="shared" si="20"/>
        <v>0</v>
      </c>
    </row>
    <row r="185" spans="1:15" x14ac:dyDescent="0.25">
      <c r="A185" s="9" t="str">
        <f>IF(OR(Calculos!$B$7=0,181&gt;Calculos!$B$7),"",INT((181-1)/Calculos!$B$6)+1)</f>
        <v/>
      </c>
      <c r="B185" s="10" t="str">
        <f>IF(A185="","",Inicio!$E$5+(A185-1)*Inicio!$B$6)</f>
        <v/>
      </c>
      <c r="C185" s="11" t="str">
        <f>IF(A185="","",INDEX(Calculos!$B$11:$B$28,IF(A185&gt;Calculos!$B$4,IF(MOD(IF(A185&lt;=Calculos!$B$4,A185,A185-Calculos!$B$4)+MOD(181-1,Calculos!$B$6)+1,2)=0,INDEX(Calculos!$B$36:$S$52,IF(A185&lt;=Calculos!$B$4,A185,A185-Calculos!$B$4),MOD(181-1,Calculos!$B$6)+1),INDEX(Calculos!$B$36:$S$52,IF(A185&lt;=Calculos!$B$4,A185,A185-Calculos!$B$4),Calculos!$B$2+1-MOD(181-1,Calculos!$B$6)+1)),IF(MOD(IF(A185&lt;=Calculos!$B$4,A185,A185-Calculos!$B$4)+MOD(181-1,Calculos!$B$6)+1,2)=0,INDEX(Calculos!$B$36:$S$52,IF(A185&lt;=Calculos!$B$4,A185,A185-Calculos!$B$4),Calculos!$B$2+1-MOD(181-1,Calculos!$B$6)+1),INDEX(Calculos!$B$36:$S$52,IF(A185&lt;=Calculos!$B$4,A185,A185-Calculos!$B$4),MOD(181-1,Calculos!$B$6)+1)))))</f>
        <v/>
      </c>
      <c r="D185" s="4"/>
      <c r="E185" s="4"/>
      <c r="F185" s="11" t="str">
        <f>IF(A185="","",INDEX(Calculos!$B$11:$B$28,IF(A185&gt;Calculos!$B$4,IF(MOD(IF(A185&lt;=Calculos!$B$4,A185,A185-Calculos!$B$4)+MOD(181-1,Calculos!$B$6)+1,2)=0,INDEX(Calculos!$B$36:$S$52,IF(A185&lt;=Calculos!$B$4,A185,A185-Calculos!$B$4),Calculos!$B$2+1-MOD(181-1,Calculos!$B$6)+1),INDEX(Calculos!$B$36:$S$52,IF(A185&lt;=Calculos!$B$4,A185,A185-Calculos!$B$4),MOD(181-1,Calculos!$B$6)+1)),IF(MOD(IF(A185&lt;=Calculos!$B$4,A185,A185-Calculos!$B$4)+MOD(181-1,Calculos!$B$6)+1,2)=0,INDEX(Calculos!$B$36:$S$52,IF(A185&lt;=Calculos!$B$4,A185,A185-Calculos!$B$4),MOD(181-1,Calculos!$B$6)+1),INDEX(Calculos!$B$36:$S$52,IF(A185&lt;=Calculos!$B$4,A185,A185-Calculos!$B$4),Calculos!$B$2+1-MOD(181-1,Calculos!$B$6)+1)))))</f>
        <v/>
      </c>
      <c r="G185" s="9" t="str">
        <f t="shared" si="14"/>
        <v/>
      </c>
      <c r="H185" s="9" t="str">
        <f>IF(OR(C185="",F185=""),"",IF(AND(ISNUMBER(D185),ISNUMBER(E185)),IF(D185&gt;E185,Inicio!$E$6,IF(D185=E185,Inicio!$F$6,Inicio!$G$6)),""))</f>
        <v/>
      </c>
      <c r="I185" s="9" t="str">
        <f>IF(OR(C185="",F185=""),"",IF(AND(ISNUMBER(D185),ISNUMBER(E185)),IF(D185&lt;E185,Inicio!$E$6,IF(D185=E185,Inicio!$F$6,Inicio!$G$6)),""))</f>
        <v/>
      </c>
      <c r="J185" s="9">
        <f t="shared" si="15"/>
        <v>0</v>
      </c>
      <c r="K185" s="9">
        <f t="shared" si="16"/>
        <v>0</v>
      </c>
      <c r="L185" s="9">
        <f t="shared" si="17"/>
        <v>0</v>
      </c>
      <c r="M185" s="9">
        <f t="shared" si="18"/>
        <v>0</v>
      </c>
      <c r="N185" s="9">
        <f t="shared" si="19"/>
        <v>0</v>
      </c>
      <c r="O185" s="9">
        <f t="shared" si="20"/>
        <v>0</v>
      </c>
    </row>
    <row r="186" spans="1:15" x14ac:dyDescent="0.25">
      <c r="A186" s="9" t="str">
        <f>IF(OR(Calculos!$B$7=0,182&gt;Calculos!$B$7),"",INT((182-1)/Calculos!$B$6)+1)</f>
        <v/>
      </c>
      <c r="B186" s="10" t="str">
        <f>IF(A186="","",Inicio!$E$5+(A186-1)*Inicio!$B$6)</f>
        <v/>
      </c>
      <c r="C186" s="11" t="str">
        <f>IF(A186="","",INDEX(Calculos!$B$11:$B$28,IF(A186&gt;Calculos!$B$4,IF(MOD(IF(A186&lt;=Calculos!$B$4,A186,A186-Calculos!$B$4)+MOD(182-1,Calculos!$B$6)+1,2)=0,INDEX(Calculos!$B$36:$S$52,IF(A186&lt;=Calculos!$B$4,A186,A186-Calculos!$B$4),MOD(182-1,Calculos!$B$6)+1),INDEX(Calculos!$B$36:$S$52,IF(A186&lt;=Calculos!$B$4,A186,A186-Calculos!$B$4),Calculos!$B$2+1-MOD(182-1,Calculos!$B$6)+1)),IF(MOD(IF(A186&lt;=Calculos!$B$4,A186,A186-Calculos!$B$4)+MOD(182-1,Calculos!$B$6)+1,2)=0,INDEX(Calculos!$B$36:$S$52,IF(A186&lt;=Calculos!$B$4,A186,A186-Calculos!$B$4),Calculos!$B$2+1-MOD(182-1,Calculos!$B$6)+1),INDEX(Calculos!$B$36:$S$52,IF(A186&lt;=Calculos!$B$4,A186,A186-Calculos!$B$4),MOD(182-1,Calculos!$B$6)+1)))))</f>
        <v/>
      </c>
      <c r="D186" s="4"/>
      <c r="E186" s="4"/>
      <c r="F186" s="11" t="str">
        <f>IF(A186="","",INDEX(Calculos!$B$11:$B$28,IF(A186&gt;Calculos!$B$4,IF(MOD(IF(A186&lt;=Calculos!$B$4,A186,A186-Calculos!$B$4)+MOD(182-1,Calculos!$B$6)+1,2)=0,INDEX(Calculos!$B$36:$S$52,IF(A186&lt;=Calculos!$B$4,A186,A186-Calculos!$B$4),Calculos!$B$2+1-MOD(182-1,Calculos!$B$6)+1),INDEX(Calculos!$B$36:$S$52,IF(A186&lt;=Calculos!$B$4,A186,A186-Calculos!$B$4),MOD(182-1,Calculos!$B$6)+1)),IF(MOD(IF(A186&lt;=Calculos!$B$4,A186,A186-Calculos!$B$4)+MOD(182-1,Calculos!$B$6)+1,2)=0,INDEX(Calculos!$B$36:$S$52,IF(A186&lt;=Calculos!$B$4,A186,A186-Calculos!$B$4),MOD(182-1,Calculos!$B$6)+1),INDEX(Calculos!$B$36:$S$52,IF(A186&lt;=Calculos!$B$4,A186,A186-Calculos!$B$4),Calculos!$B$2+1-MOD(182-1,Calculos!$B$6)+1)))))</f>
        <v/>
      </c>
      <c r="G186" s="9" t="str">
        <f t="shared" si="14"/>
        <v/>
      </c>
      <c r="H186" s="9" t="str">
        <f>IF(OR(C186="",F186=""),"",IF(AND(ISNUMBER(D186),ISNUMBER(E186)),IF(D186&gt;E186,Inicio!$E$6,IF(D186=E186,Inicio!$F$6,Inicio!$G$6)),""))</f>
        <v/>
      </c>
      <c r="I186" s="9" t="str">
        <f>IF(OR(C186="",F186=""),"",IF(AND(ISNUMBER(D186),ISNUMBER(E186)),IF(D186&lt;E186,Inicio!$E$6,IF(D186=E186,Inicio!$F$6,Inicio!$G$6)),""))</f>
        <v/>
      </c>
      <c r="J186" s="9">
        <f t="shared" si="15"/>
        <v>0</v>
      </c>
      <c r="K186" s="9">
        <f t="shared" si="16"/>
        <v>0</v>
      </c>
      <c r="L186" s="9">
        <f t="shared" si="17"/>
        <v>0</v>
      </c>
      <c r="M186" s="9">
        <f t="shared" si="18"/>
        <v>0</v>
      </c>
      <c r="N186" s="9">
        <f t="shared" si="19"/>
        <v>0</v>
      </c>
      <c r="O186" s="9">
        <f t="shared" si="20"/>
        <v>0</v>
      </c>
    </row>
    <row r="187" spans="1:15" x14ac:dyDescent="0.25">
      <c r="A187" s="9" t="str">
        <f>IF(OR(Calculos!$B$7=0,183&gt;Calculos!$B$7),"",INT((183-1)/Calculos!$B$6)+1)</f>
        <v/>
      </c>
      <c r="B187" s="10" t="str">
        <f>IF(A187="","",Inicio!$E$5+(A187-1)*Inicio!$B$6)</f>
        <v/>
      </c>
      <c r="C187" s="11" t="str">
        <f>IF(A187="","",INDEX(Calculos!$B$11:$B$28,IF(A187&gt;Calculos!$B$4,IF(MOD(IF(A187&lt;=Calculos!$B$4,A187,A187-Calculos!$B$4)+MOD(183-1,Calculos!$B$6)+1,2)=0,INDEX(Calculos!$B$36:$S$52,IF(A187&lt;=Calculos!$B$4,A187,A187-Calculos!$B$4),MOD(183-1,Calculos!$B$6)+1),INDEX(Calculos!$B$36:$S$52,IF(A187&lt;=Calculos!$B$4,A187,A187-Calculos!$B$4),Calculos!$B$2+1-MOD(183-1,Calculos!$B$6)+1)),IF(MOD(IF(A187&lt;=Calculos!$B$4,A187,A187-Calculos!$B$4)+MOD(183-1,Calculos!$B$6)+1,2)=0,INDEX(Calculos!$B$36:$S$52,IF(A187&lt;=Calculos!$B$4,A187,A187-Calculos!$B$4),Calculos!$B$2+1-MOD(183-1,Calculos!$B$6)+1),INDEX(Calculos!$B$36:$S$52,IF(A187&lt;=Calculos!$B$4,A187,A187-Calculos!$B$4),MOD(183-1,Calculos!$B$6)+1)))))</f>
        <v/>
      </c>
      <c r="D187" s="4"/>
      <c r="E187" s="4"/>
      <c r="F187" s="11" t="str">
        <f>IF(A187="","",INDEX(Calculos!$B$11:$B$28,IF(A187&gt;Calculos!$B$4,IF(MOD(IF(A187&lt;=Calculos!$B$4,A187,A187-Calculos!$B$4)+MOD(183-1,Calculos!$B$6)+1,2)=0,INDEX(Calculos!$B$36:$S$52,IF(A187&lt;=Calculos!$B$4,A187,A187-Calculos!$B$4),Calculos!$B$2+1-MOD(183-1,Calculos!$B$6)+1),INDEX(Calculos!$B$36:$S$52,IF(A187&lt;=Calculos!$B$4,A187,A187-Calculos!$B$4),MOD(183-1,Calculos!$B$6)+1)),IF(MOD(IF(A187&lt;=Calculos!$B$4,A187,A187-Calculos!$B$4)+MOD(183-1,Calculos!$B$6)+1,2)=0,INDEX(Calculos!$B$36:$S$52,IF(A187&lt;=Calculos!$B$4,A187,A187-Calculos!$B$4),MOD(183-1,Calculos!$B$6)+1),INDEX(Calculos!$B$36:$S$52,IF(A187&lt;=Calculos!$B$4,A187,A187-Calculos!$B$4),Calculos!$B$2+1-MOD(183-1,Calculos!$B$6)+1)))))</f>
        <v/>
      </c>
      <c r="G187" s="9" t="str">
        <f t="shared" si="14"/>
        <v/>
      </c>
      <c r="H187" s="9" t="str">
        <f>IF(OR(C187="",F187=""),"",IF(AND(ISNUMBER(D187),ISNUMBER(E187)),IF(D187&gt;E187,Inicio!$E$6,IF(D187=E187,Inicio!$F$6,Inicio!$G$6)),""))</f>
        <v/>
      </c>
      <c r="I187" s="9" t="str">
        <f>IF(OR(C187="",F187=""),"",IF(AND(ISNUMBER(D187),ISNUMBER(E187)),IF(D187&lt;E187,Inicio!$E$6,IF(D187=E187,Inicio!$F$6,Inicio!$G$6)),""))</f>
        <v/>
      </c>
      <c r="J187" s="9">
        <f t="shared" si="15"/>
        <v>0</v>
      </c>
      <c r="K187" s="9">
        <f t="shared" si="16"/>
        <v>0</v>
      </c>
      <c r="L187" s="9">
        <f t="shared" si="17"/>
        <v>0</v>
      </c>
      <c r="M187" s="9">
        <f t="shared" si="18"/>
        <v>0</v>
      </c>
      <c r="N187" s="9">
        <f t="shared" si="19"/>
        <v>0</v>
      </c>
      <c r="O187" s="9">
        <f t="shared" si="20"/>
        <v>0</v>
      </c>
    </row>
    <row r="188" spans="1:15" x14ac:dyDescent="0.25">
      <c r="A188" s="9" t="str">
        <f>IF(OR(Calculos!$B$7=0,184&gt;Calculos!$B$7),"",INT((184-1)/Calculos!$B$6)+1)</f>
        <v/>
      </c>
      <c r="B188" s="10" t="str">
        <f>IF(A188="","",Inicio!$E$5+(A188-1)*Inicio!$B$6)</f>
        <v/>
      </c>
      <c r="C188" s="11" t="str">
        <f>IF(A188="","",INDEX(Calculos!$B$11:$B$28,IF(A188&gt;Calculos!$B$4,IF(MOD(IF(A188&lt;=Calculos!$B$4,A188,A188-Calculos!$B$4)+MOD(184-1,Calculos!$B$6)+1,2)=0,INDEX(Calculos!$B$36:$S$52,IF(A188&lt;=Calculos!$B$4,A188,A188-Calculos!$B$4),MOD(184-1,Calculos!$B$6)+1),INDEX(Calculos!$B$36:$S$52,IF(A188&lt;=Calculos!$B$4,A188,A188-Calculos!$B$4),Calculos!$B$2+1-MOD(184-1,Calculos!$B$6)+1)),IF(MOD(IF(A188&lt;=Calculos!$B$4,A188,A188-Calculos!$B$4)+MOD(184-1,Calculos!$B$6)+1,2)=0,INDEX(Calculos!$B$36:$S$52,IF(A188&lt;=Calculos!$B$4,A188,A188-Calculos!$B$4),Calculos!$B$2+1-MOD(184-1,Calculos!$B$6)+1),INDEX(Calculos!$B$36:$S$52,IF(A188&lt;=Calculos!$B$4,A188,A188-Calculos!$B$4),MOD(184-1,Calculos!$B$6)+1)))))</f>
        <v/>
      </c>
      <c r="D188" s="4"/>
      <c r="E188" s="4"/>
      <c r="F188" s="11" t="str">
        <f>IF(A188="","",INDEX(Calculos!$B$11:$B$28,IF(A188&gt;Calculos!$B$4,IF(MOD(IF(A188&lt;=Calculos!$B$4,A188,A188-Calculos!$B$4)+MOD(184-1,Calculos!$B$6)+1,2)=0,INDEX(Calculos!$B$36:$S$52,IF(A188&lt;=Calculos!$B$4,A188,A188-Calculos!$B$4),Calculos!$B$2+1-MOD(184-1,Calculos!$B$6)+1),INDEX(Calculos!$B$36:$S$52,IF(A188&lt;=Calculos!$B$4,A188,A188-Calculos!$B$4),MOD(184-1,Calculos!$B$6)+1)),IF(MOD(IF(A188&lt;=Calculos!$B$4,A188,A188-Calculos!$B$4)+MOD(184-1,Calculos!$B$6)+1,2)=0,INDEX(Calculos!$B$36:$S$52,IF(A188&lt;=Calculos!$B$4,A188,A188-Calculos!$B$4),MOD(184-1,Calculos!$B$6)+1),INDEX(Calculos!$B$36:$S$52,IF(A188&lt;=Calculos!$B$4,A188,A188-Calculos!$B$4),Calculos!$B$2+1-MOD(184-1,Calculos!$B$6)+1)))))</f>
        <v/>
      </c>
      <c r="G188" s="9" t="str">
        <f t="shared" si="14"/>
        <v/>
      </c>
      <c r="H188" s="9" t="str">
        <f>IF(OR(C188="",F188=""),"",IF(AND(ISNUMBER(D188),ISNUMBER(E188)),IF(D188&gt;E188,Inicio!$E$6,IF(D188=E188,Inicio!$F$6,Inicio!$G$6)),""))</f>
        <v/>
      </c>
      <c r="I188" s="9" t="str">
        <f>IF(OR(C188="",F188=""),"",IF(AND(ISNUMBER(D188),ISNUMBER(E188)),IF(D188&lt;E188,Inicio!$E$6,IF(D188=E188,Inicio!$F$6,Inicio!$G$6)),""))</f>
        <v/>
      </c>
      <c r="J188" s="9">
        <f t="shared" si="15"/>
        <v>0</v>
      </c>
      <c r="K188" s="9">
        <f t="shared" si="16"/>
        <v>0</v>
      </c>
      <c r="L188" s="9">
        <f t="shared" si="17"/>
        <v>0</v>
      </c>
      <c r="M188" s="9">
        <f t="shared" si="18"/>
        <v>0</v>
      </c>
      <c r="N188" s="9">
        <f t="shared" si="19"/>
        <v>0</v>
      </c>
      <c r="O188" s="9">
        <f t="shared" si="20"/>
        <v>0</v>
      </c>
    </row>
    <row r="189" spans="1:15" x14ac:dyDescent="0.25">
      <c r="A189" s="9" t="str">
        <f>IF(OR(Calculos!$B$7=0,185&gt;Calculos!$B$7),"",INT((185-1)/Calculos!$B$6)+1)</f>
        <v/>
      </c>
      <c r="B189" s="10" t="str">
        <f>IF(A189="","",Inicio!$E$5+(A189-1)*Inicio!$B$6)</f>
        <v/>
      </c>
      <c r="C189" s="11" t="str">
        <f>IF(A189="","",INDEX(Calculos!$B$11:$B$28,IF(A189&gt;Calculos!$B$4,IF(MOD(IF(A189&lt;=Calculos!$B$4,A189,A189-Calculos!$B$4)+MOD(185-1,Calculos!$B$6)+1,2)=0,INDEX(Calculos!$B$36:$S$52,IF(A189&lt;=Calculos!$B$4,A189,A189-Calculos!$B$4),MOD(185-1,Calculos!$B$6)+1),INDEX(Calculos!$B$36:$S$52,IF(A189&lt;=Calculos!$B$4,A189,A189-Calculos!$B$4),Calculos!$B$2+1-MOD(185-1,Calculos!$B$6)+1)),IF(MOD(IF(A189&lt;=Calculos!$B$4,A189,A189-Calculos!$B$4)+MOD(185-1,Calculos!$B$6)+1,2)=0,INDEX(Calculos!$B$36:$S$52,IF(A189&lt;=Calculos!$B$4,A189,A189-Calculos!$B$4),Calculos!$B$2+1-MOD(185-1,Calculos!$B$6)+1),INDEX(Calculos!$B$36:$S$52,IF(A189&lt;=Calculos!$B$4,A189,A189-Calculos!$B$4),MOD(185-1,Calculos!$B$6)+1)))))</f>
        <v/>
      </c>
      <c r="D189" s="4"/>
      <c r="E189" s="4"/>
      <c r="F189" s="11" t="str">
        <f>IF(A189="","",INDEX(Calculos!$B$11:$B$28,IF(A189&gt;Calculos!$B$4,IF(MOD(IF(A189&lt;=Calculos!$B$4,A189,A189-Calculos!$B$4)+MOD(185-1,Calculos!$B$6)+1,2)=0,INDEX(Calculos!$B$36:$S$52,IF(A189&lt;=Calculos!$B$4,A189,A189-Calculos!$B$4),Calculos!$B$2+1-MOD(185-1,Calculos!$B$6)+1),INDEX(Calculos!$B$36:$S$52,IF(A189&lt;=Calculos!$B$4,A189,A189-Calculos!$B$4),MOD(185-1,Calculos!$B$6)+1)),IF(MOD(IF(A189&lt;=Calculos!$B$4,A189,A189-Calculos!$B$4)+MOD(185-1,Calculos!$B$6)+1,2)=0,INDEX(Calculos!$B$36:$S$52,IF(A189&lt;=Calculos!$B$4,A189,A189-Calculos!$B$4),MOD(185-1,Calculos!$B$6)+1),INDEX(Calculos!$B$36:$S$52,IF(A189&lt;=Calculos!$B$4,A189,A189-Calculos!$B$4),Calculos!$B$2+1-MOD(185-1,Calculos!$B$6)+1)))))</f>
        <v/>
      </c>
      <c r="G189" s="9" t="str">
        <f t="shared" si="14"/>
        <v/>
      </c>
      <c r="H189" s="9" t="str">
        <f>IF(OR(C189="",F189=""),"",IF(AND(ISNUMBER(D189),ISNUMBER(E189)),IF(D189&gt;E189,Inicio!$E$6,IF(D189=E189,Inicio!$F$6,Inicio!$G$6)),""))</f>
        <v/>
      </c>
      <c r="I189" s="9" t="str">
        <f>IF(OR(C189="",F189=""),"",IF(AND(ISNUMBER(D189),ISNUMBER(E189)),IF(D189&lt;E189,Inicio!$E$6,IF(D189=E189,Inicio!$F$6,Inicio!$G$6)),""))</f>
        <v/>
      </c>
      <c r="J189" s="9">
        <f t="shared" si="15"/>
        <v>0</v>
      </c>
      <c r="K189" s="9">
        <f t="shared" si="16"/>
        <v>0</v>
      </c>
      <c r="L189" s="9">
        <f t="shared" si="17"/>
        <v>0</v>
      </c>
      <c r="M189" s="9">
        <f t="shared" si="18"/>
        <v>0</v>
      </c>
      <c r="N189" s="9">
        <f t="shared" si="19"/>
        <v>0</v>
      </c>
      <c r="O189" s="9">
        <f t="shared" si="20"/>
        <v>0</v>
      </c>
    </row>
    <row r="190" spans="1:15" x14ac:dyDescent="0.25">
      <c r="A190" s="9" t="str">
        <f>IF(OR(Calculos!$B$7=0,186&gt;Calculos!$B$7),"",INT((186-1)/Calculos!$B$6)+1)</f>
        <v/>
      </c>
      <c r="B190" s="10" t="str">
        <f>IF(A190="","",Inicio!$E$5+(A190-1)*Inicio!$B$6)</f>
        <v/>
      </c>
      <c r="C190" s="11" t="str">
        <f>IF(A190="","",INDEX(Calculos!$B$11:$B$28,IF(A190&gt;Calculos!$B$4,IF(MOD(IF(A190&lt;=Calculos!$B$4,A190,A190-Calculos!$B$4)+MOD(186-1,Calculos!$B$6)+1,2)=0,INDEX(Calculos!$B$36:$S$52,IF(A190&lt;=Calculos!$B$4,A190,A190-Calculos!$B$4),MOD(186-1,Calculos!$B$6)+1),INDEX(Calculos!$B$36:$S$52,IF(A190&lt;=Calculos!$B$4,A190,A190-Calculos!$B$4),Calculos!$B$2+1-MOD(186-1,Calculos!$B$6)+1)),IF(MOD(IF(A190&lt;=Calculos!$B$4,A190,A190-Calculos!$B$4)+MOD(186-1,Calculos!$B$6)+1,2)=0,INDEX(Calculos!$B$36:$S$52,IF(A190&lt;=Calculos!$B$4,A190,A190-Calculos!$B$4),Calculos!$B$2+1-MOD(186-1,Calculos!$B$6)+1),INDEX(Calculos!$B$36:$S$52,IF(A190&lt;=Calculos!$B$4,A190,A190-Calculos!$B$4),MOD(186-1,Calculos!$B$6)+1)))))</f>
        <v/>
      </c>
      <c r="D190" s="4"/>
      <c r="E190" s="4"/>
      <c r="F190" s="11" t="str">
        <f>IF(A190="","",INDEX(Calculos!$B$11:$B$28,IF(A190&gt;Calculos!$B$4,IF(MOD(IF(A190&lt;=Calculos!$B$4,A190,A190-Calculos!$B$4)+MOD(186-1,Calculos!$B$6)+1,2)=0,INDEX(Calculos!$B$36:$S$52,IF(A190&lt;=Calculos!$B$4,A190,A190-Calculos!$B$4),Calculos!$B$2+1-MOD(186-1,Calculos!$B$6)+1),INDEX(Calculos!$B$36:$S$52,IF(A190&lt;=Calculos!$B$4,A190,A190-Calculos!$B$4),MOD(186-1,Calculos!$B$6)+1)),IF(MOD(IF(A190&lt;=Calculos!$B$4,A190,A190-Calculos!$B$4)+MOD(186-1,Calculos!$B$6)+1,2)=0,INDEX(Calculos!$B$36:$S$52,IF(A190&lt;=Calculos!$B$4,A190,A190-Calculos!$B$4),MOD(186-1,Calculos!$B$6)+1),INDEX(Calculos!$B$36:$S$52,IF(A190&lt;=Calculos!$B$4,A190,A190-Calculos!$B$4),Calculos!$B$2+1-MOD(186-1,Calculos!$B$6)+1)))))</f>
        <v/>
      </c>
      <c r="G190" s="9" t="str">
        <f t="shared" si="14"/>
        <v/>
      </c>
      <c r="H190" s="9" t="str">
        <f>IF(OR(C190="",F190=""),"",IF(AND(ISNUMBER(D190),ISNUMBER(E190)),IF(D190&gt;E190,Inicio!$E$6,IF(D190=E190,Inicio!$F$6,Inicio!$G$6)),""))</f>
        <v/>
      </c>
      <c r="I190" s="9" t="str">
        <f>IF(OR(C190="",F190=""),"",IF(AND(ISNUMBER(D190),ISNUMBER(E190)),IF(D190&lt;E190,Inicio!$E$6,IF(D190=E190,Inicio!$F$6,Inicio!$G$6)),""))</f>
        <v/>
      </c>
      <c r="J190" s="9">
        <f t="shared" si="15"/>
        <v>0</v>
      </c>
      <c r="K190" s="9">
        <f t="shared" si="16"/>
        <v>0</v>
      </c>
      <c r="L190" s="9">
        <f t="shared" si="17"/>
        <v>0</v>
      </c>
      <c r="M190" s="9">
        <f t="shared" si="18"/>
        <v>0</v>
      </c>
      <c r="N190" s="9">
        <f t="shared" si="19"/>
        <v>0</v>
      </c>
      <c r="O190" s="9">
        <f t="shared" si="20"/>
        <v>0</v>
      </c>
    </row>
    <row r="191" spans="1:15" x14ac:dyDescent="0.25">
      <c r="A191" s="9" t="str">
        <f>IF(OR(Calculos!$B$7=0,187&gt;Calculos!$B$7),"",INT((187-1)/Calculos!$B$6)+1)</f>
        <v/>
      </c>
      <c r="B191" s="10" t="str">
        <f>IF(A191="","",Inicio!$E$5+(A191-1)*Inicio!$B$6)</f>
        <v/>
      </c>
      <c r="C191" s="11" t="str">
        <f>IF(A191="","",INDEX(Calculos!$B$11:$B$28,IF(A191&gt;Calculos!$B$4,IF(MOD(IF(A191&lt;=Calculos!$B$4,A191,A191-Calculos!$B$4)+MOD(187-1,Calculos!$B$6)+1,2)=0,INDEX(Calculos!$B$36:$S$52,IF(A191&lt;=Calculos!$B$4,A191,A191-Calculos!$B$4),MOD(187-1,Calculos!$B$6)+1),INDEX(Calculos!$B$36:$S$52,IF(A191&lt;=Calculos!$B$4,A191,A191-Calculos!$B$4),Calculos!$B$2+1-MOD(187-1,Calculos!$B$6)+1)),IF(MOD(IF(A191&lt;=Calculos!$B$4,A191,A191-Calculos!$B$4)+MOD(187-1,Calculos!$B$6)+1,2)=0,INDEX(Calculos!$B$36:$S$52,IF(A191&lt;=Calculos!$B$4,A191,A191-Calculos!$B$4),Calculos!$B$2+1-MOD(187-1,Calculos!$B$6)+1),INDEX(Calculos!$B$36:$S$52,IF(A191&lt;=Calculos!$B$4,A191,A191-Calculos!$B$4),MOD(187-1,Calculos!$B$6)+1)))))</f>
        <v/>
      </c>
      <c r="D191" s="4"/>
      <c r="E191" s="4"/>
      <c r="F191" s="11" t="str">
        <f>IF(A191="","",INDEX(Calculos!$B$11:$B$28,IF(A191&gt;Calculos!$B$4,IF(MOD(IF(A191&lt;=Calculos!$B$4,A191,A191-Calculos!$B$4)+MOD(187-1,Calculos!$B$6)+1,2)=0,INDEX(Calculos!$B$36:$S$52,IF(A191&lt;=Calculos!$B$4,A191,A191-Calculos!$B$4),Calculos!$B$2+1-MOD(187-1,Calculos!$B$6)+1),INDEX(Calculos!$B$36:$S$52,IF(A191&lt;=Calculos!$B$4,A191,A191-Calculos!$B$4),MOD(187-1,Calculos!$B$6)+1)),IF(MOD(IF(A191&lt;=Calculos!$B$4,A191,A191-Calculos!$B$4)+MOD(187-1,Calculos!$B$6)+1,2)=0,INDEX(Calculos!$B$36:$S$52,IF(A191&lt;=Calculos!$B$4,A191,A191-Calculos!$B$4),MOD(187-1,Calculos!$B$6)+1),INDEX(Calculos!$B$36:$S$52,IF(A191&lt;=Calculos!$B$4,A191,A191-Calculos!$B$4),Calculos!$B$2+1-MOD(187-1,Calculos!$B$6)+1)))))</f>
        <v/>
      </c>
      <c r="G191" s="9" t="str">
        <f t="shared" si="14"/>
        <v/>
      </c>
      <c r="H191" s="9" t="str">
        <f>IF(OR(C191="",F191=""),"",IF(AND(ISNUMBER(D191),ISNUMBER(E191)),IF(D191&gt;E191,Inicio!$E$6,IF(D191=E191,Inicio!$F$6,Inicio!$G$6)),""))</f>
        <v/>
      </c>
      <c r="I191" s="9" t="str">
        <f>IF(OR(C191="",F191=""),"",IF(AND(ISNUMBER(D191),ISNUMBER(E191)),IF(D191&lt;E191,Inicio!$E$6,IF(D191=E191,Inicio!$F$6,Inicio!$G$6)),""))</f>
        <v/>
      </c>
      <c r="J191" s="9">
        <f t="shared" si="15"/>
        <v>0</v>
      </c>
      <c r="K191" s="9">
        <f t="shared" si="16"/>
        <v>0</v>
      </c>
      <c r="L191" s="9">
        <f t="shared" si="17"/>
        <v>0</v>
      </c>
      <c r="M191" s="9">
        <f t="shared" si="18"/>
        <v>0</v>
      </c>
      <c r="N191" s="9">
        <f t="shared" si="19"/>
        <v>0</v>
      </c>
      <c r="O191" s="9">
        <f t="shared" si="20"/>
        <v>0</v>
      </c>
    </row>
    <row r="192" spans="1:15" x14ac:dyDescent="0.25">
      <c r="A192" s="9" t="str">
        <f>IF(OR(Calculos!$B$7=0,188&gt;Calculos!$B$7),"",INT((188-1)/Calculos!$B$6)+1)</f>
        <v/>
      </c>
      <c r="B192" s="10" t="str">
        <f>IF(A192="","",Inicio!$E$5+(A192-1)*Inicio!$B$6)</f>
        <v/>
      </c>
      <c r="C192" s="11" t="str">
        <f>IF(A192="","",INDEX(Calculos!$B$11:$B$28,IF(A192&gt;Calculos!$B$4,IF(MOD(IF(A192&lt;=Calculos!$B$4,A192,A192-Calculos!$B$4)+MOD(188-1,Calculos!$B$6)+1,2)=0,INDEX(Calculos!$B$36:$S$52,IF(A192&lt;=Calculos!$B$4,A192,A192-Calculos!$B$4),MOD(188-1,Calculos!$B$6)+1),INDEX(Calculos!$B$36:$S$52,IF(A192&lt;=Calculos!$B$4,A192,A192-Calculos!$B$4),Calculos!$B$2+1-MOD(188-1,Calculos!$B$6)+1)),IF(MOD(IF(A192&lt;=Calculos!$B$4,A192,A192-Calculos!$B$4)+MOD(188-1,Calculos!$B$6)+1,2)=0,INDEX(Calculos!$B$36:$S$52,IF(A192&lt;=Calculos!$B$4,A192,A192-Calculos!$B$4),Calculos!$B$2+1-MOD(188-1,Calculos!$B$6)+1),INDEX(Calculos!$B$36:$S$52,IF(A192&lt;=Calculos!$B$4,A192,A192-Calculos!$B$4),MOD(188-1,Calculos!$B$6)+1)))))</f>
        <v/>
      </c>
      <c r="D192" s="4"/>
      <c r="E192" s="4"/>
      <c r="F192" s="11" t="str">
        <f>IF(A192="","",INDEX(Calculos!$B$11:$B$28,IF(A192&gt;Calculos!$B$4,IF(MOD(IF(A192&lt;=Calculos!$B$4,A192,A192-Calculos!$B$4)+MOD(188-1,Calculos!$B$6)+1,2)=0,INDEX(Calculos!$B$36:$S$52,IF(A192&lt;=Calculos!$B$4,A192,A192-Calculos!$B$4),Calculos!$B$2+1-MOD(188-1,Calculos!$B$6)+1),INDEX(Calculos!$B$36:$S$52,IF(A192&lt;=Calculos!$B$4,A192,A192-Calculos!$B$4),MOD(188-1,Calculos!$B$6)+1)),IF(MOD(IF(A192&lt;=Calculos!$B$4,A192,A192-Calculos!$B$4)+MOD(188-1,Calculos!$B$6)+1,2)=0,INDEX(Calculos!$B$36:$S$52,IF(A192&lt;=Calculos!$B$4,A192,A192-Calculos!$B$4),MOD(188-1,Calculos!$B$6)+1),INDEX(Calculos!$B$36:$S$52,IF(A192&lt;=Calculos!$B$4,A192,A192-Calculos!$B$4),Calculos!$B$2+1-MOD(188-1,Calculos!$B$6)+1)))))</f>
        <v/>
      </c>
      <c r="G192" s="9" t="str">
        <f t="shared" si="14"/>
        <v/>
      </c>
      <c r="H192" s="9" t="str">
        <f>IF(OR(C192="",F192=""),"",IF(AND(ISNUMBER(D192),ISNUMBER(E192)),IF(D192&gt;E192,Inicio!$E$6,IF(D192=E192,Inicio!$F$6,Inicio!$G$6)),""))</f>
        <v/>
      </c>
      <c r="I192" s="9" t="str">
        <f>IF(OR(C192="",F192=""),"",IF(AND(ISNUMBER(D192),ISNUMBER(E192)),IF(D192&lt;E192,Inicio!$E$6,IF(D192=E192,Inicio!$F$6,Inicio!$G$6)),""))</f>
        <v/>
      </c>
      <c r="J192" s="9">
        <f t="shared" si="15"/>
        <v>0</v>
      </c>
      <c r="K192" s="9">
        <f t="shared" si="16"/>
        <v>0</v>
      </c>
      <c r="L192" s="9">
        <f t="shared" si="17"/>
        <v>0</v>
      </c>
      <c r="M192" s="9">
        <f t="shared" si="18"/>
        <v>0</v>
      </c>
      <c r="N192" s="9">
        <f t="shared" si="19"/>
        <v>0</v>
      </c>
      <c r="O192" s="9">
        <f t="shared" si="20"/>
        <v>0</v>
      </c>
    </row>
    <row r="193" spans="1:15" x14ac:dyDescent="0.25">
      <c r="A193" s="9" t="str">
        <f>IF(OR(Calculos!$B$7=0,189&gt;Calculos!$B$7),"",INT((189-1)/Calculos!$B$6)+1)</f>
        <v/>
      </c>
      <c r="B193" s="10" t="str">
        <f>IF(A193="","",Inicio!$E$5+(A193-1)*Inicio!$B$6)</f>
        <v/>
      </c>
      <c r="C193" s="11" t="str">
        <f>IF(A193="","",INDEX(Calculos!$B$11:$B$28,IF(A193&gt;Calculos!$B$4,IF(MOD(IF(A193&lt;=Calculos!$B$4,A193,A193-Calculos!$B$4)+MOD(189-1,Calculos!$B$6)+1,2)=0,INDEX(Calculos!$B$36:$S$52,IF(A193&lt;=Calculos!$B$4,A193,A193-Calculos!$B$4),MOD(189-1,Calculos!$B$6)+1),INDEX(Calculos!$B$36:$S$52,IF(A193&lt;=Calculos!$B$4,A193,A193-Calculos!$B$4),Calculos!$B$2+1-MOD(189-1,Calculos!$B$6)+1)),IF(MOD(IF(A193&lt;=Calculos!$B$4,A193,A193-Calculos!$B$4)+MOD(189-1,Calculos!$B$6)+1,2)=0,INDEX(Calculos!$B$36:$S$52,IF(A193&lt;=Calculos!$B$4,A193,A193-Calculos!$B$4),Calculos!$B$2+1-MOD(189-1,Calculos!$B$6)+1),INDEX(Calculos!$B$36:$S$52,IF(A193&lt;=Calculos!$B$4,A193,A193-Calculos!$B$4),MOD(189-1,Calculos!$B$6)+1)))))</f>
        <v/>
      </c>
      <c r="D193" s="4"/>
      <c r="E193" s="4"/>
      <c r="F193" s="11" t="str">
        <f>IF(A193="","",INDEX(Calculos!$B$11:$B$28,IF(A193&gt;Calculos!$B$4,IF(MOD(IF(A193&lt;=Calculos!$B$4,A193,A193-Calculos!$B$4)+MOD(189-1,Calculos!$B$6)+1,2)=0,INDEX(Calculos!$B$36:$S$52,IF(A193&lt;=Calculos!$B$4,A193,A193-Calculos!$B$4),Calculos!$B$2+1-MOD(189-1,Calculos!$B$6)+1),INDEX(Calculos!$B$36:$S$52,IF(A193&lt;=Calculos!$B$4,A193,A193-Calculos!$B$4),MOD(189-1,Calculos!$B$6)+1)),IF(MOD(IF(A193&lt;=Calculos!$B$4,A193,A193-Calculos!$B$4)+MOD(189-1,Calculos!$B$6)+1,2)=0,INDEX(Calculos!$B$36:$S$52,IF(A193&lt;=Calculos!$B$4,A193,A193-Calculos!$B$4),MOD(189-1,Calculos!$B$6)+1),INDEX(Calculos!$B$36:$S$52,IF(A193&lt;=Calculos!$B$4,A193,A193-Calculos!$B$4),Calculos!$B$2+1-MOD(189-1,Calculos!$B$6)+1)))))</f>
        <v/>
      </c>
      <c r="G193" s="9" t="str">
        <f t="shared" si="14"/>
        <v/>
      </c>
      <c r="H193" s="9" t="str">
        <f>IF(OR(C193="",F193=""),"",IF(AND(ISNUMBER(D193),ISNUMBER(E193)),IF(D193&gt;E193,Inicio!$E$6,IF(D193=E193,Inicio!$F$6,Inicio!$G$6)),""))</f>
        <v/>
      </c>
      <c r="I193" s="9" t="str">
        <f>IF(OR(C193="",F193=""),"",IF(AND(ISNUMBER(D193),ISNUMBER(E193)),IF(D193&lt;E193,Inicio!$E$6,IF(D193=E193,Inicio!$F$6,Inicio!$G$6)),""))</f>
        <v/>
      </c>
      <c r="J193" s="9">
        <f t="shared" si="15"/>
        <v>0</v>
      </c>
      <c r="K193" s="9">
        <f t="shared" si="16"/>
        <v>0</v>
      </c>
      <c r="L193" s="9">
        <f t="shared" si="17"/>
        <v>0</v>
      </c>
      <c r="M193" s="9">
        <f t="shared" si="18"/>
        <v>0</v>
      </c>
      <c r="N193" s="9">
        <f t="shared" si="19"/>
        <v>0</v>
      </c>
      <c r="O193" s="9">
        <f t="shared" si="20"/>
        <v>0</v>
      </c>
    </row>
    <row r="194" spans="1:15" x14ac:dyDescent="0.25">
      <c r="A194" s="9" t="str">
        <f>IF(OR(Calculos!$B$7=0,190&gt;Calculos!$B$7),"",INT((190-1)/Calculos!$B$6)+1)</f>
        <v/>
      </c>
      <c r="B194" s="10" t="str">
        <f>IF(A194="","",Inicio!$E$5+(A194-1)*Inicio!$B$6)</f>
        <v/>
      </c>
      <c r="C194" s="11" t="str">
        <f>IF(A194="","",INDEX(Calculos!$B$11:$B$28,IF(A194&gt;Calculos!$B$4,IF(MOD(IF(A194&lt;=Calculos!$B$4,A194,A194-Calculos!$B$4)+MOD(190-1,Calculos!$B$6)+1,2)=0,INDEX(Calculos!$B$36:$S$52,IF(A194&lt;=Calculos!$B$4,A194,A194-Calculos!$B$4),MOD(190-1,Calculos!$B$6)+1),INDEX(Calculos!$B$36:$S$52,IF(A194&lt;=Calculos!$B$4,A194,A194-Calculos!$B$4),Calculos!$B$2+1-MOD(190-1,Calculos!$B$6)+1)),IF(MOD(IF(A194&lt;=Calculos!$B$4,A194,A194-Calculos!$B$4)+MOD(190-1,Calculos!$B$6)+1,2)=0,INDEX(Calculos!$B$36:$S$52,IF(A194&lt;=Calculos!$B$4,A194,A194-Calculos!$B$4),Calculos!$B$2+1-MOD(190-1,Calculos!$B$6)+1),INDEX(Calculos!$B$36:$S$52,IF(A194&lt;=Calculos!$B$4,A194,A194-Calculos!$B$4),MOD(190-1,Calculos!$B$6)+1)))))</f>
        <v/>
      </c>
      <c r="D194" s="4"/>
      <c r="E194" s="4"/>
      <c r="F194" s="11" t="str">
        <f>IF(A194="","",INDEX(Calculos!$B$11:$B$28,IF(A194&gt;Calculos!$B$4,IF(MOD(IF(A194&lt;=Calculos!$B$4,A194,A194-Calculos!$B$4)+MOD(190-1,Calculos!$B$6)+1,2)=0,INDEX(Calculos!$B$36:$S$52,IF(A194&lt;=Calculos!$B$4,A194,A194-Calculos!$B$4),Calculos!$B$2+1-MOD(190-1,Calculos!$B$6)+1),INDEX(Calculos!$B$36:$S$52,IF(A194&lt;=Calculos!$B$4,A194,A194-Calculos!$B$4),MOD(190-1,Calculos!$B$6)+1)),IF(MOD(IF(A194&lt;=Calculos!$B$4,A194,A194-Calculos!$B$4)+MOD(190-1,Calculos!$B$6)+1,2)=0,INDEX(Calculos!$B$36:$S$52,IF(A194&lt;=Calculos!$B$4,A194,A194-Calculos!$B$4),MOD(190-1,Calculos!$B$6)+1),INDEX(Calculos!$B$36:$S$52,IF(A194&lt;=Calculos!$B$4,A194,A194-Calculos!$B$4),Calculos!$B$2+1-MOD(190-1,Calculos!$B$6)+1)))))</f>
        <v/>
      </c>
      <c r="G194" s="9" t="str">
        <f t="shared" si="14"/>
        <v/>
      </c>
      <c r="H194" s="9" t="str">
        <f>IF(OR(C194="",F194=""),"",IF(AND(ISNUMBER(D194),ISNUMBER(E194)),IF(D194&gt;E194,Inicio!$E$6,IF(D194=E194,Inicio!$F$6,Inicio!$G$6)),""))</f>
        <v/>
      </c>
      <c r="I194" s="9" t="str">
        <f>IF(OR(C194="",F194=""),"",IF(AND(ISNUMBER(D194),ISNUMBER(E194)),IF(D194&lt;E194,Inicio!$E$6,IF(D194=E194,Inicio!$F$6,Inicio!$G$6)),""))</f>
        <v/>
      </c>
      <c r="J194" s="9">
        <f t="shared" si="15"/>
        <v>0</v>
      </c>
      <c r="K194" s="9">
        <f t="shared" si="16"/>
        <v>0</v>
      </c>
      <c r="L194" s="9">
        <f t="shared" si="17"/>
        <v>0</v>
      </c>
      <c r="M194" s="9">
        <f t="shared" si="18"/>
        <v>0</v>
      </c>
      <c r="N194" s="9">
        <f t="shared" si="19"/>
        <v>0</v>
      </c>
      <c r="O194" s="9">
        <f t="shared" si="20"/>
        <v>0</v>
      </c>
    </row>
    <row r="195" spans="1:15" x14ac:dyDescent="0.25">
      <c r="A195" s="9" t="str">
        <f>IF(OR(Calculos!$B$7=0,191&gt;Calculos!$B$7),"",INT((191-1)/Calculos!$B$6)+1)</f>
        <v/>
      </c>
      <c r="B195" s="10" t="str">
        <f>IF(A195="","",Inicio!$E$5+(A195-1)*Inicio!$B$6)</f>
        <v/>
      </c>
      <c r="C195" s="11" t="str">
        <f>IF(A195="","",INDEX(Calculos!$B$11:$B$28,IF(A195&gt;Calculos!$B$4,IF(MOD(IF(A195&lt;=Calculos!$B$4,A195,A195-Calculos!$B$4)+MOD(191-1,Calculos!$B$6)+1,2)=0,INDEX(Calculos!$B$36:$S$52,IF(A195&lt;=Calculos!$B$4,A195,A195-Calculos!$B$4),MOD(191-1,Calculos!$B$6)+1),INDEX(Calculos!$B$36:$S$52,IF(A195&lt;=Calculos!$B$4,A195,A195-Calculos!$B$4),Calculos!$B$2+1-MOD(191-1,Calculos!$B$6)+1)),IF(MOD(IF(A195&lt;=Calculos!$B$4,A195,A195-Calculos!$B$4)+MOD(191-1,Calculos!$B$6)+1,2)=0,INDEX(Calculos!$B$36:$S$52,IF(A195&lt;=Calculos!$B$4,A195,A195-Calculos!$B$4),Calculos!$B$2+1-MOD(191-1,Calculos!$B$6)+1),INDEX(Calculos!$B$36:$S$52,IF(A195&lt;=Calculos!$B$4,A195,A195-Calculos!$B$4),MOD(191-1,Calculos!$B$6)+1)))))</f>
        <v/>
      </c>
      <c r="D195" s="4"/>
      <c r="E195" s="4"/>
      <c r="F195" s="11" t="str">
        <f>IF(A195="","",INDEX(Calculos!$B$11:$B$28,IF(A195&gt;Calculos!$B$4,IF(MOD(IF(A195&lt;=Calculos!$B$4,A195,A195-Calculos!$B$4)+MOD(191-1,Calculos!$B$6)+1,2)=0,INDEX(Calculos!$B$36:$S$52,IF(A195&lt;=Calculos!$B$4,A195,A195-Calculos!$B$4),Calculos!$B$2+1-MOD(191-1,Calculos!$B$6)+1),INDEX(Calculos!$B$36:$S$52,IF(A195&lt;=Calculos!$B$4,A195,A195-Calculos!$B$4),MOD(191-1,Calculos!$B$6)+1)),IF(MOD(IF(A195&lt;=Calculos!$B$4,A195,A195-Calculos!$B$4)+MOD(191-1,Calculos!$B$6)+1,2)=0,INDEX(Calculos!$B$36:$S$52,IF(A195&lt;=Calculos!$B$4,A195,A195-Calculos!$B$4),MOD(191-1,Calculos!$B$6)+1),INDEX(Calculos!$B$36:$S$52,IF(A195&lt;=Calculos!$B$4,A195,A195-Calculos!$B$4),Calculos!$B$2+1-MOD(191-1,Calculos!$B$6)+1)))))</f>
        <v/>
      </c>
      <c r="G195" s="9" t="str">
        <f t="shared" si="14"/>
        <v/>
      </c>
      <c r="H195" s="9" t="str">
        <f>IF(OR(C195="",F195=""),"",IF(AND(ISNUMBER(D195),ISNUMBER(E195)),IF(D195&gt;E195,Inicio!$E$6,IF(D195=E195,Inicio!$F$6,Inicio!$G$6)),""))</f>
        <v/>
      </c>
      <c r="I195" s="9" t="str">
        <f>IF(OR(C195="",F195=""),"",IF(AND(ISNUMBER(D195),ISNUMBER(E195)),IF(D195&lt;E195,Inicio!$E$6,IF(D195=E195,Inicio!$F$6,Inicio!$G$6)),""))</f>
        <v/>
      </c>
      <c r="J195" s="9">
        <f t="shared" si="15"/>
        <v>0</v>
      </c>
      <c r="K195" s="9">
        <f t="shared" si="16"/>
        <v>0</v>
      </c>
      <c r="L195" s="9">
        <f t="shared" si="17"/>
        <v>0</v>
      </c>
      <c r="M195" s="9">
        <f t="shared" si="18"/>
        <v>0</v>
      </c>
      <c r="N195" s="9">
        <f t="shared" si="19"/>
        <v>0</v>
      </c>
      <c r="O195" s="9">
        <f t="shared" si="20"/>
        <v>0</v>
      </c>
    </row>
    <row r="196" spans="1:15" x14ac:dyDescent="0.25">
      <c r="A196" s="9" t="str">
        <f>IF(OR(Calculos!$B$7=0,192&gt;Calculos!$B$7),"",INT((192-1)/Calculos!$B$6)+1)</f>
        <v/>
      </c>
      <c r="B196" s="10" t="str">
        <f>IF(A196="","",Inicio!$E$5+(A196-1)*Inicio!$B$6)</f>
        <v/>
      </c>
      <c r="C196" s="11" t="str">
        <f>IF(A196="","",INDEX(Calculos!$B$11:$B$28,IF(A196&gt;Calculos!$B$4,IF(MOD(IF(A196&lt;=Calculos!$B$4,A196,A196-Calculos!$B$4)+MOD(192-1,Calculos!$B$6)+1,2)=0,INDEX(Calculos!$B$36:$S$52,IF(A196&lt;=Calculos!$B$4,A196,A196-Calculos!$B$4),MOD(192-1,Calculos!$B$6)+1),INDEX(Calculos!$B$36:$S$52,IF(A196&lt;=Calculos!$B$4,A196,A196-Calculos!$B$4),Calculos!$B$2+1-MOD(192-1,Calculos!$B$6)+1)),IF(MOD(IF(A196&lt;=Calculos!$B$4,A196,A196-Calculos!$B$4)+MOD(192-1,Calculos!$B$6)+1,2)=0,INDEX(Calculos!$B$36:$S$52,IF(A196&lt;=Calculos!$B$4,A196,A196-Calculos!$B$4),Calculos!$B$2+1-MOD(192-1,Calculos!$B$6)+1),INDEX(Calculos!$B$36:$S$52,IF(A196&lt;=Calculos!$B$4,A196,A196-Calculos!$B$4),MOD(192-1,Calculos!$B$6)+1)))))</f>
        <v/>
      </c>
      <c r="D196" s="4"/>
      <c r="E196" s="4"/>
      <c r="F196" s="11" t="str">
        <f>IF(A196="","",INDEX(Calculos!$B$11:$B$28,IF(A196&gt;Calculos!$B$4,IF(MOD(IF(A196&lt;=Calculos!$B$4,A196,A196-Calculos!$B$4)+MOD(192-1,Calculos!$B$6)+1,2)=0,INDEX(Calculos!$B$36:$S$52,IF(A196&lt;=Calculos!$B$4,A196,A196-Calculos!$B$4),Calculos!$B$2+1-MOD(192-1,Calculos!$B$6)+1),INDEX(Calculos!$B$36:$S$52,IF(A196&lt;=Calculos!$B$4,A196,A196-Calculos!$B$4),MOD(192-1,Calculos!$B$6)+1)),IF(MOD(IF(A196&lt;=Calculos!$B$4,A196,A196-Calculos!$B$4)+MOD(192-1,Calculos!$B$6)+1,2)=0,INDEX(Calculos!$B$36:$S$52,IF(A196&lt;=Calculos!$B$4,A196,A196-Calculos!$B$4),MOD(192-1,Calculos!$B$6)+1),INDEX(Calculos!$B$36:$S$52,IF(A196&lt;=Calculos!$B$4,A196,A196-Calculos!$B$4),Calculos!$B$2+1-MOD(192-1,Calculos!$B$6)+1)))))</f>
        <v/>
      </c>
      <c r="G196" s="9" t="str">
        <f t="shared" si="14"/>
        <v/>
      </c>
      <c r="H196" s="9" t="str">
        <f>IF(OR(C196="",F196=""),"",IF(AND(ISNUMBER(D196),ISNUMBER(E196)),IF(D196&gt;E196,Inicio!$E$6,IF(D196=E196,Inicio!$F$6,Inicio!$G$6)),""))</f>
        <v/>
      </c>
      <c r="I196" s="9" t="str">
        <f>IF(OR(C196="",F196=""),"",IF(AND(ISNUMBER(D196),ISNUMBER(E196)),IF(D196&lt;E196,Inicio!$E$6,IF(D196=E196,Inicio!$F$6,Inicio!$G$6)),""))</f>
        <v/>
      </c>
      <c r="J196" s="9">
        <f t="shared" si="15"/>
        <v>0</v>
      </c>
      <c r="K196" s="9">
        <f t="shared" si="16"/>
        <v>0</v>
      </c>
      <c r="L196" s="9">
        <f t="shared" si="17"/>
        <v>0</v>
      </c>
      <c r="M196" s="9">
        <f t="shared" si="18"/>
        <v>0</v>
      </c>
      <c r="N196" s="9">
        <f t="shared" si="19"/>
        <v>0</v>
      </c>
      <c r="O196" s="9">
        <f t="shared" si="20"/>
        <v>0</v>
      </c>
    </row>
    <row r="197" spans="1:15" x14ac:dyDescent="0.25">
      <c r="A197" s="9" t="str">
        <f>IF(OR(Calculos!$B$7=0,193&gt;Calculos!$B$7),"",INT((193-1)/Calculos!$B$6)+1)</f>
        <v/>
      </c>
      <c r="B197" s="10" t="str">
        <f>IF(A197="","",Inicio!$E$5+(A197-1)*Inicio!$B$6)</f>
        <v/>
      </c>
      <c r="C197" s="11" t="str">
        <f>IF(A197="","",INDEX(Calculos!$B$11:$B$28,IF(A197&gt;Calculos!$B$4,IF(MOD(IF(A197&lt;=Calculos!$B$4,A197,A197-Calculos!$B$4)+MOD(193-1,Calculos!$B$6)+1,2)=0,INDEX(Calculos!$B$36:$S$52,IF(A197&lt;=Calculos!$B$4,A197,A197-Calculos!$B$4),MOD(193-1,Calculos!$B$6)+1),INDEX(Calculos!$B$36:$S$52,IF(A197&lt;=Calculos!$B$4,A197,A197-Calculos!$B$4),Calculos!$B$2+1-MOD(193-1,Calculos!$B$6)+1)),IF(MOD(IF(A197&lt;=Calculos!$B$4,A197,A197-Calculos!$B$4)+MOD(193-1,Calculos!$B$6)+1,2)=0,INDEX(Calculos!$B$36:$S$52,IF(A197&lt;=Calculos!$B$4,A197,A197-Calculos!$B$4),Calculos!$B$2+1-MOD(193-1,Calculos!$B$6)+1),INDEX(Calculos!$B$36:$S$52,IF(A197&lt;=Calculos!$B$4,A197,A197-Calculos!$B$4),MOD(193-1,Calculos!$B$6)+1)))))</f>
        <v/>
      </c>
      <c r="D197" s="4"/>
      <c r="E197" s="4"/>
      <c r="F197" s="11" t="str">
        <f>IF(A197="","",INDEX(Calculos!$B$11:$B$28,IF(A197&gt;Calculos!$B$4,IF(MOD(IF(A197&lt;=Calculos!$B$4,A197,A197-Calculos!$B$4)+MOD(193-1,Calculos!$B$6)+1,2)=0,INDEX(Calculos!$B$36:$S$52,IF(A197&lt;=Calculos!$B$4,A197,A197-Calculos!$B$4),Calculos!$B$2+1-MOD(193-1,Calculos!$B$6)+1),INDEX(Calculos!$B$36:$S$52,IF(A197&lt;=Calculos!$B$4,A197,A197-Calculos!$B$4),MOD(193-1,Calculos!$B$6)+1)),IF(MOD(IF(A197&lt;=Calculos!$B$4,A197,A197-Calculos!$B$4)+MOD(193-1,Calculos!$B$6)+1,2)=0,INDEX(Calculos!$B$36:$S$52,IF(A197&lt;=Calculos!$B$4,A197,A197-Calculos!$B$4),MOD(193-1,Calculos!$B$6)+1),INDEX(Calculos!$B$36:$S$52,IF(A197&lt;=Calculos!$B$4,A197,A197-Calculos!$B$4),Calculos!$B$2+1-MOD(193-1,Calculos!$B$6)+1)))))</f>
        <v/>
      </c>
      <c r="G197" s="9" t="str">
        <f t="shared" ref="G197:G260" si="21">IF(A197="","",IF(AND(ISNUMBER(D197),ISNUMBER(E197)),"Jugado","Pendiente"))</f>
        <v/>
      </c>
      <c r="H197" s="9" t="str">
        <f>IF(OR(C197="",F197=""),"",IF(AND(ISNUMBER(D197),ISNUMBER(E197)),IF(D197&gt;E197,Inicio!$E$6,IF(D197=E197,Inicio!$F$6,Inicio!$G$6)),""))</f>
        <v/>
      </c>
      <c r="I197" s="9" t="str">
        <f>IF(OR(C197="",F197=""),"",IF(AND(ISNUMBER(D197),ISNUMBER(E197)),IF(D197&lt;E197,Inicio!$E$6,IF(D197=E197,Inicio!$F$6,Inicio!$G$6)),""))</f>
        <v/>
      </c>
      <c r="J197" s="9">
        <f t="shared" ref="J197:J260" si="22">IF(AND(ISNUMBER(D197),ISNUMBER(E197),D197&gt;E197),1,0)</f>
        <v>0</v>
      </c>
      <c r="K197" s="9">
        <f t="shared" ref="K197:K260" si="23">IF(AND(ISNUMBER(D197),ISNUMBER(E197),D197=E197),1,0)</f>
        <v>0</v>
      </c>
      <c r="L197" s="9">
        <f t="shared" ref="L197:L260" si="24">IF(AND(ISNUMBER(D197),ISNUMBER(E197),D197&lt;E197),1,0)</f>
        <v>0</v>
      </c>
      <c r="M197" s="9">
        <f t="shared" ref="M197:M260" si="25">IF(AND(ISNUMBER(D197),ISNUMBER(E197),D197&lt;E197),1,0)</f>
        <v>0</v>
      </c>
      <c r="N197" s="9">
        <f t="shared" ref="N197:N260" si="26">IF(AND(ISNUMBER(D197),ISNUMBER(E197),D197=E197),1,0)</f>
        <v>0</v>
      </c>
      <c r="O197" s="9">
        <f t="shared" ref="O197:O260" si="27">IF(AND(ISNUMBER(D197),ISNUMBER(E197),D197&gt;E197),1,0)</f>
        <v>0</v>
      </c>
    </row>
    <row r="198" spans="1:15" x14ac:dyDescent="0.25">
      <c r="A198" s="9" t="str">
        <f>IF(OR(Calculos!$B$7=0,194&gt;Calculos!$B$7),"",INT((194-1)/Calculos!$B$6)+1)</f>
        <v/>
      </c>
      <c r="B198" s="10" t="str">
        <f>IF(A198="","",Inicio!$E$5+(A198-1)*Inicio!$B$6)</f>
        <v/>
      </c>
      <c r="C198" s="11" t="str">
        <f>IF(A198="","",INDEX(Calculos!$B$11:$B$28,IF(A198&gt;Calculos!$B$4,IF(MOD(IF(A198&lt;=Calculos!$B$4,A198,A198-Calculos!$B$4)+MOD(194-1,Calculos!$B$6)+1,2)=0,INDEX(Calculos!$B$36:$S$52,IF(A198&lt;=Calculos!$B$4,A198,A198-Calculos!$B$4),MOD(194-1,Calculos!$B$6)+1),INDEX(Calculos!$B$36:$S$52,IF(A198&lt;=Calculos!$B$4,A198,A198-Calculos!$B$4),Calculos!$B$2+1-MOD(194-1,Calculos!$B$6)+1)),IF(MOD(IF(A198&lt;=Calculos!$B$4,A198,A198-Calculos!$B$4)+MOD(194-1,Calculos!$B$6)+1,2)=0,INDEX(Calculos!$B$36:$S$52,IF(A198&lt;=Calculos!$B$4,A198,A198-Calculos!$B$4),Calculos!$B$2+1-MOD(194-1,Calculos!$B$6)+1),INDEX(Calculos!$B$36:$S$52,IF(A198&lt;=Calculos!$B$4,A198,A198-Calculos!$B$4),MOD(194-1,Calculos!$B$6)+1)))))</f>
        <v/>
      </c>
      <c r="D198" s="4"/>
      <c r="E198" s="4"/>
      <c r="F198" s="11" t="str">
        <f>IF(A198="","",INDEX(Calculos!$B$11:$B$28,IF(A198&gt;Calculos!$B$4,IF(MOD(IF(A198&lt;=Calculos!$B$4,A198,A198-Calculos!$B$4)+MOD(194-1,Calculos!$B$6)+1,2)=0,INDEX(Calculos!$B$36:$S$52,IF(A198&lt;=Calculos!$B$4,A198,A198-Calculos!$B$4),Calculos!$B$2+1-MOD(194-1,Calculos!$B$6)+1),INDEX(Calculos!$B$36:$S$52,IF(A198&lt;=Calculos!$B$4,A198,A198-Calculos!$B$4),MOD(194-1,Calculos!$B$6)+1)),IF(MOD(IF(A198&lt;=Calculos!$B$4,A198,A198-Calculos!$B$4)+MOD(194-1,Calculos!$B$6)+1,2)=0,INDEX(Calculos!$B$36:$S$52,IF(A198&lt;=Calculos!$B$4,A198,A198-Calculos!$B$4),MOD(194-1,Calculos!$B$6)+1),INDEX(Calculos!$B$36:$S$52,IF(A198&lt;=Calculos!$B$4,A198,A198-Calculos!$B$4),Calculos!$B$2+1-MOD(194-1,Calculos!$B$6)+1)))))</f>
        <v/>
      </c>
      <c r="G198" s="9" t="str">
        <f t="shared" si="21"/>
        <v/>
      </c>
      <c r="H198" s="9" t="str">
        <f>IF(OR(C198="",F198=""),"",IF(AND(ISNUMBER(D198),ISNUMBER(E198)),IF(D198&gt;E198,Inicio!$E$6,IF(D198=E198,Inicio!$F$6,Inicio!$G$6)),""))</f>
        <v/>
      </c>
      <c r="I198" s="9" t="str">
        <f>IF(OR(C198="",F198=""),"",IF(AND(ISNUMBER(D198),ISNUMBER(E198)),IF(D198&lt;E198,Inicio!$E$6,IF(D198=E198,Inicio!$F$6,Inicio!$G$6)),""))</f>
        <v/>
      </c>
      <c r="J198" s="9">
        <f t="shared" si="22"/>
        <v>0</v>
      </c>
      <c r="K198" s="9">
        <f t="shared" si="23"/>
        <v>0</v>
      </c>
      <c r="L198" s="9">
        <f t="shared" si="24"/>
        <v>0</v>
      </c>
      <c r="M198" s="9">
        <f t="shared" si="25"/>
        <v>0</v>
      </c>
      <c r="N198" s="9">
        <f t="shared" si="26"/>
        <v>0</v>
      </c>
      <c r="O198" s="9">
        <f t="shared" si="27"/>
        <v>0</v>
      </c>
    </row>
    <row r="199" spans="1:15" x14ac:dyDescent="0.25">
      <c r="A199" s="9" t="str">
        <f>IF(OR(Calculos!$B$7=0,195&gt;Calculos!$B$7),"",INT((195-1)/Calculos!$B$6)+1)</f>
        <v/>
      </c>
      <c r="B199" s="10" t="str">
        <f>IF(A199="","",Inicio!$E$5+(A199-1)*Inicio!$B$6)</f>
        <v/>
      </c>
      <c r="C199" s="11" t="str">
        <f>IF(A199="","",INDEX(Calculos!$B$11:$B$28,IF(A199&gt;Calculos!$B$4,IF(MOD(IF(A199&lt;=Calculos!$B$4,A199,A199-Calculos!$B$4)+MOD(195-1,Calculos!$B$6)+1,2)=0,INDEX(Calculos!$B$36:$S$52,IF(A199&lt;=Calculos!$B$4,A199,A199-Calculos!$B$4),MOD(195-1,Calculos!$B$6)+1),INDEX(Calculos!$B$36:$S$52,IF(A199&lt;=Calculos!$B$4,A199,A199-Calculos!$B$4),Calculos!$B$2+1-MOD(195-1,Calculos!$B$6)+1)),IF(MOD(IF(A199&lt;=Calculos!$B$4,A199,A199-Calculos!$B$4)+MOD(195-1,Calculos!$B$6)+1,2)=0,INDEX(Calculos!$B$36:$S$52,IF(A199&lt;=Calculos!$B$4,A199,A199-Calculos!$B$4),Calculos!$B$2+1-MOD(195-1,Calculos!$B$6)+1),INDEX(Calculos!$B$36:$S$52,IF(A199&lt;=Calculos!$B$4,A199,A199-Calculos!$B$4),MOD(195-1,Calculos!$B$6)+1)))))</f>
        <v/>
      </c>
      <c r="D199" s="4"/>
      <c r="E199" s="4"/>
      <c r="F199" s="11" t="str">
        <f>IF(A199="","",INDEX(Calculos!$B$11:$B$28,IF(A199&gt;Calculos!$B$4,IF(MOD(IF(A199&lt;=Calculos!$B$4,A199,A199-Calculos!$B$4)+MOD(195-1,Calculos!$B$6)+1,2)=0,INDEX(Calculos!$B$36:$S$52,IF(A199&lt;=Calculos!$B$4,A199,A199-Calculos!$B$4),Calculos!$B$2+1-MOD(195-1,Calculos!$B$6)+1),INDEX(Calculos!$B$36:$S$52,IF(A199&lt;=Calculos!$B$4,A199,A199-Calculos!$B$4),MOD(195-1,Calculos!$B$6)+1)),IF(MOD(IF(A199&lt;=Calculos!$B$4,A199,A199-Calculos!$B$4)+MOD(195-1,Calculos!$B$6)+1,2)=0,INDEX(Calculos!$B$36:$S$52,IF(A199&lt;=Calculos!$B$4,A199,A199-Calculos!$B$4),MOD(195-1,Calculos!$B$6)+1),INDEX(Calculos!$B$36:$S$52,IF(A199&lt;=Calculos!$B$4,A199,A199-Calculos!$B$4),Calculos!$B$2+1-MOD(195-1,Calculos!$B$6)+1)))))</f>
        <v/>
      </c>
      <c r="G199" s="9" t="str">
        <f t="shared" si="21"/>
        <v/>
      </c>
      <c r="H199" s="9" t="str">
        <f>IF(OR(C199="",F199=""),"",IF(AND(ISNUMBER(D199),ISNUMBER(E199)),IF(D199&gt;E199,Inicio!$E$6,IF(D199=E199,Inicio!$F$6,Inicio!$G$6)),""))</f>
        <v/>
      </c>
      <c r="I199" s="9" t="str">
        <f>IF(OR(C199="",F199=""),"",IF(AND(ISNUMBER(D199),ISNUMBER(E199)),IF(D199&lt;E199,Inicio!$E$6,IF(D199=E199,Inicio!$F$6,Inicio!$G$6)),""))</f>
        <v/>
      </c>
      <c r="J199" s="9">
        <f t="shared" si="22"/>
        <v>0</v>
      </c>
      <c r="K199" s="9">
        <f t="shared" si="23"/>
        <v>0</v>
      </c>
      <c r="L199" s="9">
        <f t="shared" si="24"/>
        <v>0</v>
      </c>
      <c r="M199" s="9">
        <f t="shared" si="25"/>
        <v>0</v>
      </c>
      <c r="N199" s="9">
        <f t="shared" si="26"/>
        <v>0</v>
      </c>
      <c r="O199" s="9">
        <f t="shared" si="27"/>
        <v>0</v>
      </c>
    </row>
    <row r="200" spans="1:15" x14ac:dyDescent="0.25">
      <c r="A200" s="9" t="str">
        <f>IF(OR(Calculos!$B$7=0,196&gt;Calculos!$B$7),"",INT((196-1)/Calculos!$B$6)+1)</f>
        <v/>
      </c>
      <c r="B200" s="10" t="str">
        <f>IF(A200="","",Inicio!$E$5+(A200-1)*Inicio!$B$6)</f>
        <v/>
      </c>
      <c r="C200" s="11" t="str">
        <f>IF(A200="","",INDEX(Calculos!$B$11:$B$28,IF(A200&gt;Calculos!$B$4,IF(MOD(IF(A200&lt;=Calculos!$B$4,A200,A200-Calculos!$B$4)+MOD(196-1,Calculos!$B$6)+1,2)=0,INDEX(Calculos!$B$36:$S$52,IF(A200&lt;=Calculos!$B$4,A200,A200-Calculos!$B$4),MOD(196-1,Calculos!$B$6)+1),INDEX(Calculos!$B$36:$S$52,IF(A200&lt;=Calculos!$B$4,A200,A200-Calculos!$B$4),Calculos!$B$2+1-MOD(196-1,Calculos!$B$6)+1)),IF(MOD(IF(A200&lt;=Calculos!$B$4,A200,A200-Calculos!$B$4)+MOD(196-1,Calculos!$B$6)+1,2)=0,INDEX(Calculos!$B$36:$S$52,IF(A200&lt;=Calculos!$B$4,A200,A200-Calculos!$B$4),Calculos!$B$2+1-MOD(196-1,Calculos!$B$6)+1),INDEX(Calculos!$B$36:$S$52,IF(A200&lt;=Calculos!$B$4,A200,A200-Calculos!$B$4),MOD(196-1,Calculos!$B$6)+1)))))</f>
        <v/>
      </c>
      <c r="D200" s="4"/>
      <c r="E200" s="4"/>
      <c r="F200" s="11" t="str">
        <f>IF(A200="","",INDEX(Calculos!$B$11:$B$28,IF(A200&gt;Calculos!$B$4,IF(MOD(IF(A200&lt;=Calculos!$B$4,A200,A200-Calculos!$B$4)+MOD(196-1,Calculos!$B$6)+1,2)=0,INDEX(Calculos!$B$36:$S$52,IF(A200&lt;=Calculos!$B$4,A200,A200-Calculos!$B$4),Calculos!$B$2+1-MOD(196-1,Calculos!$B$6)+1),INDEX(Calculos!$B$36:$S$52,IF(A200&lt;=Calculos!$B$4,A200,A200-Calculos!$B$4),MOD(196-1,Calculos!$B$6)+1)),IF(MOD(IF(A200&lt;=Calculos!$B$4,A200,A200-Calculos!$B$4)+MOD(196-1,Calculos!$B$6)+1,2)=0,INDEX(Calculos!$B$36:$S$52,IF(A200&lt;=Calculos!$B$4,A200,A200-Calculos!$B$4),MOD(196-1,Calculos!$B$6)+1),INDEX(Calculos!$B$36:$S$52,IF(A200&lt;=Calculos!$B$4,A200,A200-Calculos!$B$4),Calculos!$B$2+1-MOD(196-1,Calculos!$B$6)+1)))))</f>
        <v/>
      </c>
      <c r="G200" s="9" t="str">
        <f t="shared" si="21"/>
        <v/>
      </c>
      <c r="H200" s="9" t="str">
        <f>IF(OR(C200="",F200=""),"",IF(AND(ISNUMBER(D200),ISNUMBER(E200)),IF(D200&gt;E200,Inicio!$E$6,IF(D200=E200,Inicio!$F$6,Inicio!$G$6)),""))</f>
        <v/>
      </c>
      <c r="I200" s="9" t="str">
        <f>IF(OR(C200="",F200=""),"",IF(AND(ISNUMBER(D200),ISNUMBER(E200)),IF(D200&lt;E200,Inicio!$E$6,IF(D200=E200,Inicio!$F$6,Inicio!$G$6)),""))</f>
        <v/>
      </c>
      <c r="J200" s="9">
        <f t="shared" si="22"/>
        <v>0</v>
      </c>
      <c r="K200" s="9">
        <f t="shared" si="23"/>
        <v>0</v>
      </c>
      <c r="L200" s="9">
        <f t="shared" si="24"/>
        <v>0</v>
      </c>
      <c r="M200" s="9">
        <f t="shared" si="25"/>
        <v>0</v>
      </c>
      <c r="N200" s="9">
        <f t="shared" si="26"/>
        <v>0</v>
      </c>
      <c r="O200" s="9">
        <f t="shared" si="27"/>
        <v>0</v>
      </c>
    </row>
    <row r="201" spans="1:15" x14ac:dyDescent="0.25">
      <c r="A201" s="9" t="str">
        <f>IF(OR(Calculos!$B$7=0,197&gt;Calculos!$B$7),"",INT((197-1)/Calculos!$B$6)+1)</f>
        <v/>
      </c>
      <c r="B201" s="10" t="str">
        <f>IF(A201="","",Inicio!$E$5+(A201-1)*Inicio!$B$6)</f>
        <v/>
      </c>
      <c r="C201" s="11" t="str">
        <f>IF(A201="","",INDEX(Calculos!$B$11:$B$28,IF(A201&gt;Calculos!$B$4,IF(MOD(IF(A201&lt;=Calculos!$B$4,A201,A201-Calculos!$B$4)+MOD(197-1,Calculos!$B$6)+1,2)=0,INDEX(Calculos!$B$36:$S$52,IF(A201&lt;=Calculos!$B$4,A201,A201-Calculos!$B$4),MOD(197-1,Calculos!$B$6)+1),INDEX(Calculos!$B$36:$S$52,IF(A201&lt;=Calculos!$B$4,A201,A201-Calculos!$B$4),Calculos!$B$2+1-MOD(197-1,Calculos!$B$6)+1)),IF(MOD(IF(A201&lt;=Calculos!$B$4,A201,A201-Calculos!$B$4)+MOD(197-1,Calculos!$B$6)+1,2)=0,INDEX(Calculos!$B$36:$S$52,IF(A201&lt;=Calculos!$B$4,A201,A201-Calculos!$B$4),Calculos!$B$2+1-MOD(197-1,Calculos!$B$6)+1),INDEX(Calculos!$B$36:$S$52,IF(A201&lt;=Calculos!$B$4,A201,A201-Calculos!$B$4),MOD(197-1,Calculos!$B$6)+1)))))</f>
        <v/>
      </c>
      <c r="D201" s="4"/>
      <c r="E201" s="4"/>
      <c r="F201" s="11" t="str">
        <f>IF(A201="","",INDEX(Calculos!$B$11:$B$28,IF(A201&gt;Calculos!$B$4,IF(MOD(IF(A201&lt;=Calculos!$B$4,A201,A201-Calculos!$B$4)+MOD(197-1,Calculos!$B$6)+1,2)=0,INDEX(Calculos!$B$36:$S$52,IF(A201&lt;=Calculos!$B$4,A201,A201-Calculos!$B$4),Calculos!$B$2+1-MOD(197-1,Calculos!$B$6)+1),INDEX(Calculos!$B$36:$S$52,IF(A201&lt;=Calculos!$B$4,A201,A201-Calculos!$B$4),MOD(197-1,Calculos!$B$6)+1)),IF(MOD(IF(A201&lt;=Calculos!$B$4,A201,A201-Calculos!$B$4)+MOD(197-1,Calculos!$B$6)+1,2)=0,INDEX(Calculos!$B$36:$S$52,IF(A201&lt;=Calculos!$B$4,A201,A201-Calculos!$B$4),MOD(197-1,Calculos!$B$6)+1),INDEX(Calculos!$B$36:$S$52,IF(A201&lt;=Calculos!$B$4,A201,A201-Calculos!$B$4),Calculos!$B$2+1-MOD(197-1,Calculos!$B$6)+1)))))</f>
        <v/>
      </c>
      <c r="G201" s="9" t="str">
        <f t="shared" si="21"/>
        <v/>
      </c>
      <c r="H201" s="9" t="str">
        <f>IF(OR(C201="",F201=""),"",IF(AND(ISNUMBER(D201),ISNUMBER(E201)),IF(D201&gt;E201,Inicio!$E$6,IF(D201=E201,Inicio!$F$6,Inicio!$G$6)),""))</f>
        <v/>
      </c>
      <c r="I201" s="9" t="str">
        <f>IF(OR(C201="",F201=""),"",IF(AND(ISNUMBER(D201),ISNUMBER(E201)),IF(D201&lt;E201,Inicio!$E$6,IF(D201=E201,Inicio!$F$6,Inicio!$G$6)),""))</f>
        <v/>
      </c>
      <c r="J201" s="9">
        <f t="shared" si="22"/>
        <v>0</v>
      </c>
      <c r="K201" s="9">
        <f t="shared" si="23"/>
        <v>0</v>
      </c>
      <c r="L201" s="9">
        <f t="shared" si="24"/>
        <v>0</v>
      </c>
      <c r="M201" s="9">
        <f t="shared" si="25"/>
        <v>0</v>
      </c>
      <c r="N201" s="9">
        <f t="shared" si="26"/>
        <v>0</v>
      </c>
      <c r="O201" s="9">
        <f t="shared" si="27"/>
        <v>0</v>
      </c>
    </row>
    <row r="202" spans="1:15" x14ac:dyDescent="0.25">
      <c r="A202" s="9" t="str">
        <f>IF(OR(Calculos!$B$7=0,198&gt;Calculos!$B$7),"",INT((198-1)/Calculos!$B$6)+1)</f>
        <v/>
      </c>
      <c r="B202" s="10" t="str">
        <f>IF(A202="","",Inicio!$E$5+(A202-1)*Inicio!$B$6)</f>
        <v/>
      </c>
      <c r="C202" s="11" t="str">
        <f>IF(A202="","",INDEX(Calculos!$B$11:$B$28,IF(A202&gt;Calculos!$B$4,IF(MOD(IF(A202&lt;=Calculos!$B$4,A202,A202-Calculos!$B$4)+MOD(198-1,Calculos!$B$6)+1,2)=0,INDEX(Calculos!$B$36:$S$52,IF(A202&lt;=Calculos!$B$4,A202,A202-Calculos!$B$4),MOD(198-1,Calculos!$B$6)+1),INDEX(Calculos!$B$36:$S$52,IF(A202&lt;=Calculos!$B$4,A202,A202-Calculos!$B$4),Calculos!$B$2+1-MOD(198-1,Calculos!$B$6)+1)),IF(MOD(IF(A202&lt;=Calculos!$B$4,A202,A202-Calculos!$B$4)+MOD(198-1,Calculos!$B$6)+1,2)=0,INDEX(Calculos!$B$36:$S$52,IF(A202&lt;=Calculos!$B$4,A202,A202-Calculos!$B$4),Calculos!$B$2+1-MOD(198-1,Calculos!$B$6)+1),INDEX(Calculos!$B$36:$S$52,IF(A202&lt;=Calculos!$B$4,A202,A202-Calculos!$B$4),MOD(198-1,Calculos!$B$6)+1)))))</f>
        <v/>
      </c>
      <c r="D202" s="4"/>
      <c r="E202" s="4"/>
      <c r="F202" s="11" t="str">
        <f>IF(A202="","",INDEX(Calculos!$B$11:$B$28,IF(A202&gt;Calculos!$B$4,IF(MOD(IF(A202&lt;=Calculos!$B$4,A202,A202-Calculos!$B$4)+MOD(198-1,Calculos!$B$6)+1,2)=0,INDEX(Calculos!$B$36:$S$52,IF(A202&lt;=Calculos!$B$4,A202,A202-Calculos!$B$4),Calculos!$B$2+1-MOD(198-1,Calculos!$B$6)+1),INDEX(Calculos!$B$36:$S$52,IF(A202&lt;=Calculos!$B$4,A202,A202-Calculos!$B$4),MOD(198-1,Calculos!$B$6)+1)),IF(MOD(IF(A202&lt;=Calculos!$B$4,A202,A202-Calculos!$B$4)+MOD(198-1,Calculos!$B$6)+1,2)=0,INDEX(Calculos!$B$36:$S$52,IF(A202&lt;=Calculos!$B$4,A202,A202-Calculos!$B$4),MOD(198-1,Calculos!$B$6)+1),INDEX(Calculos!$B$36:$S$52,IF(A202&lt;=Calculos!$B$4,A202,A202-Calculos!$B$4),Calculos!$B$2+1-MOD(198-1,Calculos!$B$6)+1)))))</f>
        <v/>
      </c>
      <c r="G202" s="9" t="str">
        <f t="shared" si="21"/>
        <v/>
      </c>
      <c r="H202" s="9" t="str">
        <f>IF(OR(C202="",F202=""),"",IF(AND(ISNUMBER(D202),ISNUMBER(E202)),IF(D202&gt;E202,Inicio!$E$6,IF(D202=E202,Inicio!$F$6,Inicio!$G$6)),""))</f>
        <v/>
      </c>
      <c r="I202" s="9" t="str">
        <f>IF(OR(C202="",F202=""),"",IF(AND(ISNUMBER(D202),ISNUMBER(E202)),IF(D202&lt;E202,Inicio!$E$6,IF(D202=E202,Inicio!$F$6,Inicio!$G$6)),""))</f>
        <v/>
      </c>
      <c r="J202" s="9">
        <f t="shared" si="22"/>
        <v>0</v>
      </c>
      <c r="K202" s="9">
        <f t="shared" si="23"/>
        <v>0</v>
      </c>
      <c r="L202" s="9">
        <f t="shared" si="24"/>
        <v>0</v>
      </c>
      <c r="M202" s="9">
        <f t="shared" si="25"/>
        <v>0</v>
      </c>
      <c r="N202" s="9">
        <f t="shared" si="26"/>
        <v>0</v>
      </c>
      <c r="O202" s="9">
        <f t="shared" si="27"/>
        <v>0</v>
      </c>
    </row>
    <row r="203" spans="1:15" x14ac:dyDescent="0.25">
      <c r="A203" s="9" t="str">
        <f>IF(OR(Calculos!$B$7=0,199&gt;Calculos!$B$7),"",INT((199-1)/Calculos!$B$6)+1)</f>
        <v/>
      </c>
      <c r="B203" s="10" t="str">
        <f>IF(A203="","",Inicio!$E$5+(A203-1)*Inicio!$B$6)</f>
        <v/>
      </c>
      <c r="C203" s="11" t="str">
        <f>IF(A203="","",INDEX(Calculos!$B$11:$B$28,IF(A203&gt;Calculos!$B$4,IF(MOD(IF(A203&lt;=Calculos!$B$4,A203,A203-Calculos!$B$4)+MOD(199-1,Calculos!$B$6)+1,2)=0,INDEX(Calculos!$B$36:$S$52,IF(A203&lt;=Calculos!$B$4,A203,A203-Calculos!$B$4),MOD(199-1,Calculos!$B$6)+1),INDEX(Calculos!$B$36:$S$52,IF(A203&lt;=Calculos!$B$4,A203,A203-Calculos!$B$4),Calculos!$B$2+1-MOD(199-1,Calculos!$B$6)+1)),IF(MOD(IF(A203&lt;=Calculos!$B$4,A203,A203-Calculos!$B$4)+MOD(199-1,Calculos!$B$6)+1,2)=0,INDEX(Calculos!$B$36:$S$52,IF(A203&lt;=Calculos!$B$4,A203,A203-Calculos!$B$4),Calculos!$B$2+1-MOD(199-1,Calculos!$B$6)+1),INDEX(Calculos!$B$36:$S$52,IF(A203&lt;=Calculos!$B$4,A203,A203-Calculos!$B$4),MOD(199-1,Calculos!$B$6)+1)))))</f>
        <v/>
      </c>
      <c r="D203" s="4"/>
      <c r="E203" s="4"/>
      <c r="F203" s="11" t="str">
        <f>IF(A203="","",INDEX(Calculos!$B$11:$B$28,IF(A203&gt;Calculos!$B$4,IF(MOD(IF(A203&lt;=Calculos!$B$4,A203,A203-Calculos!$B$4)+MOD(199-1,Calculos!$B$6)+1,2)=0,INDEX(Calculos!$B$36:$S$52,IF(A203&lt;=Calculos!$B$4,A203,A203-Calculos!$B$4),Calculos!$B$2+1-MOD(199-1,Calculos!$B$6)+1),INDEX(Calculos!$B$36:$S$52,IF(A203&lt;=Calculos!$B$4,A203,A203-Calculos!$B$4),MOD(199-1,Calculos!$B$6)+1)),IF(MOD(IF(A203&lt;=Calculos!$B$4,A203,A203-Calculos!$B$4)+MOD(199-1,Calculos!$B$6)+1,2)=0,INDEX(Calculos!$B$36:$S$52,IF(A203&lt;=Calculos!$B$4,A203,A203-Calculos!$B$4),MOD(199-1,Calculos!$B$6)+1),INDEX(Calculos!$B$36:$S$52,IF(A203&lt;=Calculos!$B$4,A203,A203-Calculos!$B$4),Calculos!$B$2+1-MOD(199-1,Calculos!$B$6)+1)))))</f>
        <v/>
      </c>
      <c r="G203" s="9" t="str">
        <f t="shared" si="21"/>
        <v/>
      </c>
      <c r="H203" s="9" t="str">
        <f>IF(OR(C203="",F203=""),"",IF(AND(ISNUMBER(D203),ISNUMBER(E203)),IF(D203&gt;E203,Inicio!$E$6,IF(D203=E203,Inicio!$F$6,Inicio!$G$6)),""))</f>
        <v/>
      </c>
      <c r="I203" s="9" t="str">
        <f>IF(OR(C203="",F203=""),"",IF(AND(ISNUMBER(D203),ISNUMBER(E203)),IF(D203&lt;E203,Inicio!$E$6,IF(D203=E203,Inicio!$F$6,Inicio!$G$6)),""))</f>
        <v/>
      </c>
      <c r="J203" s="9">
        <f t="shared" si="22"/>
        <v>0</v>
      </c>
      <c r="K203" s="9">
        <f t="shared" si="23"/>
        <v>0</v>
      </c>
      <c r="L203" s="9">
        <f t="shared" si="24"/>
        <v>0</v>
      </c>
      <c r="M203" s="9">
        <f t="shared" si="25"/>
        <v>0</v>
      </c>
      <c r="N203" s="9">
        <f t="shared" si="26"/>
        <v>0</v>
      </c>
      <c r="O203" s="9">
        <f t="shared" si="27"/>
        <v>0</v>
      </c>
    </row>
    <row r="204" spans="1:15" x14ac:dyDescent="0.25">
      <c r="A204" s="9" t="str">
        <f>IF(OR(Calculos!$B$7=0,200&gt;Calculos!$B$7),"",INT((200-1)/Calculos!$B$6)+1)</f>
        <v/>
      </c>
      <c r="B204" s="10" t="str">
        <f>IF(A204="","",Inicio!$E$5+(A204-1)*Inicio!$B$6)</f>
        <v/>
      </c>
      <c r="C204" s="11" t="str">
        <f>IF(A204="","",INDEX(Calculos!$B$11:$B$28,IF(A204&gt;Calculos!$B$4,IF(MOD(IF(A204&lt;=Calculos!$B$4,A204,A204-Calculos!$B$4)+MOD(200-1,Calculos!$B$6)+1,2)=0,INDEX(Calculos!$B$36:$S$52,IF(A204&lt;=Calculos!$B$4,A204,A204-Calculos!$B$4),MOD(200-1,Calculos!$B$6)+1),INDEX(Calculos!$B$36:$S$52,IF(A204&lt;=Calculos!$B$4,A204,A204-Calculos!$B$4),Calculos!$B$2+1-MOD(200-1,Calculos!$B$6)+1)),IF(MOD(IF(A204&lt;=Calculos!$B$4,A204,A204-Calculos!$B$4)+MOD(200-1,Calculos!$B$6)+1,2)=0,INDEX(Calculos!$B$36:$S$52,IF(A204&lt;=Calculos!$B$4,A204,A204-Calculos!$B$4),Calculos!$B$2+1-MOD(200-1,Calculos!$B$6)+1),INDEX(Calculos!$B$36:$S$52,IF(A204&lt;=Calculos!$B$4,A204,A204-Calculos!$B$4),MOD(200-1,Calculos!$B$6)+1)))))</f>
        <v/>
      </c>
      <c r="D204" s="4"/>
      <c r="E204" s="4"/>
      <c r="F204" s="11" t="str">
        <f>IF(A204="","",INDEX(Calculos!$B$11:$B$28,IF(A204&gt;Calculos!$B$4,IF(MOD(IF(A204&lt;=Calculos!$B$4,A204,A204-Calculos!$B$4)+MOD(200-1,Calculos!$B$6)+1,2)=0,INDEX(Calculos!$B$36:$S$52,IF(A204&lt;=Calculos!$B$4,A204,A204-Calculos!$B$4),Calculos!$B$2+1-MOD(200-1,Calculos!$B$6)+1),INDEX(Calculos!$B$36:$S$52,IF(A204&lt;=Calculos!$B$4,A204,A204-Calculos!$B$4),MOD(200-1,Calculos!$B$6)+1)),IF(MOD(IF(A204&lt;=Calculos!$B$4,A204,A204-Calculos!$B$4)+MOD(200-1,Calculos!$B$6)+1,2)=0,INDEX(Calculos!$B$36:$S$52,IF(A204&lt;=Calculos!$B$4,A204,A204-Calculos!$B$4),MOD(200-1,Calculos!$B$6)+1),INDEX(Calculos!$B$36:$S$52,IF(A204&lt;=Calculos!$B$4,A204,A204-Calculos!$B$4),Calculos!$B$2+1-MOD(200-1,Calculos!$B$6)+1)))))</f>
        <v/>
      </c>
      <c r="G204" s="9" t="str">
        <f t="shared" si="21"/>
        <v/>
      </c>
      <c r="H204" s="9" t="str">
        <f>IF(OR(C204="",F204=""),"",IF(AND(ISNUMBER(D204),ISNUMBER(E204)),IF(D204&gt;E204,Inicio!$E$6,IF(D204=E204,Inicio!$F$6,Inicio!$G$6)),""))</f>
        <v/>
      </c>
      <c r="I204" s="9" t="str">
        <f>IF(OR(C204="",F204=""),"",IF(AND(ISNUMBER(D204),ISNUMBER(E204)),IF(D204&lt;E204,Inicio!$E$6,IF(D204=E204,Inicio!$F$6,Inicio!$G$6)),""))</f>
        <v/>
      </c>
      <c r="J204" s="9">
        <f t="shared" si="22"/>
        <v>0</v>
      </c>
      <c r="K204" s="9">
        <f t="shared" si="23"/>
        <v>0</v>
      </c>
      <c r="L204" s="9">
        <f t="shared" si="24"/>
        <v>0</v>
      </c>
      <c r="M204" s="9">
        <f t="shared" si="25"/>
        <v>0</v>
      </c>
      <c r="N204" s="9">
        <f t="shared" si="26"/>
        <v>0</v>
      </c>
      <c r="O204" s="9">
        <f t="shared" si="27"/>
        <v>0</v>
      </c>
    </row>
    <row r="205" spans="1:15" x14ac:dyDescent="0.25">
      <c r="A205" s="9" t="str">
        <f>IF(OR(Calculos!$B$7=0,201&gt;Calculos!$B$7),"",INT((201-1)/Calculos!$B$6)+1)</f>
        <v/>
      </c>
      <c r="B205" s="10" t="str">
        <f>IF(A205="","",Inicio!$E$5+(A205-1)*Inicio!$B$6)</f>
        <v/>
      </c>
      <c r="C205" s="11" t="str">
        <f>IF(A205="","",INDEX(Calculos!$B$11:$B$28,IF(A205&gt;Calculos!$B$4,IF(MOD(IF(A205&lt;=Calculos!$B$4,A205,A205-Calculos!$B$4)+MOD(201-1,Calculos!$B$6)+1,2)=0,INDEX(Calculos!$B$36:$S$52,IF(A205&lt;=Calculos!$B$4,A205,A205-Calculos!$B$4),MOD(201-1,Calculos!$B$6)+1),INDEX(Calculos!$B$36:$S$52,IF(A205&lt;=Calculos!$B$4,A205,A205-Calculos!$B$4),Calculos!$B$2+1-MOD(201-1,Calculos!$B$6)+1)),IF(MOD(IF(A205&lt;=Calculos!$B$4,A205,A205-Calculos!$B$4)+MOD(201-1,Calculos!$B$6)+1,2)=0,INDEX(Calculos!$B$36:$S$52,IF(A205&lt;=Calculos!$B$4,A205,A205-Calculos!$B$4),Calculos!$B$2+1-MOD(201-1,Calculos!$B$6)+1),INDEX(Calculos!$B$36:$S$52,IF(A205&lt;=Calculos!$B$4,A205,A205-Calculos!$B$4),MOD(201-1,Calculos!$B$6)+1)))))</f>
        <v/>
      </c>
      <c r="D205" s="4"/>
      <c r="E205" s="4"/>
      <c r="F205" s="11" t="str">
        <f>IF(A205="","",INDEX(Calculos!$B$11:$B$28,IF(A205&gt;Calculos!$B$4,IF(MOD(IF(A205&lt;=Calculos!$B$4,A205,A205-Calculos!$B$4)+MOD(201-1,Calculos!$B$6)+1,2)=0,INDEX(Calculos!$B$36:$S$52,IF(A205&lt;=Calculos!$B$4,A205,A205-Calculos!$B$4),Calculos!$B$2+1-MOD(201-1,Calculos!$B$6)+1),INDEX(Calculos!$B$36:$S$52,IF(A205&lt;=Calculos!$B$4,A205,A205-Calculos!$B$4),MOD(201-1,Calculos!$B$6)+1)),IF(MOD(IF(A205&lt;=Calculos!$B$4,A205,A205-Calculos!$B$4)+MOD(201-1,Calculos!$B$6)+1,2)=0,INDEX(Calculos!$B$36:$S$52,IF(A205&lt;=Calculos!$B$4,A205,A205-Calculos!$B$4),MOD(201-1,Calculos!$B$6)+1),INDEX(Calculos!$B$36:$S$52,IF(A205&lt;=Calculos!$B$4,A205,A205-Calculos!$B$4),Calculos!$B$2+1-MOD(201-1,Calculos!$B$6)+1)))))</f>
        <v/>
      </c>
      <c r="G205" s="9" t="str">
        <f t="shared" si="21"/>
        <v/>
      </c>
      <c r="H205" s="9" t="str">
        <f>IF(OR(C205="",F205=""),"",IF(AND(ISNUMBER(D205),ISNUMBER(E205)),IF(D205&gt;E205,Inicio!$E$6,IF(D205=E205,Inicio!$F$6,Inicio!$G$6)),""))</f>
        <v/>
      </c>
      <c r="I205" s="9" t="str">
        <f>IF(OR(C205="",F205=""),"",IF(AND(ISNUMBER(D205),ISNUMBER(E205)),IF(D205&lt;E205,Inicio!$E$6,IF(D205=E205,Inicio!$F$6,Inicio!$G$6)),""))</f>
        <v/>
      </c>
      <c r="J205" s="9">
        <f t="shared" si="22"/>
        <v>0</v>
      </c>
      <c r="K205" s="9">
        <f t="shared" si="23"/>
        <v>0</v>
      </c>
      <c r="L205" s="9">
        <f t="shared" si="24"/>
        <v>0</v>
      </c>
      <c r="M205" s="9">
        <f t="shared" si="25"/>
        <v>0</v>
      </c>
      <c r="N205" s="9">
        <f t="shared" si="26"/>
        <v>0</v>
      </c>
      <c r="O205" s="9">
        <f t="shared" si="27"/>
        <v>0</v>
      </c>
    </row>
    <row r="206" spans="1:15" x14ac:dyDescent="0.25">
      <c r="A206" s="9" t="str">
        <f>IF(OR(Calculos!$B$7=0,202&gt;Calculos!$B$7),"",INT((202-1)/Calculos!$B$6)+1)</f>
        <v/>
      </c>
      <c r="B206" s="10" t="str">
        <f>IF(A206="","",Inicio!$E$5+(A206-1)*Inicio!$B$6)</f>
        <v/>
      </c>
      <c r="C206" s="11" t="str">
        <f>IF(A206="","",INDEX(Calculos!$B$11:$B$28,IF(A206&gt;Calculos!$B$4,IF(MOD(IF(A206&lt;=Calculos!$B$4,A206,A206-Calculos!$B$4)+MOD(202-1,Calculos!$B$6)+1,2)=0,INDEX(Calculos!$B$36:$S$52,IF(A206&lt;=Calculos!$B$4,A206,A206-Calculos!$B$4),MOD(202-1,Calculos!$B$6)+1),INDEX(Calculos!$B$36:$S$52,IF(A206&lt;=Calculos!$B$4,A206,A206-Calculos!$B$4),Calculos!$B$2+1-MOD(202-1,Calculos!$B$6)+1)),IF(MOD(IF(A206&lt;=Calculos!$B$4,A206,A206-Calculos!$B$4)+MOD(202-1,Calculos!$B$6)+1,2)=0,INDEX(Calculos!$B$36:$S$52,IF(A206&lt;=Calculos!$B$4,A206,A206-Calculos!$B$4),Calculos!$B$2+1-MOD(202-1,Calculos!$B$6)+1),INDEX(Calculos!$B$36:$S$52,IF(A206&lt;=Calculos!$B$4,A206,A206-Calculos!$B$4),MOD(202-1,Calculos!$B$6)+1)))))</f>
        <v/>
      </c>
      <c r="D206" s="4"/>
      <c r="E206" s="4"/>
      <c r="F206" s="11" t="str">
        <f>IF(A206="","",INDEX(Calculos!$B$11:$B$28,IF(A206&gt;Calculos!$B$4,IF(MOD(IF(A206&lt;=Calculos!$B$4,A206,A206-Calculos!$B$4)+MOD(202-1,Calculos!$B$6)+1,2)=0,INDEX(Calculos!$B$36:$S$52,IF(A206&lt;=Calculos!$B$4,A206,A206-Calculos!$B$4),Calculos!$B$2+1-MOD(202-1,Calculos!$B$6)+1),INDEX(Calculos!$B$36:$S$52,IF(A206&lt;=Calculos!$B$4,A206,A206-Calculos!$B$4),MOD(202-1,Calculos!$B$6)+1)),IF(MOD(IF(A206&lt;=Calculos!$B$4,A206,A206-Calculos!$B$4)+MOD(202-1,Calculos!$B$6)+1,2)=0,INDEX(Calculos!$B$36:$S$52,IF(A206&lt;=Calculos!$B$4,A206,A206-Calculos!$B$4),MOD(202-1,Calculos!$B$6)+1),INDEX(Calculos!$B$36:$S$52,IF(A206&lt;=Calculos!$B$4,A206,A206-Calculos!$B$4),Calculos!$B$2+1-MOD(202-1,Calculos!$B$6)+1)))))</f>
        <v/>
      </c>
      <c r="G206" s="9" t="str">
        <f t="shared" si="21"/>
        <v/>
      </c>
      <c r="H206" s="9" t="str">
        <f>IF(OR(C206="",F206=""),"",IF(AND(ISNUMBER(D206),ISNUMBER(E206)),IF(D206&gt;E206,Inicio!$E$6,IF(D206=E206,Inicio!$F$6,Inicio!$G$6)),""))</f>
        <v/>
      </c>
      <c r="I206" s="9" t="str">
        <f>IF(OR(C206="",F206=""),"",IF(AND(ISNUMBER(D206),ISNUMBER(E206)),IF(D206&lt;E206,Inicio!$E$6,IF(D206=E206,Inicio!$F$6,Inicio!$G$6)),""))</f>
        <v/>
      </c>
      <c r="J206" s="9">
        <f t="shared" si="22"/>
        <v>0</v>
      </c>
      <c r="K206" s="9">
        <f t="shared" si="23"/>
        <v>0</v>
      </c>
      <c r="L206" s="9">
        <f t="shared" si="24"/>
        <v>0</v>
      </c>
      <c r="M206" s="9">
        <f t="shared" si="25"/>
        <v>0</v>
      </c>
      <c r="N206" s="9">
        <f t="shared" si="26"/>
        <v>0</v>
      </c>
      <c r="O206" s="9">
        <f t="shared" si="27"/>
        <v>0</v>
      </c>
    </row>
    <row r="207" spans="1:15" x14ac:dyDescent="0.25">
      <c r="A207" s="9" t="str">
        <f>IF(OR(Calculos!$B$7=0,203&gt;Calculos!$B$7),"",INT((203-1)/Calculos!$B$6)+1)</f>
        <v/>
      </c>
      <c r="B207" s="10" t="str">
        <f>IF(A207="","",Inicio!$E$5+(A207-1)*Inicio!$B$6)</f>
        <v/>
      </c>
      <c r="C207" s="11" t="str">
        <f>IF(A207="","",INDEX(Calculos!$B$11:$B$28,IF(A207&gt;Calculos!$B$4,IF(MOD(IF(A207&lt;=Calculos!$B$4,A207,A207-Calculos!$B$4)+MOD(203-1,Calculos!$B$6)+1,2)=0,INDEX(Calculos!$B$36:$S$52,IF(A207&lt;=Calculos!$B$4,A207,A207-Calculos!$B$4),MOD(203-1,Calculos!$B$6)+1),INDEX(Calculos!$B$36:$S$52,IF(A207&lt;=Calculos!$B$4,A207,A207-Calculos!$B$4),Calculos!$B$2+1-MOD(203-1,Calculos!$B$6)+1)),IF(MOD(IF(A207&lt;=Calculos!$B$4,A207,A207-Calculos!$B$4)+MOD(203-1,Calculos!$B$6)+1,2)=0,INDEX(Calculos!$B$36:$S$52,IF(A207&lt;=Calculos!$B$4,A207,A207-Calculos!$B$4),Calculos!$B$2+1-MOD(203-1,Calculos!$B$6)+1),INDEX(Calculos!$B$36:$S$52,IF(A207&lt;=Calculos!$B$4,A207,A207-Calculos!$B$4),MOD(203-1,Calculos!$B$6)+1)))))</f>
        <v/>
      </c>
      <c r="D207" s="4"/>
      <c r="E207" s="4"/>
      <c r="F207" s="11" t="str">
        <f>IF(A207="","",INDEX(Calculos!$B$11:$B$28,IF(A207&gt;Calculos!$B$4,IF(MOD(IF(A207&lt;=Calculos!$B$4,A207,A207-Calculos!$B$4)+MOD(203-1,Calculos!$B$6)+1,2)=0,INDEX(Calculos!$B$36:$S$52,IF(A207&lt;=Calculos!$B$4,A207,A207-Calculos!$B$4),Calculos!$B$2+1-MOD(203-1,Calculos!$B$6)+1),INDEX(Calculos!$B$36:$S$52,IF(A207&lt;=Calculos!$B$4,A207,A207-Calculos!$B$4),MOD(203-1,Calculos!$B$6)+1)),IF(MOD(IF(A207&lt;=Calculos!$B$4,A207,A207-Calculos!$B$4)+MOD(203-1,Calculos!$B$6)+1,2)=0,INDEX(Calculos!$B$36:$S$52,IF(A207&lt;=Calculos!$B$4,A207,A207-Calculos!$B$4),MOD(203-1,Calculos!$B$6)+1),INDEX(Calculos!$B$36:$S$52,IF(A207&lt;=Calculos!$B$4,A207,A207-Calculos!$B$4),Calculos!$B$2+1-MOD(203-1,Calculos!$B$6)+1)))))</f>
        <v/>
      </c>
      <c r="G207" s="9" t="str">
        <f t="shared" si="21"/>
        <v/>
      </c>
      <c r="H207" s="9" t="str">
        <f>IF(OR(C207="",F207=""),"",IF(AND(ISNUMBER(D207),ISNUMBER(E207)),IF(D207&gt;E207,Inicio!$E$6,IF(D207=E207,Inicio!$F$6,Inicio!$G$6)),""))</f>
        <v/>
      </c>
      <c r="I207" s="9" t="str">
        <f>IF(OR(C207="",F207=""),"",IF(AND(ISNUMBER(D207),ISNUMBER(E207)),IF(D207&lt;E207,Inicio!$E$6,IF(D207=E207,Inicio!$F$6,Inicio!$G$6)),""))</f>
        <v/>
      </c>
      <c r="J207" s="9">
        <f t="shared" si="22"/>
        <v>0</v>
      </c>
      <c r="K207" s="9">
        <f t="shared" si="23"/>
        <v>0</v>
      </c>
      <c r="L207" s="9">
        <f t="shared" si="24"/>
        <v>0</v>
      </c>
      <c r="M207" s="9">
        <f t="shared" si="25"/>
        <v>0</v>
      </c>
      <c r="N207" s="9">
        <f t="shared" si="26"/>
        <v>0</v>
      </c>
      <c r="O207" s="9">
        <f t="shared" si="27"/>
        <v>0</v>
      </c>
    </row>
    <row r="208" spans="1:15" x14ac:dyDescent="0.25">
      <c r="A208" s="9" t="str">
        <f>IF(OR(Calculos!$B$7=0,204&gt;Calculos!$B$7),"",INT((204-1)/Calculos!$B$6)+1)</f>
        <v/>
      </c>
      <c r="B208" s="10" t="str">
        <f>IF(A208="","",Inicio!$E$5+(A208-1)*Inicio!$B$6)</f>
        <v/>
      </c>
      <c r="C208" s="11" t="str">
        <f>IF(A208="","",INDEX(Calculos!$B$11:$B$28,IF(A208&gt;Calculos!$B$4,IF(MOD(IF(A208&lt;=Calculos!$B$4,A208,A208-Calculos!$B$4)+MOD(204-1,Calculos!$B$6)+1,2)=0,INDEX(Calculos!$B$36:$S$52,IF(A208&lt;=Calculos!$B$4,A208,A208-Calculos!$B$4),MOD(204-1,Calculos!$B$6)+1),INDEX(Calculos!$B$36:$S$52,IF(A208&lt;=Calculos!$B$4,A208,A208-Calculos!$B$4),Calculos!$B$2+1-MOD(204-1,Calculos!$B$6)+1)),IF(MOD(IF(A208&lt;=Calculos!$B$4,A208,A208-Calculos!$B$4)+MOD(204-1,Calculos!$B$6)+1,2)=0,INDEX(Calculos!$B$36:$S$52,IF(A208&lt;=Calculos!$B$4,A208,A208-Calculos!$B$4),Calculos!$B$2+1-MOD(204-1,Calculos!$B$6)+1),INDEX(Calculos!$B$36:$S$52,IF(A208&lt;=Calculos!$B$4,A208,A208-Calculos!$B$4),MOD(204-1,Calculos!$B$6)+1)))))</f>
        <v/>
      </c>
      <c r="D208" s="4"/>
      <c r="E208" s="4"/>
      <c r="F208" s="11" t="str">
        <f>IF(A208="","",INDEX(Calculos!$B$11:$B$28,IF(A208&gt;Calculos!$B$4,IF(MOD(IF(A208&lt;=Calculos!$B$4,A208,A208-Calculos!$B$4)+MOD(204-1,Calculos!$B$6)+1,2)=0,INDEX(Calculos!$B$36:$S$52,IF(A208&lt;=Calculos!$B$4,A208,A208-Calculos!$B$4),Calculos!$B$2+1-MOD(204-1,Calculos!$B$6)+1),INDEX(Calculos!$B$36:$S$52,IF(A208&lt;=Calculos!$B$4,A208,A208-Calculos!$B$4),MOD(204-1,Calculos!$B$6)+1)),IF(MOD(IF(A208&lt;=Calculos!$B$4,A208,A208-Calculos!$B$4)+MOD(204-1,Calculos!$B$6)+1,2)=0,INDEX(Calculos!$B$36:$S$52,IF(A208&lt;=Calculos!$B$4,A208,A208-Calculos!$B$4),MOD(204-1,Calculos!$B$6)+1),INDEX(Calculos!$B$36:$S$52,IF(A208&lt;=Calculos!$B$4,A208,A208-Calculos!$B$4),Calculos!$B$2+1-MOD(204-1,Calculos!$B$6)+1)))))</f>
        <v/>
      </c>
      <c r="G208" s="9" t="str">
        <f t="shared" si="21"/>
        <v/>
      </c>
      <c r="H208" s="9" t="str">
        <f>IF(OR(C208="",F208=""),"",IF(AND(ISNUMBER(D208),ISNUMBER(E208)),IF(D208&gt;E208,Inicio!$E$6,IF(D208=E208,Inicio!$F$6,Inicio!$G$6)),""))</f>
        <v/>
      </c>
      <c r="I208" s="9" t="str">
        <f>IF(OR(C208="",F208=""),"",IF(AND(ISNUMBER(D208),ISNUMBER(E208)),IF(D208&lt;E208,Inicio!$E$6,IF(D208=E208,Inicio!$F$6,Inicio!$G$6)),""))</f>
        <v/>
      </c>
      <c r="J208" s="9">
        <f t="shared" si="22"/>
        <v>0</v>
      </c>
      <c r="K208" s="9">
        <f t="shared" si="23"/>
        <v>0</v>
      </c>
      <c r="L208" s="9">
        <f t="shared" si="24"/>
        <v>0</v>
      </c>
      <c r="M208" s="9">
        <f t="shared" si="25"/>
        <v>0</v>
      </c>
      <c r="N208" s="9">
        <f t="shared" si="26"/>
        <v>0</v>
      </c>
      <c r="O208" s="9">
        <f t="shared" si="27"/>
        <v>0</v>
      </c>
    </row>
    <row r="209" spans="1:15" x14ac:dyDescent="0.25">
      <c r="A209" s="9" t="str">
        <f>IF(OR(Calculos!$B$7=0,205&gt;Calculos!$B$7),"",INT((205-1)/Calculos!$B$6)+1)</f>
        <v/>
      </c>
      <c r="B209" s="10" t="str">
        <f>IF(A209="","",Inicio!$E$5+(A209-1)*Inicio!$B$6)</f>
        <v/>
      </c>
      <c r="C209" s="11" t="str">
        <f>IF(A209="","",INDEX(Calculos!$B$11:$B$28,IF(A209&gt;Calculos!$B$4,IF(MOD(IF(A209&lt;=Calculos!$B$4,A209,A209-Calculos!$B$4)+MOD(205-1,Calculos!$B$6)+1,2)=0,INDEX(Calculos!$B$36:$S$52,IF(A209&lt;=Calculos!$B$4,A209,A209-Calculos!$B$4),MOD(205-1,Calculos!$B$6)+1),INDEX(Calculos!$B$36:$S$52,IF(A209&lt;=Calculos!$B$4,A209,A209-Calculos!$B$4),Calculos!$B$2+1-MOD(205-1,Calculos!$B$6)+1)),IF(MOD(IF(A209&lt;=Calculos!$B$4,A209,A209-Calculos!$B$4)+MOD(205-1,Calculos!$B$6)+1,2)=0,INDEX(Calculos!$B$36:$S$52,IF(A209&lt;=Calculos!$B$4,A209,A209-Calculos!$B$4),Calculos!$B$2+1-MOD(205-1,Calculos!$B$6)+1),INDEX(Calculos!$B$36:$S$52,IF(A209&lt;=Calculos!$B$4,A209,A209-Calculos!$B$4),MOD(205-1,Calculos!$B$6)+1)))))</f>
        <v/>
      </c>
      <c r="D209" s="4"/>
      <c r="E209" s="4"/>
      <c r="F209" s="11" t="str">
        <f>IF(A209="","",INDEX(Calculos!$B$11:$B$28,IF(A209&gt;Calculos!$B$4,IF(MOD(IF(A209&lt;=Calculos!$B$4,A209,A209-Calculos!$B$4)+MOD(205-1,Calculos!$B$6)+1,2)=0,INDEX(Calculos!$B$36:$S$52,IF(A209&lt;=Calculos!$B$4,A209,A209-Calculos!$B$4),Calculos!$B$2+1-MOD(205-1,Calculos!$B$6)+1),INDEX(Calculos!$B$36:$S$52,IF(A209&lt;=Calculos!$B$4,A209,A209-Calculos!$B$4),MOD(205-1,Calculos!$B$6)+1)),IF(MOD(IF(A209&lt;=Calculos!$B$4,A209,A209-Calculos!$B$4)+MOD(205-1,Calculos!$B$6)+1,2)=0,INDEX(Calculos!$B$36:$S$52,IF(A209&lt;=Calculos!$B$4,A209,A209-Calculos!$B$4),MOD(205-1,Calculos!$B$6)+1),INDEX(Calculos!$B$36:$S$52,IF(A209&lt;=Calculos!$B$4,A209,A209-Calculos!$B$4),Calculos!$B$2+1-MOD(205-1,Calculos!$B$6)+1)))))</f>
        <v/>
      </c>
      <c r="G209" s="9" t="str">
        <f t="shared" si="21"/>
        <v/>
      </c>
      <c r="H209" s="9" t="str">
        <f>IF(OR(C209="",F209=""),"",IF(AND(ISNUMBER(D209),ISNUMBER(E209)),IF(D209&gt;E209,Inicio!$E$6,IF(D209=E209,Inicio!$F$6,Inicio!$G$6)),""))</f>
        <v/>
      </c>
      <c r="I209" s="9" t="str">
        <f>IF(OR(C209="",F209=""),"",IF(AND(ISNUMBER(D209),ISNUMBER(E209)),IF(D209&lt;E209,Inicio!$E$6,IF(D209=E209,Inicio!$F$6,Inicio!$G$6)),""))</f>
        <v/>
      </c>
      <c r="J209" s="9">
        <f t="shared" si="22"/>
        <v>0</v>
      </c>
      <c r="K209" s="9">
        <f t="shared" si="23"/>
        <v>0</v>
      </c>
      <c r="L209" s="9">
        <f t="shared" si="24"/>
        <v>0</v>
      </c>
      <c r="M209" s="9">
        <f t="shared" si="25"/>
        <v>0</v>
      </c>
      <c r="N209" s="9">
        <f t="shared" si="26"/>
        <v>0</v>
      </c>
      <c r="O209" s="9">
        <f t="shared" si="27"/>
        <v>0</v>
      </c>
    </row>
    <row r="210" spans="1:15" x14ac:dyDescent="0.25">
      <c r="A210" s="9" t="str">
        <f>IF(OR(Calculos!$B$7=0,206&gt;Calculos!$B$7),"",INT((206-1)/Calculos!$B$6)+1)</f>
        <v/>
      </c>
      <c r="B210" s="10" t="str">
        <f>IF(A210="","",Inicio!$E$5+(A210-1)*Inicio!$B$6)</f>
        <v/>
      </c>
      <c r="C210" s="11" t="str">
        <f>IF(A210="","",INDEX(Calculos!$B$11:$B$28,IF(A210&gt;Calculos!$B$4,IF(MOD(IF(A210&lt;=Calculos!$B$4,A210,A210-Calculos!$B$4)+MOD(206-1,Calculos!$B$6)+1,2)=0,INDEX(Calculos!$B$36:$S$52,IF(A210&lt;=Calculos!$B$4,A210,A210-Calculos!$B$4),MOD(206-1,Calculos!$B$6)+1),INDEX(Calculos!$B$36:$S$52,IF(A210&lt;=Calculos!$B$4,A210,A210-Calculos!$B$4),Calculos!$B$2+1-MOD(206-1,Calculos!$B$6)+1)),IF(MOD(IF(A210&lt;=Calculos!$B$4,A210,A210-Calculos!$B$4)+MOD(206-1,Calculos!$B$6)+1,2)=0,INDEX(Calculos!$B$36:$S$52,IF(A210&lt;=Calculos!$B$4,A210,A210-Calculos!$B$4),Calculos!$B$2+1-MOD(206-1,Calculos!$B$6)+1),INDEX(Calculos!$B$36:$S$52,IF(A210&lt;=Calculos!$B$4,A210,A210-Calculos!$B$4),MOD(206-1,Calculos!$B$6)+1)))))</f>
        <v/>
      </c>
      <c r="D210" s="4"/>
      <c r="E210" s="4"/>
      <c r="F210" s="11" t="str">
        <f>IF(A210="","",INDEX(Calculos!$B$11:$B$28,IF(A210&gt;Calculos!$B$4,IF(MOD(IF(A210&lt;=Calculos!$B$4,A210,A210-Calculos!$B$4)+MOD(206-1,Calculos!$B$6)+1,2)=0,INDEX(Calculos!$B$36:$S$52,IF(A210&lt;=Calculos!$B$4,A210,A210-Calculos!$B$4),Calculos!$B$2+1-MOD(206-1,Calculos!$B$6)+1),INDEX(Calculos!$B$36:$S$52,IF(A210&lt;=Calculos!$B$4,A210,A210-Calculos!$B$4),MOD(206-1,Calculos!$B$6)+1)),IF(MOD(IF(A210&lt;=Calculos!$B$4,A210,A210-Calculos!$B$4)+MOD(206-1,Calculos!$B$6)+1,2)=0,INDEX(Calculos!$B$36:$S$52,IF(A210&lt;=Calculos!$B$4,A210,A210-Calculos!$B$4),MOD(206-1,Calculos!$B$6)+1),INDEX(Calculos!$B$36:$S$52,IF(A210&lt;=Calculos!$B$4,A210,A210-Calculos!$B$4),Calculos!$B$2+1-MOD(206-1,Calculos!$B$6)+1)))))</f>
        <v/>
      </c>
      <c r="G210" s="9" t="str">
        <f t="shared" si="21"/>
        <v/>
      </c>
      <c r="H210" s="9" t="str">
        <f>IF(OR(C210="",F210=""),"",IF(AND(ISNUMBER(D210),ISNUMBER(E210)),IF(D210&gt;E210,Inicio!$E$6,IF(D210=E210,Inicio!$F$6,Inicio!$G$6)),""))</f>
        <v/>
      </c>
      <c r="I210" s="9" t="str">
        <f>IF(OR(C210="",F210=""),"",IF(AND(ISNUMBER(D210),ISNUMBER(E210)),IF(D210&lt;E210,Inicio!$E$6,IF(D210=E210,Inicio!$F$6,Inicio!$G$6)),""))</f>
        <v/>
      </c>
      <c r="J210" s="9">
        <f t="shared" si="22"/>
        <v>0</v>
      </c>
      <c r="K210" s="9">
        <f t="shared" si="23"/>
        <v>0</v>
      </c>
      <c r="L210" s="9">
        <f t="shared" si="24"/>
        <v>0</v>
      </c>
      <c r="M210" s="9">
        <f t="shared" si="25"/>
        <v>0</v>
      </c>
      <c r="N210" s="9">
        <f t="shared" si="26"/>
        <v>0</v>
      </c>
      <c r="O210" s="9">
        <f t="shared" si="27"/>
        <v>0</v>
      </c>
    </row>
    <row r="211" spans="1:15" x14ac:dyDescent="0.25">
      <c r="A211" s="9" t="str">
        <f>IF(OR(Calculos!$B$7=0,207&gt;Calculos!$B$7),"",INT((207-1)/Calculos!$B$6)+1)</f>
        <v/>
      </c>
      <c r="B211" s="10" t="str">
        <f>IF(A211="","",Inicio!$E$5+(A211-1)*Inicio!$B$6)</f>
        <v/>
      </c>
      <c r="C211" s="11" t="str">
        <f>IF(A211="","",INDEX(Calculos!$B$11:$B$28,IF(A211&gt;Calculos!$B$4,IF(MOD(IF(A211&lt;=Calculos!$B$4,A211,A211-Calculos!$B$4)+MOD(207-1,Calculos!$B$6)+1,2)=0,INDEX(Calculos!$B$36:$S$52,IF(A211&lt;=Calculos!$B$4,A211,A211-Calculos!$B$4),MOD(207-1,Calculos!$B$6)+1),INDEX(Calculos!$B$36:$S$52,IF(A211&lt;=Calculos!$B$4,A211,A211-Calculos!$B$4),Calculos!$B$2+1-MOD(207-1,Calculos!$B$6)+1)),IF(MOD(IF(A211&lt;=Calculos!$B$4,A211,A211-Calculos!$B$4)+MOD(207-1,Calculos!$B$6)+1,2)=0,INDEX(Calculos!$B$36:$S$52,IF(A211&lt;=Calculos!$B$4,A211,A211-Calculos!$B$4),Calculos!$B$2+1-MOD(207-1,Calculos!$B$6)+1),INDEX(Calculos!$B$36:$S$52,IF(A211&lt;=Calculos!$B$4,A211,A211-Calculos!$B$4),MOD(207-1,Calculos!$B$6)+1)))))</f>
        <v/>
      </c>
      <c r="D211" s="4"/>
      <c r="E211" s="4"/>
      <c r="F211" s="11" t="str">
        <f>IF(A211="","",INDEX(Calculos!$B$11:$B$28,IF(A211&gt;Calculos!$B$4,IF(MOD(IF(A211&lt;=Calculos!$B$4,A211,A211-Calculos!$B$4)+MOD(207-1,Calculos!$B$6)+1,2)=0,INDEX(Calculos!$B$36:$S$52,IF(A211&lt;=Calculos!$B$4,A211,A211-Calculos!$B$4),Calculos!$B$2+1-MOD(207-1,Calculos!$B$6)+1),INDEX(Calculos!$B$36:$S$52,IF(A211&lt;=Calculos!$B$4,A211,A211-Calculos!$B$4),MOD(207-1,Calculos!$B$6)+1)),IF(MOD(IF(A211&lt;=Calculos!$B$4,A211,A211-Calculos!$B$4)+MOD(207-1,Calculos!$B$6)+1,2)=0,INDEX(Calculos!$B$36:$S$52,IF(A211&lt;=Calculos!$B$4,A211,A211-Calculos!$B$4),MOD(207-1,Calculos!$B$6)+1),INDEX(Calculos!$B$36:$S$52,IF(A211&lt;=Calculos!$B$4,A211,A211-Calculos!$B$4),Calculos!$B$2+1-MOD(207-1,Calculos!$B$6)+1)))))</f>
        <v/>
      </c>
      <c r="G211" s="9" t="str">
        <f t="shared" si="21"/>
        <v/>
      </c>
      <c r="H211" s="9" t="str">
        <f>IF(OR(C211="",F211=""),"",IF(AND(ISNUMBER(D211),ISNUMBER(E211)),IF(D211&gt;E211,Inicio!$E$6,IF(D211=E211,Inicio!$F$6,Inicio!$G$6)),""))</f>
        <v/>
      </c>
      <c r="I211" s="9" t="str">
        <f>IF(OR(C211="",F211=""),"",IF(AND(ISNUMBER(D211),ISNUMBER(E211)),IF(D211&lt;E211,Inicio!$E$6,IF(D211=E211,Inicio!$F$6,Inicio!$G$6)),""))</f>
        <v/>
      </c>
      <c r="J211" s="9">
        <f t="shared" si="22"/>
        <v>0</v>
      </c>
      <c r="K211" s="9">
        <f t="shared" si="23"/>
        <v>0</v>
      </c>
      <c r="L211" s="9">
        <f t="shared" si="24"/>
        <v>0</v>
      </c>
      <c r="M211" s="9">
        <f t="shared" si="25"/>
        <v>0</v>
      </c>
      <c r="N211" s="9">
        <f t="shared" si="26"/>
        <v>0</v>
      </c>
      <c r="O211" s="9">
        <f t="shared" si="27"/>
        <v>0</v>
      </c>
    </row>
    <row r="212" spans="1:15" x14ac:dyDescent="0.25">
      <c r="A212" s="9" t="str">
        <f>IF(OR(Calculos!$B$7=0,208&gt;Calculos!$B$7),"",INT((208-1)/Calculos!$B$6)+1)</f>
        <v/>
      </c>
      <c r="B212" s="10" t="str">
        <f>IF(A212="","",Inicio!$E$5+(A212-1)*Inicio!$B$6)</f>
        <v/>
      </c>
      <c r="C212" s="11" t="str">
        <f>IF(A212="","",INDEX(Calculos!$B$11:$B$28,IF(A212&gt;Calculos!$B$4,IF(MOD(IF(A212&lt;=Calculos!$B$4,A212,A212-Calculos!$B$4)+MOD(208-1,Calculos!$B$6)+1,2)=0,INDEX(Calculos!$B$36:$S$52,IF(A212&lt;=Calculos!$B$4,A212,A212-Calculos!$B$4),MOD(208-1,Calculos!$B$6)+1),INDEX(Calculos!$B$36:$S$52,IF(A212&lt;=Calculos!$B$4,A212,A212-Calculos!$B$4),Calculos!$B$2+1-MOD(208-1,Calculos!$B$6)+1)),IF(MOD(IF(A212&lt;=Calculos!$B$4,A212,A212-Calculos!$B$4)+MOD(208-1,Calculos!$B$6)+1,2)=0,INDEX(Calculos!$B$36:$S$52,IF(A212&lt;=Calculos!$B$4,A212,A212-Calculos!$B$4),Calculos!$B$2+1-MOD(208-1,Calculos!$B$6)+1),INDEX(Calculos!$B$36:$S$52,IF(A212&lt;=Calculos!$B$4,A212,A212-Calculos!$B$4),MOD(208-1,Calculos!$B$6)+1)))))</f>
        <v/>
      </c>
      <c r="D212" s="4"/>
      <c r="E212" s="4"/>
      <c r="F212" s="11" t="str">
        <f>IF(A212="","",INDEX(Calculos!$B$11:$B$28,IF(A212&gt;Calculos!$B$4,IF(MOD(IF(A212&lt;=Calculos!$B$4,A212,A212-Calculos!$B$4)+MOD(208-1,Calculos!$B$6)+1,2)=0,INDEX(Calculos!$B$36:$S$52,IF(A212&lt;=Calculos!$B$4,A212,A212-Calculos!$B$4),Calculos!$B$2+1-MOD(208-1,Calculos!$B$6)+1),INDEX(Calculos!$B$36:$S$52,IF(A212&lt;=Calculos!$B$4,A212,A212-Calculos!$B$4),MOD(208-1,Calculos!$B$6)+1)),IF(MOD(IF(A212&lt;=Calculos!$B$4,A212,A212-Calculos!$B$4)+MOD(208-1,Calculos!$B$6)+1,2)=0,INDEX(Calculos!$B$36:$S$52,IF(A212&lt;=Calculos!$B$4,A212,A212-Calculos!$B$4),MOD(208-1,Calculos!$B$6)+1),INDEX(Calculos!$B$36:$S$52,IF(A212&lt;=Calculos!$B$4,A212,A212-Calculos!$B$4),Calculos!$B$2+1-MOD(208-1,Calculos!$B$6)+1)))))</f>
        <v/>
      </c>
      <c r="G212" s="9" t="str">
        <f t="shared" si="21"/>
        <v/>
      </c>
      <c r="H212" s="9" t="str">
        <f>IF(OR(C212="",F212=""),"",IF(AND(ISNUMBER(D212),ISNUMBER(E212)),IF(D212&gt;E212,Inicio!$E$6,IF(D212=E212,Inicio!$F$6,Inicio!$G$6)),""))</f>
        <v/>
      </c>
      <c r="I212" s="9" t="str">
        <f>IF(OR(C212="",F212=""),"",IF(AND(ISNUMBER(D212),ISNUMBER(E212)),IF(D212&lt;E212,Inicio!$E$6,IF(D212=E212,Inicio!$F$6,Inicio!$G$6)),""))</f>
        <v/>
      </c>
      <c r="J212" s="9">
        <f t="shared" si="22"/>
        <v>0</v>
      </c>
      <c r="K212" s="9">
        <f t="shared" si="23"/>
        <v>0</v>
      </c>
      <c r="L212" s="9">
        <f t="shared" si="24"/>
        <v>0</v>
      </c>
      <c r="M212" s="9">
        <f t="shared" si="25"/>
        <v>0</v>
      </c>
      <c r="N212" s="9">
        <f t="shared" si="26"/>
        <v>0</v>
      </c>
      <c r="O212" s="9">
        <f t="shared" si="27"/>
        <v>0</v>
      </c>
    </row>
    <row r="213" spans="1:15" x14ac:dyDescent="0.25">
      <c r="A213" s="9" t="str">
        <f>IF(OR(Calculos!$B$7=0,209&gt;Calculos!$B$7),"",INT((209-1)/Calculos!$B$6)+1)</f>
        <v/>
      </c>
      <c r="B213" s="10" t="str">
        <f>IF(A213="","",Inicio!$E$5+(A213-1)*Inicio!$B$6)</f>
        <v/>
      </c>
      <c r="C213" s="11" t="str">
        <f>IF(A213="","",INDEX(Calculos!$B$11:$B$28,IF(A213&gt;Calculos!$B$4,IF(MOD(IF(A213&lt;=Calculos!$B$4,A213,A213-Calculos!$B$4)+MOD(209-1,Calculos!$B$6)+1,2)=0,INDEX(Calculos!$B$36:$S$52,IF(A213&lt;=Calculos!$B$4,A213,A213-Calculos!$B$4),MOD(209-1,Calculos!$B$6)+1),INDEX(Calculos!$B$36:$S$52,IF(A213&lt;=Calculos!$B$4,A213,A213-Calculos!$B$4),Calculos!$B$2+1-MOD(209-1,Calculos!$B$6)+1)),IF(MOD(IF(A213&lt;=Calculos!$B$4,A213,A213-Calculos!$B$4)+MOD(209-1,Calculos!$B$6)+1,2)=0,INDEX(Calculos!$B$36:$S$52,IF(A213&lt;=Calculos!$B$4,A213,A213-Calculos!$B$4),Calculos!$B$2+1-MOD(209-1,Calculos!$B$6)+1),INDEX(Calculos!$B$36:$S$52,IF(A213&lt;=Calculos!$B$4,A213,A213-Calculos!$B$4),MOD(209-1,Calculos!$B$6)+1)))))</f>
        <v/>
      </c>
      <c r="D213" s="4"/>
      <c r="E213" s="4"/>
      <c r="F213" s="11" t="str">
        <f>IF(A213="","",INDEX(Calculos!$B$11:$B$28,IF(A213&gt;Calculos!$B$4,IF(MOD(IF(A213&lt;=Calculos!$B$4,A213,A213-Calculos!$B$4)+MOD(209-1,Calculos!$B$6)+1,2)=0,INDEX(Calculos!$B$36:$S$52,IF(A213&lt;=Calculos!$B$4,A213,A213-Calculos!$B$4),Calculos!$B$2+1-MOD(209-1,Calculos!$B$6)+1),INDEX(Calculos!$B$36:$S$52,IF(A213&lt;=Calculos!$B$4,A213,A213-Calculos!$B$4),MOD(209-1,Calculos!$B$6)+1)),IF(MOD(IF(A213&lt;=Calculos!$B$4,A213,A213-Calculos!$B$4)+MOD(209-1,Calculos!$B$6)+1,2)=0,INDEX(Calculos!$B$36:$S$52,IF(A213&lt;=Calculos!$B$4,A213,A213-Calculos!$B$4),MOD(209-1,Calculos!$B$6)+1),INDEX(Calculos!$B$36:$S$52,IF(A213&lt;=Calculos!$B$4,A213,A213-Calculos!$B$4),Calculos!$B$2+1-MOD(209-1,Calculos!$B$6)+1)))))</f>
        <v/>
      </c>
      <c r="G213" s="9" t="str">
        <f t="shared" si="21"/>
        <v/>
      </c>
      <c r="H213" s="9" t="str">
        <f>IF(OR(C213="",F213=""),"",IF(AND(ISNUMBER(D213),ISNUMBER(E213)),IF(D213&gt;E213,Inicio!$E$6,IF(D213=E213,Inicio!$F$6,Inicio!$G$6)),""))</f>
        <v/>
      </c>
      <c r="I213" s="9" t="str">
        <f>IF(OR(C213="",F213=""),"",IF(AND(ISNUMBER(D213),ISNUMBER(E213)),IF(D213&lt;E213,Inicio!$E$6,IF(D213=E213,Inicio!$F$6,Inicio!$G$6)),""))</f>
        <v/>
      </c>
      <c r="J213" s="9">
        <f t="shared" si="22"/>
        <v>0</v>
      </c>
      <c r="K213" s="9">
        <f t="shared" si="23"/>
        <v>0</v>
      </c>
      <c r="L213" s="9">
        <f t="shared" si="24"/>
        <v>0</v>
      </c>
      <c r="M213" s="9">
        <f t="shared" si="25"/>
        <v>0</v>
      </c>
      <c r="N213" s="9">
        <f t="shared" si="26"/>
        <v>0</v>
      </c>
      <c r="O213" s="9">
        <f t="shared" si="27"/>
        <v>0</v>
      </c>
    </row>
    <row r="214" spans="1:15" x14ac:dyDescent="0.25">
      <c r="A214" s="9" t="str">
        <f>IF(OR(Calculos!$B$7=0,210&gt;Calculos!$B$7),"",INT((210-1)/Calculos!$B$6)+1)</f>
        <v/>
      </c>
      <c r="B214" s="10" t="str">
        <f>IF(A214="","",Inicio!$E$5+(A214-1)*Inicio!$B$6)</f>
        <v/>
      </c>
      <c r="C214" s="11" t="str">
        <f>IF(A214="","",INDEX(Calculos!$B$11:$B$28,IF(A214&gt;Calculos!$B$4,IF(MOD(IF(A214&lt;=Calculos!$B$4,A214,A214-Calculos!$B$4)+MOD(210-1,Calculos!$B$6)+1,2)=0,INDEX(Calculos!$B$36:$S$52,IF(A214&lt;=Calculos!$B$4,A214,A214-Calculos!$B$4),MOD(210-1,Calculos!$B$6)+1),INDEX(Calculos!$B$36:$S$52,IF(A214&lt;=Calculos!$B$4,A214,A214-Calculos!$B$4),Calculos!$B$2+1-MOD(210-1,Calculos!$B$6)+1)),IF(MOD(IF(A214&lt;=Calculos!$B$4,A214,A214-Calculos!$B$4)+MOD(210-1,Calculos!$B$6)+1,2)=0,INDEX(Calculos!$B$36:$S$52,IF(A214&lt;=Calculos!$B$4,A214,A214-Calculos!$B$4),Calculos!$B$2+1-MOD(210-1,Calculos!$B$6)+1),INDEX(Calculos!$B$36:$S$52,IF(A214&lt;=Calculos!$B$4,A214,A214-Calculos!$B$4),MOD(210-1,Calculos!$B$6)+1)))))</f>
        <v/>
      </c>
      <c r="D214" s="4"/>
      <c r="E214" s="4"/>
      <c r="F214" s="11" t="str">
        <f>IF(A214="","",INDEX(Calculos!$B$11:$B$28,IF(A214&gt;Calculos!$B$4,IF(MOD(IF(A214&lt;=Calculos!$B$4,A214,A214-Calculos!$B$4)+MOD(210-1,Calculos!$B$6)+1,2)=0,INDEX(Calculos!$B$36:$S$52,IF(A214&lt;=Calculos!$B$4,A214,A214-Calculos!$B$4),Calculos!$B$2+1-MOD(210-1,Calculos!$B$6)+1),INDEX(Calculos!$B$36:$S$52,IF(A214&lt;=Calculos!$B$4,A214,A214-Calculos!$B$4),MOD(210-1,Calculos!$B$6)+1)),IF(MOD(IF(A214&lt;=Calculos!$B$4,A214,A214-Calculos!$B$4)+MOD(210-1,Calculos!$B$6)+1,2)=0,INDEX(Calculos!$B$36:$S$52,IF(A214&lt;=Calculos!$B$4,A214,A214-Calculos!$B$4),MOD(210-1,Calculos!$B$6)+1),INDEX(Calculos!$B$36:$S$52,IF(A214&lt;=Calculos!$B$4,A214,A214-Calculos!$B$4),Calculos!$B$2+1-MOD(210-1,Calculos!$B$6)+1)))))</f>
        <v/>
      </c>
      <c r="G214" s="9" t="str">
        <f t="shared" si="21"/>
        <v/>
      </c>
      <c r="H214" s="9" t="str">
        <f>IF(OR(C214="",F214=""),"",IF(AND(ISNUMBER(D214),ISNUMBER(E214)),IF(D214&gt;E214,Inicio!$E$6,IF(D214=E214,Inicio!$F$6,Inicio!$G$6)),""))</f>
        <v/>
      </c>
      <c r="I214" s="9" t="str">
        <f>IF(OR(C214="",F214=""),"",IF(AND(ISNUMBER(D214),ISNUMBER(E214)),IF(D214&lt;E214,Inicio!$E$6,IF(D214=E214,Inicio!$F$6,Inicio!$G$6)),""))</f>
        <v/>
      </c>
      <c r="J214" s="9">
        <f t="shared" si="22"/>
        <v>0</v>
      </c>
      <c r="K214" s="9">
        <f t="shared" si="23"/>
        <v>0</v>
      </c>
      <c r="L214" s="9">
        <f t="shared" si="24"/>
        <v>0</v>
      </c>
      <c r="M214" s="9">
        <f t="shared" si="25"/>
        <v>0</v>
      </c>
      <c r="N214" s="9">
        <f t="shared" si="26"/>
        <v>0</v>
      </c>
      <c r="O214" s="9">
        <f t="shared" si="27"/>
        <v>0</v>
      </c>
    </row>
    <row r="215" spans="1:15" x14ac:dyDescent="0.25">
      <c r="A215" s="9" t="str">
        <f>IF(OR(Calculos!$B$7=0,211&gt;Calculos!$B$7),"",INT((211-1)/Calculos!$B$6)+1)</f>
        <v/>
      </c>
      <c r="B215" s="10" t="str">
        <f>IF(A215="","",Inicio!$E$5+(A215-1)*Inicio!$B$6)</f>
        <v/>
      </c>
      <c r="C215" s="11" t="str">
        <f>IF(A215="","",INDEX(Calculos!$B$11:$B$28,IF(A215&gt;Calculos!$B$4,IF(MOD(IF(A215&lt;=Calculos!$B$4,A215,A215-Calculos!$B$4)+MOD(211-1,Calculos!$B$6)+1,2)=0,INDEX(Calculos!$B$36:$S$52,IF(A215&lt;=Calculos!$B$4,A215,A215-Calculos!$B$4),MOD(211-1,Calculos!$B$6)+1),INDEX(Calculos!$B$36:$S$52,IF(A215&lt;=Calculos!$B$4,A215,A215-Calculos!$B$4),Calculos!$B$2+1-MOD(211-1,Calculos!$B$6)+1)),IF(MOD(IF(A215&lt;=Calculos!$B$4,A215,A215-Calculos!$B$4)+MOD(211-1,Calculos!$B$6)+1,2)=0,INDEX(Calculos!$B$36:$S$52,IF(A215&lt;=Calculos!$B$4,A215,A215-Calculos!$B$4),Calculos!$B$2+1-MOD(211-1,Calculos!$B$6)+1),INDEX(Calculos!$B$36:$S$52,IF(A215&lt;=Calculos!$B$4,A215,A215-Calculos!$B$4),MOD(211-1,Calculos!$B$6)+1)))))</f>
        <v/>
      </c>
      <c r="D215" s="4"/>
      <c r="E215" s="4"/>
      <c r="F215" s="11" t="str">
        <f>IF(A215="","",INDEX(Calculos!$B$11:$B$28,IF(A215&gt;Calculos!$B$4,IF(MOD(IF(A215&lt;=Calculos!$B$4,A215,A215-Calculos!$B$4)+MOD(211-1,Calculos!$B$6)+1,2)=0,INDEX(Calculos!$B$36:$S$52,IF(A215&lt;=Calculos!$B$4,A215,A215-Calculos!$B$4),Calculos!$B$2+1-MOD(211-1,Calculos!$B$6)+1),INDEX(Calculos!$B$36:$S$52,IF(A215&lt;=Calculos!$B$4,A215,A215-Calculos!$B$4),MOD(211-1,Calculos!$B$6)+1)),IF(MOD(IF(A215&lt;=Calculos!$B$4,A215,A215-Calculos!$B$4)+MOD(211-1,Calculos!$B$6)+1,2)=0,INDEX(Calculos!$B$36:$S$52,IF(A215&lt;=Calculos!$B$4,A215,A215-Calculos!$B$4),MOD(211-1,Calculos!$B$6)+1),INDEX(Calculos!$B$36:$S$52,IF(A215&lt;=Calculos!$B$4,A215,A215-Calculos!$B$4),Calculos!$B$2+1-MOD(211-1,Calculos!$B$6)+1)))))</f>
        <v/>
      </c>
      <c r="G215" s="9" t="str">
        <f t="shared" si="21"/>
        <v/>
      </c>
      <c r="H215" s="9" t="str">
        <f>IF(OR(C215="",F215=""),"",IF(AND(ISNUMBER(D215),ISNUMBER(E215)),IF(D215&gt;E215,Inicio!$E$6,IF(D215=E215,Inicio!$F$6,Inicio!$G$6)),""))</f>
        <v/>
      </c>
      <c r="I215" s="9" t="str">
        <f>IF(OR(C215="",F215=""),"",IF(AND(ISNUMBER(D215),ISNUMBER(E215)),IF(D215&lt;E215,Inicio!$E$6,IF(D215=E215,Inicio!$F$6,Inicio!$G$6)),""))</f>
        <v/>
      </c>
      <c r="J215" s="9">
        <f t="shared" si="22"/>
        <v>0</v>
      </c>
      <c r="K215" s="9">
        <f t="shared" si="23"/>
        <v>0</v>
      </c>
      <c r="L215" s="9">
        <f t="shared" si="24"/>
        <v>0</v>
      </c>
      <c r="M215" s="9">
        <f t="shared" si="25"/>
        <v>0</v>
      </c>
      <c r="N215" s="9">
        <f t="shared" si="26"/>
        <v>0</v>
      </c>
      <c r="O215" s="9">
        <f t="shared" si="27"/>
        <v>0</v>
      </c>
    </row>
    <row r="216" spans="1:15" x14ac:dyDescent="0.25">
      <c r="A216" s="9" t="str">
        <f>IF(OR(Calculos!$B$7=0,212&gt;Calculos!$B$7),"",INT((212-1)/Calculos!$B$6)+1)</f>
        <v/>
      </c>
      <c r="B216" s="10" t="str">
        <f>IF(A216="","",Inicio!$E$5+(A216-1)*Inicio!$B$6)</f>
        <v/>
      </c>
      <c r="C216" s="11" t="str">
        <f>IF(A216="","",INDEX(Calculos!$B$11:$B$28,IF(A216&gt;Calculos!$B$4,IF(MOD(IF(A216&lt;=Calculos!$B$4,A216,A216-Calculos!$B$4)+MOD(212-1,Calculos!$B$6)+1,2)=0,INDEX(Calculos!$B$36:$S$52,IF(A216&lt;=Calculos!$B$4,A216,A216-Calculos!$B$4),MOD(212-1,Calculos!$B$6)+1),INDEX(Calculos!$B$36:$S$52,IF(A216&lt;=Calculos!$B$4,A216,A216-Calculos!$B$4),Calculos!$B$2+1-MOD(212-1,Calculos!$B$6)+1)),IF(MOD(IF(A216&lt;=Calculos!$B$4,A216,A216-Calculos!$B$4)+MOD(212-1,Calculos!$B$6)+1,2)=0,INDEX(Calculos!$B$36:$S$52,IF(A216&lt;=Calculos!$B$4,A216,A216-Calculos!$B$4),Calculos!$B$2+1-MOD(212-1,Calculos!$B$6)+1),INDEX(Calculos!$B$36:$S$52,IF(A216&lt;=Calculos!$B$4,A216,A216-Calculos!$B$4),MOD(212-1,Calculos!$B$6)+1)))))</f>
        <v/>
      </c>
      <c r="D216" s="4"/>
      <c r="E216" s="4"/>
      <c r="F216" s="11" t="str">
        <f>IF(A216="","",INDEX(Calculos!$B$11:$B$28,IF(A216&gt;Calculos!$B$4,IF(MOD(IF(A216&lt;=Calculos!$B$4,A216,A216-Calculos!$B$4)+MOD(212-1,Calculos!$B$6)+1,2)=0,INDEX(Calculos!$B$36:$S$52,IF(A216&lt;=Calculos!$B$4,A216,A216-Calculos!$B$4),Calculos!$B$2+1-MOD(212-1,Calculos!$B$6)+1),INDEX(Calculos!$B$36:$S$52,IF(A216&lt;=Calculos!$B$4,A216,A216-Calculos!$B$4),MOD(212-1,Calculos!$B$6)+1)),IF(MOD(IF(A216&lt;=Calculos!$B$4,A216,A216-Calculos!$B$4)+MOD(212-1,Calculos!$B$6)+1,2)=0,INDEX(Calculos!$B$36:$S$52,IF(A216&lt;=Calculos!$B$4,A216,A216-Calculos!$B$4),MOD(212-1,Calculos!$B$6)+1),INDEX(Calculos!$B$36:$S$52,IF(A216&lt;=Calculos!$B$4,A216,A216-Calculos!$B$4),Calculos!$B$2+1-MOD(212-1,Calculos!$B$6)+1)))))</f>
        <v/>
      </c>
      <c r="G216" s="9" t="str">
        <f t="shared" si="21"/>
        <v/>
      </c>
      <c r="H216" s="9" t="str">
        <f>IF(OR(C216="",F216=""),"",IF(AND(ISNUMBER(D216),ISNUMBER(E216)),IF(D216&gt;E216,Inicio!$E$6,IF(D216=E216,Inicio!$F$6,Inicio!$G$6)),""))</f>
        <v/>
      </c>
      <c r="I216" s="9" t="str">
        <f>IF(OR(C216="",F216=""),"",IF(AND(ISNUMBER(D216),ISNUMBER(E216)),IF(D216&lt;E216,Inicio!$E$6,IF(D216=E216,Inicio!$F$6,Inicio!$G$6)),""))</f>
        <v/>
      </c>
      <c r="J216" s="9">
        <f t="shared" si="22"/>
        <v>0</v>
      </c>
      <c r="K216" s="9">
        <f t="shared" si="23"/>
        <v>0</v>
      </c>
      <c r="L216" s="9">
        <f t="shared" si="24"/>
        <v>0</v>
      </c>
      <c r="M216" s="9">
        <f t="shared" si="25"/>
        <v>0</v>
      </c>
      <c r="N216" s="9">
        <f t="shared" si="26"/>
        <v>0</v>
      </c>
      <c r="O216" s="9">
        <f t="shared" si="27"/>
        <v>0</v>
      </c>
    </row>
    <row r="217" spans="1:15" x14ac:dyDescent="0.25">
      <c r="A217" s="9" t="str">
        <f>IF(OR(Calculos!$B$7=0,213&gt;Calculos!$B$7),"",INT((213-1)/Calculos!$B$6)+1)</f>
        <v/>
      </c>
      <c r="B217" s="10" t="str">
        <f>IF(A217="","",Inicio!$E$5+(A217-1)*Inicio!$B$6)</f>
        <v/>
      </c>
      <c r="C217" s="11" t="str">
        <f>IF(A217="","",INDEX(Calculos!$B$11:$B$28,IF(A217&gt;Calculos!$B$4,IF(MOD(IF(A217&lt;=Calculos!$B$4,A217,A217-Calculos!$B$4)+MOD(213-1,Calculos!$B$6)+1,2)=0,INDEX(Calculos!$B$36:$S$52,IF(A217&lt;=Calculos!$B$4,A217,A217-Calculos!$B$4),MOD(213-1,Calculos!$B$6)+1),INDEX(Calculos!$B$36:$S$52,IF(A217&lt;=Calculos!$B$4,A217,A217-Calculos!$B$4),Calculos!$B$2+1-MOD(213-1,Calculos!$B$6)+1)),IF(MOD(IF(A217&lt;=Calculos!$B$4,A217,A217-Calculos!$B$4)+MOD(213-1,Calculos!$B$6)+1,2)=0,INDEX(Calculos!$B$36:$S$52,IF(A217&lt;=Calculos!$B$4,A217,A217-Calculos!$B$4),Calculos!$B$2+1-MOD(213-1,Calculos!$B$6)+1),INDEX(Calculos!$B$36:$S$52,IF(A217&lt;=Calculos!$B$4,A217,A217-Calculos!$B$4),MOD(213-1,Calculos!$B$6)+1)))))</f>
        <v/>
      </c>
      <c r="D217" s="4"/>
      <c r="E217" s="4"/>
      <c r="F217" s="11" t="str">
        <f>IF(A217="","",INDEX(Calculos!$B$11:$B$28,IF(A217&gt;Calculos!$B$4,IF(MOD(IF(A217&lt;=Calculos!$B$4,A217,A217-Calculos!$B$4)+MOD(213-1,Calculos!$B$6)+1,2)=0,INDEX(Calculos!$B$36:$S$52,IF(A217&lt;=Calculos!$B$4,A217,A217-Calculos!$B$4),Calculos!$B$2+1-MOD(213-1,Calculos!$B$6)+1),INDEX(Calculos!$B$36:$S$52,IF(A217&lt;=Calculos!$B$4,A217,A217-Calculos!$B$4),MOD(213-1,Calculos!$B$6)+1)),IF(MOD(IF(A217&lt;=Calculos!$B$4,A217,A217-Calculos!$B$4)+MOD(213-1,Calculos!$B$6)+1,2)=0,INDEX(Calculos!$B$36:$S$52,IF(A217&lt;=Calculos!$B$4,A217,A217-Calculos!$B$4),MOD(213-1,Calculos!$B$6)+1),INDEX(Calculos!$B$36:$S$52,IF(A217&lt;=Calculos!$B$4,A217,A217-Calculos!$B$4),Calculos!$B$2+1-MOD(213-1,Calculos!$B$6)+1)))))</f>
        <v/>
      </c>
      <c r="G217" s="9" t="str">
        <f t="shared" si="21"/>
        <v/>
      </c>
      <c r="H217" s="9" t="str">
        <f>IF(OR(C217="",F217=""),"",IF(AND(ISNUMBER(D217),ISNUMBER(E217)),IF(D217&gt;E217,Inicio!$E$6,IF(D217=E217,Inicio!$F$6,Inicio!$G$6)),""))</f>
        <v/>
      </c>
      <c r="I217" s="9" t="str">
        <f>IF(OR(C217="",F217=""),"",IF(AND(ISNUMBER(D217),ISNUMBER(E217)),IF(D217&lt;E217,Inicio!$E$6,IF(D217=E217,Inicio!$F$6,Inicio!$G$6)),""))</f>
        <v/>
      </c>
      <c r="J217" s="9">
        <f t="shared" si="22"/>
        <v>0</v>
      </c>
      <c r="K217" s="9">
        <f t="shared" si="23"/>
        <v>0</v>
      </c>
      <c r="L217" s="9">
        <f t="shared" si="24"/>
        <v>0</v>
      </c>
      <c r="M217" s="9">
        <f t="shared" si="25"/>
        <v>0</v>
      </c>
      <c r="N217" s="9">
        <f t="shared" si="26"/>
        <v>0</v>
      </c>
      <c r="O217" s="9">
        <f t="shared" si="27"/>
        <v>0</v>
      </c>
    </row>
    <row r="218" spans="1:15" x14ac:dyDescent="0.25">
      <c r="A218" s="9" t="str">
        <f>IF(OR(Calculos!$B$7=0,214&gt;Calculos!$B$7),"",INT((214-1)/Calculos!$B$6)+1)</f>
        <v/>
      </c>
      <c r="B218" s="10" t="str">
        <f>IF(A218="","",Inicio!$E$5+(A218-1)*Inicio!$B$6)</f>
        <v/>
      </c>
      <c r="C218" s="11" t="str">
        <f>IF(A218="","",INDEX(Calculos!$B$11:$B$28,IF(A218&gt;Calculos!$B$4,IF(MOD(IF(A218&lt;=Calculos!$B$4,A218,A218-Calculos!$B$4)+MOD(214-1,Calculos!$B$6)+1,2)=0,INDEX(Calculos!$B$36:$S$52,IF(A218&lt;=Calculos!$B$4,A218,A218-Calculos!$B$4),MOD(214-1,Calculos!$B$6)+1),INDEX(Calculos!$B$36:$S$52,IF(A218&lt;=Calculos!$B$4,A218,A218-Calculos!$B$4),Calculos!$B$2+1-MOD(214-1,Calculos!$B$6)+1)),IF(MOD(IF(A218&lt;=Calculos!$B$4,A218,A218-Calculos!$B$4)+MOD(214-1,Calculos!$B$6)+1,2)=0,INDEX(Calculos!$B$36:$S$52,IF(A218&lt;=Calculos!$B$4,A218,A218-Calculos!$B$4),Calculos!$B$2+1-MOD(214-1,Calculos!$B$6)+1),INDEX(Calculos!$B$36:$S$52,IF(A218&lt;=Calculos!$B$4,A218,A218-Calculos!$B$4),MOD(214-1,Calculos!$B$6)+1)))))</f>
        <v/>
      </c>
      <c r="D218" s="4"/>
      <c r="E218" s="4"/>
      <c r="F218" s="11" t="str">
        <f>IF(A218="","",INDEX(Calculos!$B$11:$B$28,IF(A218&gt;Calculos!$B$4,IF(MOD(IF(A218&lt;=Calculos!$B$4,A218,A218-Calculos!$B$4)+MOD(214-1,Calculos!$B$6)+1,2)=0,INDEX(Calculos!$B$36:$S$52,IF(A218&lt;=Calculos!$B$4,A218,A218-Calculos!$B$4),Calculos!$B$2+1-MOD(214-1,Calculos!$B$6)+1),INDEX(Calculos!$B$36:$S$52,IF(A218&lt;=Calculos!$B$4,A218,A218-Calculos!$B$4),MOD(214-1,Calculos!$B$6)+1)),IF(MOD(IF(A218&lt;=Calculos!$B$4,A218,A218-Calculos!$B$4)+MOD(214-1,Calculos!$B$6)+1,2)=0,INDEX(Calculos!$B$36:$S$52,IF(A218&lt;=Calculos!$B$4,A218,A218-Calculos!$B$4),MOD(214-1,Calculos!$B$6)+1),INDEX(Calculos!$B$36:$S$52,IF(A218&lt;=Calculos!$B$4,A218,A218-Calculos!$B$4),Calculos!$B$2+1-MOD(214-1,Calculos!$B$6)+1)))))</f>
        <v/>
      </c>
      <c r="G218" s="9" t="str">
        <f t="shared" si="21"/>
        <v/>
      </c>
      <c r="H218" s="9" t="str">
        <f>IF(OR(C218="",F218=""),"",IF(AND(ISNUMBER(D218),ISNUMBER(E218)),IF(D218&gt;E218,Inicio!$E$6,IF(D218=E218,Inicio!$F$6,Inicio!$G$6)),""))</f>
        <v/>
      </c>
      <c r="I218" s="9" t="str">
        <f>IF(OR(C218="",F218=""),"",IF(AND(ISNUMBER(D218),ISNUMBER(E218)),IF(D218&lt;E218,Inicio!$E$6,IF(D218=E218,Inicio!$F$6,Inicio!$G$6)),""))</f>
        <v/>
      </c>
      <c r="J218" s="9">
        <f t="shared" si="22"/>
        <v>0</v>
      </c>
      <c r="K218" s="9">
        <f t="shared" si="23"/>
        <v>0</v>
      </c>
      <c r="L218" s="9">
        <f t="shared" si="24"/>
        <v>0</v>
      </c>
      <c r="M218" s="9">
        <f t="shared" si="25"/>
        <v>0</v>
      </c>
      <c r="N218" s="9">
        <f t="shared" si="26"/>
        <v>0</v>
      </c>
      <c r="O218" s="9">
        <f t="shared" si="27"/>
        <v>0</v>
      </c>
    </row>
    <row r="219" spans="1:15" x14ac:dyDescent="0.25">
      <c r="A219" s="9" t="str">
        <f>IF(OR(Calculos!$B$7=0,215&gt;Calculos!$B$7),"",INT((215-1)/Calculos!$B$6)+1)</f>
        <v/>
      </c>
      <c r="B219" s="10" t="str">
        <f>IF(A219="","",Inicio!$E$5+(A219-1)*Inicio!$B$6)</f>
        <v/>
      </c>
      <c r="C219" s="11" t="str">
        <f>IF(A219="","",INDEX(Calculos!$B$11:$B$28,IF(A219&gt;Calculos!$B$4,IF(MOD(IF(A219&lt;=Calculos!$B$4,A219,A219-Calculos!$B$4)+MOD(215-1,Calculos!$B$6)+1,2)=0,INDEX(Calculos!$B$36:$S$52,IF(A219&lt;=Calculos!$B$4,A219,A219-Calculos!$B$4),MOD(215-1,Calculos!$B$6)+1),INDEX(Calculos!$B$36:$S$52,IF(A219&lt;=Calculos!$B$4,A219,A219-Calculos!$B$4),Calculos!$B$2+1-MOD(215-1,Calculos!$B$6)+1)),IF(MOD(IF(A219&lt;=Calculos!$B$4,A219,A219-Calculos!$B$4)+MOD(215-1,Calculos!$B$6)+1,2)=0,INDEX(Calculos!$B$36:$S$52,IF(A219&lt;=Calculos!$B$4,A219,A219-Calculos!$B$4),Calculos!$B$2+1-MOD(215-1,Calculos!$B$6)+1),INDEX(Calculos!$B$36:$S$52,IF(A219&lt;=Calculos!$B$4,A219,A219-Calculos!$B$4),MOD(215-1,Calculos!$B$6)+1)))))</f>
        <v/>
      </c>
      <c r="D219" s="4"/>
      <c r="E219" s="4"/>
      <c r="F219" s="11" t="str">
        <f>IF(A219="","",INDEX(Calculos!$B$11:$B$28,IF(A219&gt;Calculos!$B$4,IF(MOD(IF(A219&lt;=Calculos!$B$4,A219,A219-Calculos!$B$4)+MOD(215-1,Calculos!$B$6)+1,2)=0,INDEX(Calculos!$B$36:$S$52,IF(A219&lt;=Calculos!$B$4,A219,A219-Calculos!$B$4),Calculos!$B$2+1-MOD(215-1,Calculos!$B$6)+1),INDEX(Calculos!$B$36:$S$52,IF(A219&lt;=Calculos!$B$4,A219,A219-Calculos!$B$4),MOD(215-1,Calculos!$B$6)+1)),IF(MOD(IF(A219&lt;=Calculos!$B$4,A219,A219-Calculos!$B$4)+MOD(215-1,Calculos!$B$6)+1,2)=0,INDEX(Calculos!$B$36:$S$52,IF(A219&lt;=Calculos!$B$4,A219,A219-Calculos!$B$4),MOD(215-1,Calculos!$B$6)+1),INDEX(Calculos!$B$36:$S$52,IF(A219&lt;=Calculos!$B$4,A219,A219-Calculos!$B$4),Calculos!$B$2+1-MOD(215-1,Calculos!$B$6)+1)))))</f>
        <v/>
      </c>
      <c r="G219" s="9" t="str">
        <f t="shared" si="21"/>
        <v/>
      </c>
      <c r="H219" s="9" t="str">
        <f>IF(OR(C219="",F219=""),"",IF(AND(ISNUMBER(D219),ISNUMBER(E219)),IF(D219&gt;E219,Inicio!$E$6,IF(D219=E219,Inicio!$F$6,Inicio!$G$6)),""))</f>
        <v/>
      </c>
      <c r="I219" s="9" t="str">
        <f>IF(OR(C219="",F219=""),"",IF(AND(ISNUMBER(D219),ISNUMBER(E219)),IF(D219&lt;E219,Inicio!$E$6,IF(D219=E219,Inicio!$F$6,Inicio!$G$6)),""))</f>
        <v/>
      </c>
      <c r="J219" s="9">
        <f t="shared" si="22"/>
        <v>0</v>
      </c>
      <c r="K219" s="9">
        <f t="shared" si="23"/>
        <v>0</v>
      </c>
      <c r="L219" s="9">
        <f t="shared" si="24"/>
        <v>0</v>
      </c>
      <c r="M219" s="9">
        <f t="shared" si="25"/>
        <v>0</v>
      </c>
      <c r="N219" s="9">
        <f t="shared" si="26"/>
        <v>0</v>
      </c>
      <c r="O219" s="9">
        <f t="shared" si="27"/>
        <v>0</v>
      </c>
    </row>
    <row r="220" spans="1:15" x14ac:dyDescent="0.25">
      <c r="A220" s="9" t="str">
        <f>IF(OR(Calculos!$B$7=0,216&gt;Calculos!$B$7),"",INT((216-1)/Calculos!$B$6)+1)</f>
        <v/>
      </c>
      <c r="B220" s="10" t="str">
        <f>IF(A220="","",Inicio!$E$5+(A220-1)*Inicio!$B$6)</f>
        <v/>
      </c>
      <c r="C220" s="11" t="str">
        <f>IF(A220="","",INDEX(Calculos!$B$11:$B$28,IF(A220&gt;Calculos!$B$4,IF(MOD(IF(A220&lt;=Calculos!$B$4,A220,A220-Calculos!$B$4)+MOD(216-1,Calculos!$B$6)+1,2)=0,INDEX(Calculos!$B$36:$S$52,IF(A220&lt;=Calculos!$B$4,A220,A220-Calculos!$B$4),MOD(216-1,Calculos!$B$6)+1),INDEX(Calculos!$B$36:$S$52,IF(A220&lt;=Calculos!$B$4,A220,A220-Calculos!$B$4),Calculos!$B$2+1-MOD(216-1,Calculos!$B$6)+1)),IF(MOD(IF(A220&lt;=Calculos!$B$4,A220,A220-Calculos!$B$4)+MOD(216-1,Calculos!$B$6)+1,2)=0,INDEX(Calculos!$B$36:$S$52,IF(A220&lt;=Calculos!$B$4,A220,A220-Calculos!$B$4),Calculos!$B$2+1-MOD(216-1,Calculos!$B$6)+1),INDEX(Calculos!$B$36:$S$52,IF(A220&lt;=Calculos!$B$4,A220,A220-Calculos!$B$4),MOD(216-1,Calculos!$B$6)+1)))))</f>
        <v/>
      </c>
      <c r="D220" s="4"/>
      <c r="E220" s="4"/>
      <c r="F220" s="11" t="str">
        <f>IF(A220="","",INDEX(Calculos!$B$11:$B$28,IF(A220&gt;Calculos!$B$4,IF(MOD(IF(A220&lt;=Calculos!$B$4,A220,A220-Calculos!$B$4)+MOD(216-1,Calculos!$B$6)+1,2)=0,INDEX(Calculos!$B$36:$S$52,IF(A220&lt;=Calculos!$B$4,A220,A220-Calculos!$B$4),Calculos!$B$2+1-MOD(216-1,Calculos!$B$6)+1),INDEX(Calculos!$B$36:$S$52,IF(A220&lt;=Calculos!$B$4,A220,A220-Calculos!$B$4),MOD(216-1,Calculos!$B$6)+1)),IF(MOD(IF(A220&lt;=Calculos!$B$4,A220,A220-Calculos!$B$4)+MOD(216-1,Calculos!$B$6)+1,2)=0,INDEX(Calculos!$B$36:$S$52,IF(A220&lt;=Calculos!$B$4,A220,A220-Calculos!$B$4),MOD(216-1,Calculos!$B$6)+1),INDEX(Calculos!$B$36:$S$52,IF(A220&lt;=Calculos!$B$4,A220,A220-Calculos!$B$4),Calculos!$B$2+1-MOD(216-1,Calculos!$B$6)+1)))))</f>
        <v/>
      </c>
      <c r="G220" s="9" t="str">
        <f t="shared" si="21"/>
        <v/>
      </c>
      <c r="H220" s="9" t="str">
        <f>IF(OR(C220="",F220=""),"",IF(AND(ISNUMBER(D220),ISNUMBER(E220)),IF(D220&gt;E220,Inicio!$E$6,IF(D220=E220,Inicio!$F$6,Inicio!$G$6)),""))</f>
        <v/>
      </c>
      <c r="I220" s="9" t="str">
        <f>IF(OR(C220="",F220=""),"",IF(AND(ISNUMBER(D220),ISNUMBER(E220)),IF(D220&lt;E220,Inicio!$E$6,IF(D220=E220,Inicio!$F$6,Inicio!$G$6)),""))</f>
        <v/>
      </c>
      <c r="J220" s="9">
        <f t="shared" si="22"/>
        <v>0</v>
      </c>
      <c r="K220" s="9">
        <f t="shared" si="23"/>
        <v>0</v>
      </c>
      <c r="L220" s="9">
        <f t="shared" si="24"/>
        <v>0</v>
      </c>
      <c r="M220" s="9">
        <f t="shared" si="25"/>
        <v>0</v>
      </c>
      <c r="N220" s="9">
        <f t="shared" si="26"/>
        <v>0</v>
      </c>
      <c r="O220" s="9">
        <f t="shared" si="27"/>
        <v>0</v>
      </c>
    </row>
    <row r="221" spans="1:15" x14ac:dyDescent="0.25">
      <c r="A221" s="9" t="str">
        <f>IF(OR(Calculos!$B$7=0,217&gt;Calculos!$B$7),"",INT((217-1)/Calculos!$B$6)+1)</f>
        <v/>
      </c>
      <c r="B221" s="10" t="str">
        <f>IF(A221="","",Inicio!$E$5+(A221-1)*Inicio!$B$6)</f>
        <v/>
      </c>
      <c r="C221" s="11" t="str">
        <f>IF(A221="","",INDEX(Calculos!$B$11:$B$28,IF(A221&gt;Calculos!$B$4,IF(MOD(IF(A221&lt;=Calculos!$B$4,A221,A221-Calculos!$B$4)+MOD(217-1,Calculos!$B$6)+1,2)=0,INDEX(Calculos!$B$36:$S$52,IF(A221&lt;=Calculos!$B$4,A221,A221-Calculos!$B$4),MOD(217-1,Calculos!$B$6)+1),INDEX(Calculos!$B$36:$S$52,IF(A221&lt;=Calculos!$B$4,A221,A221-Calculos!$B$4),Calculos!$B$2+1-MOD(217-1,Calculos!$B$6)+1)),IF(MOD(IF(A221&lt;=Calculos!$B$4,A221,A221-Calculos!$B$4)+MOD(217-1,Calculos!$B$6)+1,2)=0,INDEX(Calculos!$B$36:$S$52,IF(A221&lt;=Calculos!$B$4,A221,A221-Calculos!$B$4),Calculos!$B$2+1-MOD(217-1,Calculos!$B$6)+1),INDEX(Calculos!$B$36:$S$52,IF(A221&lt;=Calculos!$B$4,A221,A221-Calculos!$B$4),MOD(217-1,Calculos!$B$6)+1)))))</f>
        <v/>
      </c>
      <c r="D221" s="4"/>
      <c r="E221" s="4"/>
      <c r="F221" s="11" t="str">
        <f>IF(A221="","",INDEX(Calculos!$B$11:$B$28,IF(A221&gt;Calculos!$B$4,IF(MOD(IF(A221&lt;=Calculos!$B$4,A221,A221-Calculos!$B$4)+MOD(217-1,Calculos!$B$6)+1,2)=0,INDEX(Calculos!$B$36:$S$52,IF(A221&lt;=Calculos!$B$4,A221,A221-Calculos!$B$4),Calculos!$B$2+1-MOD(217-1,Calculos!$B$6)+1),INDEX(Calculos!$B$36:$S$52,IF(A221&lt;=Calculos!$B$4,A221,A221-Calculos!$B$4),MOD(217-1,Calculos!$B$6)+1)),IF(MOD(IF(A221&lt;=Calculos!$B$4,A221,A221-Calculos!$B$4)+MOD(217-1,Calculos!$B$6)+1,2)=0,INDEX(Calculos!$B$36:$S$52,IF(A221&lt;=Calculos!$B$4,A221,A221-Calculos!$B$4),MOD(217-1,Calculos!$B$6)+1),INDEX(Calculos!$B$36:$S$52,IF(A221&lt;=Calculos!$B$4,A221,A221-Calculos!$B$4),Calculos!$B$2+1-MOD(217-1,Calculos!$B$6)+1)))))</f>
        <v/>
      </c>
      <c r="G221" s="9" t="str">
        <f t="shared" si="21"/>
        <v/>
      </c>
      <c r="H221" s="9" t="str">
        <f>IF(OR(C221="",F221=""),"",IF(AND(ISNUMBER(D221),ISNUMBER(E221)),IF(D221&gt;E221,Inicio!$E$6,IF(D221=E221,Inicio!$F$6,Inicio!$G$6)),""))</f>
        <v/>
      </c>
      <c r="I221" s="9" t="str">
        <f>IF(OR(C221="",F221=""),"",IF(AND(ISNUMBER(D221),ISNUMBER(E221)),IF(D221&lt;E221,Inicio!$E$6,IF(D221=E221,Inicio!$F$6,Inicio!$G$6)),""))</f>
        <v/>
      </c>
      <c r="J221" s="9">
        <f t="shared" si="22"/>
        <v>0</v>
      </c>
      <c r="K221" s="9">
        <f t="shared" si="23"/>
        <v>0</v>
      </c>
      <c r="L221" s="9">
        <f t="shared" si="24"/>
        <v>0</v>
      </c>
      <c r="M221" s="9">
        <f t="shared" si="25"/>
        <v>0</v>
      </c>
      <c r="N221" s="9">
        <f t="shared" si="26"/>
        <v>0</v>
      </c>
      <c r="O221" s="9">
        <f t="shared" si="27"/>
        <v>0</v>
      </c>
    </row>
    <row r="222" spans="1:15" x14ac:dyDescent="0.25">
      <c r="A222" s="9" t="str">
        <f>IF(OR(Calculos!$B$7=0,218&gt;Calculos!$B$7),"",INT((218-1)/Calculos!$B$6)+1)</f>
        <v/>
      </c>
      <c r="B222" s="10" t="str">
        <f>IF(A222="","",Inicio!$E$5+(A222-1)*Inicio!$B$6)</f>
        <v/>
      </c>
      <c r="C222" s="11" t="str">
        <f>IF(A222="","",INDEX(Calculos!$B$11:$B$28,IF(A222&gt;Calculos!$B$4,IF(MOD(IF(A222&lt;=Calculos!$B$4,A222,A222-Calculos!$B$4)+MOD(218-1,Calculos!$B$6)+1,2)=0,INDEX(Calculos!$B$36:$S$52,IF(A222&lt;=Calculos!$B$4,A222,A222-Calculos!$B$4),MOD(218-1,Calculos!$B$6)+1),INDEX(Calculos!$B$36:$S$52,IF(A222&lt;=Calculos!$B$4,A222,A222-Calculos!$B$4),Calculos!$B$2+1-MOD(218-1,Calculos!$B$6)+1)),IF(MOD(IF(A222&lt;=Calculos!$B$4,A222,A222-Calculos!$B$4)+MOD(218-1,Calculos!$B$6)+1,2)=0,INDEX(Calculos!$B$36:$S$52,IF(A222&lt;=Calculos!$B$4,A222,A222-Calculos!$B$4),Calculos!$B$2+1-MOD(218-1,Calculos!$B$6)+1),INDEX(Calculos!$B$36:$S$52,IF(A222&lt;=Calculos!$B$4,A222,A222-Calculos!$B$4),MOD(218-1,Calculos!$B$6)+1)))))</f>
        <v/>
      </c>
      <c r="D222" s="4"/>
      <c r="E222" s="4"/>
      <c r="F222" s="11" t="str">
        <f>IF(A222="","",INDEX(Calculos!$B$11:$B$28,IF(A222&gt;Calculos!$B$4,IF(MOD(IF(A222&lt;=Calculos!$B$4,A222,A222-Calculos!$B$4)+MOD(218-1,Calculos!$B$6)+1,2)=0,INDEX(Calculos!$B$36:$S$52,IF(A222&lt;=Calculos!$B$4,A222,A222-Calculos!$B$4),Calculos!$B$2+1-MOD(218-1,Calculos!$B$6)+1),INDEX(Calculos!$B$36:$S$52,IF(A222&lt;=Calculos!$B$4,A222,A222-Calculos!$B$4),MOD(218-1,Calculos!$B$6)+1)),IF(MOD(IF(A222&lt;=Calculos!$B$4,A222,A222-Calculos!$B$4)+MOD(218-1,Calculos!$B$6)+1,2)=0,INDEX(Calculos!$B$36:$S$52,IF(A222&lt;=Calculos!$B$4,A222,A222-Calculos!$B$4),MOD(218-1,Calculos!$B$6)+1),INDEX(Calculos!$B$36:$S$52,IF(A222&lt;=Calculos!$B$4,A222,A222-Calculos!$B$4),Calculos!$B$2+1-MOD(218-1,Calculos!$B$6)+1)))))</f>
        <v/>
      </c>
      <c r="G222" s="9" t="str">
        <f t="shared" si="21"/>
        <v/>
      </c>
      <c r="H222" s="9" t="str">
        <f>IF(OR(C222="",F222=""),"",IF(AND(ISNUMBER(D222),ISNUMBER(E222)),IF(D222&gt;E222,Inicio!$E$6,IF(D222=E222,Inicio!$F$6,Inicio!$G$6)),""))</f>
        <v/>
      </c>
      <c r="I222" s="9" t="str">
        <f>IF(OR(C222="",F222=""),"",IF(AND(ISNUMBER(D222),ISNUMBER(E222)),IF(D222&lt;E222,Inicio!$E$6,IF(D222=E222,Inicio!$F$6,Inicio!$G$6)),""))</f>
        <v/>
      </c>
      <c r="J222" s="9">
        <f t="shared" si="22"/>
        <v>0</v>
      </c>
      <c r="K222" s="9">
        <f t="shared" si="23"/>
        <v>0</v>
      </c>
      <c r="L222" s="9">
        <f t="shared" si="24"/>
        <v>0</v>
      </c>
      <c r="M222" s="9">
        <f t="shared" si="25"/>
        <v>0</v>
      </c>
      <c r="N222" s="9">
        <f t="shared" si="26"/>
        <v>0</v>
      </c>
      <c r="O222" s="9">
        <f t="shared" si="27"/>
        <v>0</v>
      </c>
    </row>
    <row r="223" spans="1:15" x14ac:dyDescent="0.25">
      <c r="A223" s="9" t="str">
        <f>IF(OR(Calculos!$B$7=0,219&gt;Calculos!$B$7),"",INT((219-1)/Calculos!$B$6)+1)</f>
        <v/>
      </c>
      <c r="B223" s="10" t="str">
        <f>IF(A223="","",Inicio!$E$5+(A223-1)*Inicio!$B$6)</f>
        <v/>
      </c>
      <c r="C223" s="11" t="str">
        <f>IF(A223="","",INDEX(Calculos!$B$11:$B$28,IF(A223&gt;Calculos!$B$4,IF(MOD(IF(A223&lt;=Calculos!$B$4,A223,A223-Calculos!$B$4)+MOD(219-1,Calculos!$B$6)+1,2)=0,INDEX(Calculos!$B$36:$S$52,IF(A223&lt;=Calculos!$B$4,A223,A223-Calculos!$B$4),MOD(219-1,Calculos!$B$6)+1),INDEX(Calculos!$B$36:$S$52,IF(A223&lt;=Calculos!$B$4,A223,A223-Calculos!$B$4),Calculos!$B$2+1-MOD(219-1,Calculos!$B$6)+1)),IF(MOD(IF(A223&lt;=Calculos!$B$4,A223,A223-Calculos!$B$4)+MOD(219-1,Calculos!$B$6)+1,2)=0,INDEX(Calculos!$B$36:$S$52,IF(A223&lt;=Calculos!$B$4,A223,A223-Calculos!$B$4),Calculos!$B$2+1-MOD(219-1,Calculos!$B$6)+1),INDEX(Calculos!$B$36:$S$52,IF(A223&lt;=Calculos!$B$4,A223,A223-Calculos!$B$4),MOD(219-1,Calculos!$B$6)+1)))))</f>
        <v/>
      </c>
      <c r="D223" s="4"/>
      <c r="E223" s="4"/>
      <c r="F223" s="11" t="str">
        <f>IF(A223="","",INDEX(Calculos!$B$11:$B$28,IF(A223&gt;Calculos!$B$4,IF(MOD(IF(A223&lt;=Calculos!$B$4,A223,A223-Calculos!$B$4)+MOD(219-1,Calculos!$B$6)+1,2)=0,INDEX(Calculos!$B$36:$S$52,IF(A223&lt;=Calculos!$B$4,A223,A223-Calculos!$B$4),Calculos!$B$2+1-MOD(219-1,Calculos!$B$6)+1),INDEX(Calculos!$B$36:$S$52,IF(A223&lt;=Calculos!$B$4,A223,A223-Calculos!$B$4),MOD(219-1,Calculos!$B$6)+1)),IF(MOD(IF(A223&lt;=Calculos!$B$4,A223,A223-Calculos!$B$4)+MOD(219-1,Calculos!$B$6)+1,2)=0,INDEX(Calculos!$B$36:$S$52,IF(A223&lt;=Calculos!$B$4,A223,A223-Calculos!$B$4),MOD(219-1,Calculos!$B$6)+1),INDEX(Calculos!$B$36:$S$52,IF(A223&lt;=Calculos!$B$4,A223,A223-Calculos!$B$4),Calculos!$B$2+1-MOD(219-1,Calculos!$B$6)+1)))))</f>
        <v/>
      </c>
      <c r="G223" s="9" t="str">
        <f t="shared" si="21"/>
        <v/>
      </c>
      <c r="H223" s="9" t="str">
        <f>IF(OR(C223="",F223=""),"",IF(AND(ISNUMBER(D223),ISNUMBER(E223)),IF(D223&gt;E223,Inicio!$E$6,IF(D223=E223,Inicio!$F$6,Inicio!$G$6)),""))</f>
        <v/>
      </c>
      <c r="I223" s="9" t="str">
        <f>IF(OR(C223="",F223=""),"",IF(AND(ISNUMBER(D223),ISNUMBER(E223)),IF(D223&lt;E223,Inicio!$E$6,IF(D223=E223,Inicio!$F$6,Inicio!$G$6)),""))</f>
        <v/>
      </c>
      <c r="J223" s="9">
        <f t="shared" si="22"/>
        <v>0</v>
      </c>
      <c r="K223" s="9">
        <f t="shared" si="23"/>
        <v>0</v>
      </c>
      <c r="L223" s="9">
        <f t="shared" si="24"/>
        <v>0</v>
      </c>
      <c r="M223" s="9">
        <f t="shared" si="25"/>
        <v>0</v>
      </c>
      <c r="N223" s="9">
        <f t="shared" si="26"/>
        <v>0</v>
      </c>
      <c r="O223" s="9">
        <f t="shared" si="27"/>
        <v>0</v>
      </c>
    </row>
    <row r="224" spans="1:15" x14ac:dyDescent="0.25">
      <c r="A224" s="9" t="str">
        <f>IF(OR(Calculos!$B$7=0,220&gt;Calculos!$B$7),"",INT((220-1)/Calculos!$B$6)+1)</f>
        <v/>
      </c>
      <c r="B224" s="10" t="str">
        <f>IF(A224="","",Inicio!$E$5+(A224-1)*Inicio!$B$6)</f>
        <v/>
      </c>
      <c r="C224" s="11" t="str">
        <f>IF(A224="","",INDEX(Calculos!$B$11:$B$28,IF(A224&gt;Calculos!$B$4,IF(MOD(IF(A224&lt;=Calculos!$B$4,A224,A224-Calculos!$B$4)+MOD(220-1,Calculos!$B$6)+1,2)=0,INDEX(Calculos!$B$36:$S$52,IF(A224&lt;=Calculos!$B$4,A224,A224-Calculos!$B$4),MOD(220-1,Calculos!$B$6)+1),INDEX(Calculos!$B$36:$S$52,IF(A224&lt;=Calculos!$B$4,A224,A224-Calculos!$B$4),Calculos!$B$2+1-MOD(220-1,Calculos!$B$6)+1)),IF(MOD(IF(A224&lt;=Calculos!$B$4,A224,A224-Calculos!$B$4)+MOD(220-1,Calculos!$B$6)+1,2)=0,INDEX(Calculos!$B$36:$S$52,IF(A224&lt;=Calculos!$B$4,A224,A224-Calculos!$B$4),Calculos!$B$2+1-MOD(220-1,Calculos!$B$6)+1),INDEX(Calculos!$B$36:$S$52,IF(A224&lt;=Calculos!$B$4,A224,A224-Calculos!$B$4),MOD(220-1,Calculos!$B$6)+1)))))</f>
        <v/>
      </c>
      <c r="D224" s="4"/>
      <c r="E224" s="4"/>
      <c r="F224" s="11" t="str">
        <f>IF(A224="","",INDEX(Calculos!$B$11:$B$28,IF(A224&gt;Calculos!$B$4,IF(MOD(IF(A224&lt;=Calculos!$B$4,A224,A224-Calculos!$B$4)+MOD(220-1,Calculos!$B$6)+1,2)=0,INDEX(Calculos!$B$36:$S$52,IF(A224&lt;=Calculos!$B$4,A224,A224-Calculos!$B$4),Calculos!$B$2+1-MOD(220-1,Calculos!$B$6)+1),INDEX(Calculos!$B$36:$S$52,IF(A224&lt;=Calculos!$B$4,A224,A224-Calculos!$B$4),MOD(220-1,Calculos!$B$6)+1)),IF(MOD(IF(A224&lt;=Calculos!$B$4,A224,A224-Calculos!$B$4)+MOD(220-1,Calculos!$B$6)+1,2)=0,INDEX(Calculos!$B$36:$S$52,IF(A224&lt;=Calculos!$B$4,A224,A224-Calculos!$B$4),MOD(220-1,Calculos!$B$6)+1),INDEX(Calculos!$B$36:$S$52,IF(A224&lt;=Calculos!$B$4,A224,A224-Calculos!$B$4),Calculos!$B$2+1-MOD(220-1,Calculos!$B$6)+1)))))</f>
        <v/>
      </c>
      <c r="G224" s="9" t="str">
        <f t="shared" si="21"/>
        <v/>
      </c>
      <c r="H224" s="9" t="str">
        <f>IF(OR(C224="",F224=""),"",IF(AND(ISNUMBER(D224),ISNUMBER(E224)),IF(D224&gt;E224,Inicio!$E$6,IF(D224=E224,Inicio!$F$6,Inicio!$G$6)),""))</f>
        <v/>
      </c>
      <c r="I224" s="9" t="str">
        <f>IF(OR(C224="",F224=""),"",IF(AND(ISNUMBER(D224),ISNUMBER(E224)),IF(D224&lt;E224,Inicio!$E$6,IF(D224=E224,Inicio!$F$6,Inicio!$G$6)),""))</f>
        <v/>
      </c>
      <c r="J224" s="9">
        <f t="shared" si="22"/>
        <v>0</v>
      </c>
      <c r="K224" s="9">
        <f t="shared" si="23"/>
        <v>0</v>
      </c>
      <c r="L224" s="9">
        <f t="shared" si="24"/>
        <v>0</v>
      </c>
      <c r="M224" s="9">
        <f t="shared" si="25"/>
        <v>0</v>
      </c>
      <c r="N224" s="9">
        <f t="shared" si="26"/>
        <v>0</v>
      </c>
      <c r="O224" s="9">
        <f t="shared" si="27"/>
        <v>0</v>
      </c>
    </row>
    <row r="225" spans="1:15" x14ac:dyDescent="0.25">
      <c r="A225" s="9" t="str">
        <f>IF(OR(Calculos!$B$7=0,221&gt;Calculos!$B$7),"",INT((221-1)/Calculos!$B$6)+1)</f>
        <v/>
      </c>
      <c r="B225" s="10" t="str">
        <f>IF(A225="","",Inicio!$E$5+(A225-1)*Inicio!$B$6)</f>
        <v/>
      </c>
      <c r="C225" s="11" t="str">
        <f>IF(A225="","",INDEX(Calculos!$B$11:$B$28,IF(A225&gt;Calculos!$B$4,IF(MOD(IF(A225&lt;=Calculos!$B$4,A225,A225-Calculos!$B$4)+MOD(221-1,Calculos!$B$6)+1,2)=0,INDEX(Calculos!$B$36:$S$52,IF(A225&lt;=Calculos!$B$4,A225,A225-Calculos!$B$4),MOD(221-1,Calculos!$B$6)+1),INDEX(Calculos!$B$36:$S$52,IF(A225&lt;=Calculos!$B$4,A225,A225-Calculos!$B$4),Calculos!$B$2+1-MOD(221-1,Calculos!$B$6)+1)),IF(MOD(IF(A225&lt;=Calculos!$B$4,A225,A225-Calculos!$B$4)+MOD(221-1,Calculos!$B$6)+1,2)=0,INDEX(Calculos!$B$36:$S$52,IF(A225&lt;=Calculos!$B$4,A225,A225-Calculos!$B$4),Calculos!$B$2+1-MOD(221-1,Calculos!$B$6)+1),INDEX(Calculos!$B$36:$S$52,IF(A225&lt;=Calculos!$B$4,A225,A225-Calculos!$B$4),MOD(221-1,Calculos!$B$6)+1)))))</f>
        <v/>
      </c>
      <c r="D225" s="4"/>
      <c r="E225" s="4"/>
      <c r="F225" s="11" t="str">
        <f>IF(A225="","",INDEX(Calculos!$B$11:$B$28,IF(A225&gt;Calculos!$B$4,IF(MOD(IF(A225&lt;=Calculos!$B$4,A225,A225-Calculos!$B$4)+MOD(221-1,Calculos!$B$6)+1,2)=0,INDEX(Calculos!$B$36:$S$52,IF(A225&lt;=Calculos!$B$4,A225,A225-Calculos!$B$4),Calculos!$B$2+1-MOD(221-1,Calculos!$B$6)+1),INDEX(Calculos!$B$36:$S$52,IF(A225&lt;=Calculos!$B$4,A225,A225-Calculos!$B$4),MOD(221-1,Calculos!$B$6)+1)),IF(MOD(IF(A225&lt;=Calculos!$B$4,A225,A225-Calculos!$B$4)+MOD(221-1,Calculos!$B$6)+1,2)=0,INDEX(Calculos!$B$36:$S$52,IF(A225&lt;=Calculos!$B$4,A225,A225-Calculos!$B$4),MOD(221-1,Calculos!$B$6)+1),INDEX(Calculos!$B$36:$S$52,IF(A225&lt;=Calculos!$B$4,A225,A225-Calculos!$B$4),Calculos!$B$2+1-MOD(221-1,Calculos!$B$6)+1)))))</f>
        <v/>
      </c>
      <c r="G225" s="9" t="str">
        <f t="shared" si="21"/>
        <v/>
      </c>
      <c r="H225" s="9" t="str">
        <f>IF(OR(C225="",F225=""),"",IF(AND(ISNUMBER(D225),ISNUMBER(E225)),IF(D225&gt;E225,Inicio!$E$6,IF(D225=E225,Inicio!$F$6,Inicio!$G$6)),""))</f>
        <v/>
      </c>
      <c r="I225" s="9" t="str">
        <f>IF(OR(C225="",F225=""),"",IF(AND(ISNUMBER(D225),ISNUMBER(E225)),IF(D225&lt;E225,Inicio!$E$6,IF(D225=E225,Inicio!$F$6,Inicio!$G$6)),""))</f>
        <v/>
      </c>
      <c r="J225" s="9">
        <f t="shared" si="22"/>
        <v>0</v>
      </c>
      <c r="K225" s="9">
        <f t="shared" si="23"/>
        <v>0</v>
      </c>
      <c r="L225" s="9">
        <f t="shared" si="24"/>
        <v>0</v>
      </c>
      <c r="M225" s="9">
        <f t="shared" si="25"/>
        <v>0</v>
      </c>
      <c r="N225" s="9">
        <f t="shared" si="26"/>
        <v>0</v>
      </c>
      <c r="O225" s="9">
        <f t="shared" si="27"/>
        <v>0</v>
      </c>
    </row>
    <row r="226" spans="1:15" x14ac:dyDescent="0.25">
      <c r="A226" s="9" t="str">
        <f>IF(OR(Calculos!$B$7=0,222&gt;Calculos!$B$7),"",INT((222-1)/Calculos!$B$6)+1)</f>
        <v/>
      </c>
      <c r="B226" s="10" t="str">
        <f>IF(A226="","",Inicio!$E$5+(A226-1)*Inicio!$B$6)</f>
        <v/>
      </c>
      <c r="C226" s="11" t="str">
        <f>IF(A226="","",INDEX(Calculos!$B$11:$B$28,IF(A226&gt;Calculos!$B$4,IF(MOD(IF(A226&lt;=Calculos!$B$4,A226,A226-Calculos!$B$4)+MOD(222-1,Calculos!$B$6)+1,2)=0,INDEX(Calculos!$B$36:$S$52,IF(A226&lt;=Calculos!$B$4,A226,A226-Calculos!$B$4),MOD(222-1,Calculos!$B$6)+1),INDEX(Calculos!$B$36:$S$52,IF(A226&lt;=Calculos!$B$4,A226,A226-Calculos!$B$4),Calculos!$B$2+1-MOD(222-1,Calculos!$B$6)+1)),IF(MOD(IF(A226&lt;=Calculos!$B$4,A226,A226-Calculos!$B$4)+MOD(222-1,Calculos!$B$6)+1,2)=0,INDEX(Calculos!$B$36:$S$52,IF(A226&lt;=Calculos!$B$4,A226,A226-Calculos!$B$4),Calculos!$B$2+1-MOD(222-1,Calculos!$B$6)+1),INDEX(Calculos!$B$36:$S$52,IF(A226&lt;=Calculos!$B$4,A226,A226-Calculos!$B$4),MOD(222-1,Calculos!$B$6)+1)))))</f>
        <v/>
      </c>
      <c r="D226" s="4"/>
      <c r="E226" s="4"/>
      <c r="F226" s="11" t="str">
        <f>IF(A226="","",INDEX(Calculos!$B$11:$B$28,IF(A226&gt;Calculos!$B$4,IF(MOD(IF(A226&lt;=Calculos!$B$4,A226,A226-Calculos!$B$4)+MOD(222-1,Calculos!$B$6)+1,2)=0,INDEX(Calculos!$B$36:$S$52,IF(A226&lt;=Calculos!$B$4,A226,A226-Calculos!$B$4),Calculos!$B$2+1-MOD(222-1,Calculos!$B$6)+1),INDEX(Calculos!$B$36:$S$52,IF(A226&lt;=Calculos!$B$4,A226,A226-Calculos!$B$4),MOD(222-1,Calculos!$B$6)+1)),IF(MOD(IF(A226&lt;=Calculos!$B$4,A226,A226-Calculos!$B$4)+MOD(222-1,Calculos!$B$6)+1,2)=0,INDEX(Calculos!$B$36:$S$52,IF(A226&lt;=Calculos!$B$4,A226,A226-Calculos!$B$4),MOD(222-1,Calculos!$B$6)+1),INDEX(Calculos!$B$36:$S$52,IF(A226&lt;=Calculos!$B$4,A226,A226-Calculos!$B$4),Calculos!$B$2+1-MOD(222-1,Calculos!$B$6)+1)))))</f>
        <v/>
      </c>
      <c r="G226" s="9" t="str">
        <f t="shared" si="21"/>
        <v/>
      </c>
      <c r="H226" s="9" t="str">
        <f>IF(OR(C226="",F226=""),"",IF(AND(ISNUMBER(D226),ISNUMBER(E226)),IF(D226&gt;E226,Inicio!$E$6,IF(D226=E226,Inicio!$F$6,Inicio!$G$6)),""))</f>
        <v/>
      </c>
      <c r="I226" s="9" t="str">
        <f>IF(OR(C226="",F226=""),"",IF(AND(ISNUMBER(D226),ISNUMBER(E226)),IF(D226&lt;E226,Inicio!$E$6,IF(D226=E226,Inicio!$F$6,Inicio!$G$6)),""))</f>
        <v/>
      </c>
      <c r="J226" s="9">
        <f t="shared" si="22"/>
        <v>0</v>
      </c>
      <c r="K226" s="9">
        <f t="shared" si="23"/>
        <v>0</v>
      </c>
      <c r="L226" s="9">
        <f t="shared" si="24"/>
        <v>0</v>
      </c>
      <c r="M226" s="9">
        <f t="shared" si="25"/>
        <v>0</v>
      </c>
      <c r="N226" s="9">
        <f t="shared" si="26"/>
        <v>0</v>
      </c>
      <c r="O226" s="9">
        <f t="shared" si="27"/>
        <v>0</v>
      </c>
    </row>
    <row r="227" spans="1:15" x14ac:dyDescent="0.25">
      <c r="A227" s="9" t="str">
        <f>IF(OR(Calculos!$B$7=0,223&gt;Calculos!$B$7),"",INT((223-1)/Calculos!$B$6)+1)</f>
        <v/>
      </c>
      <c r="B227" s="10" t="str">
        <f>IF(A227="","",Inicio!$E$5+(A227-1)*Inicio!$B$6)</f>
        <v/>
      </c>
      <c r="C227" s="11" t="str">
        <f>IF(A227="","",INDEX(Calculos!$B$11:$B$28,IF(A227&gt;Calculos!$B$4,IF(MOD(IF(A227&lt;=Calculos!$B$4,A227,A227-Calculos!$B$4)+MOD(223-1,Calculos!$B$6)+1,2)=0,INDEX(Calculos!$B$36:$S$52,IF(A227&lt;=Calculos!$B$4,A227,A227-Calculos!$B$4),MOD(223-1,Calculos!$B$6)+1),INDEX(Calculos!$B$36:$S$52,IF(A227&lt;=Calculos!$B$4,A227,A227-Calculos!$B$4),Calculos!$B$2+1-MOD(223-1,Calculos!$B$6)+1)),IF(MOD(IF(A227&lt;=Calculos!$B$4,A227,A227-Calculos!$B$4)+MOD(223-1,Calculos!$B$6)+1,2)=0,INDEX(Calculos!$B$36:$S$52,IF(A227&lt;=Calculos!$B$4,A227,A227-Calculos!$B$4),Calculos!$B$2+1-MOD(223-1,Calculos!$B$6)+1),INDEX(Calculos!$B$36:$S$52,IF(A227&lt;=Calculos!$B$4,A227,A227-Calculos!$B$4),MOD(223-1,Calculos!$B$6)+1)))))</f>
        <v/>
      </c>
      <c r="D227" s="4"/>
      <c r="E227" s="4"/>
      <c r="F227" s="11" t="str">
        <f>IF(A227="","",INDEX(Calculos!$B$11:$B$28,IF(A227&gt;Calculos!$B$4,IF(MOD(IF(A227&lt;=Calculos!$B$4,A227,A227-Calculos!$B$4)+MOD(223-1,Calculos!$B$6)+1,2)=0,INDEX(Calculos!$B$36:$S$52,IF(A227&lt;=Calculos!$B$4,A227,A227-Calculos!$B$4),Calculos!$B$2+1-MOD(223-1,Calculos!$B$6)+1),INDEX(Calculos!$B$36:$S$52,IF(A227&lt;=Calculos!$B$4,A227,A227-Calculos!$B$4),MOD(223-1,Calculos!$B$6)+1)),IF(MOD(IF(A227&lt;=Calculos!$B$4,A227,A227-Calculos!$B$4)+MOD(223-1,Calculos!$B$6)+1,2)=0,INDEX(Calculos!$B$36:$S$52,IF(A227&lt;=Calculos!$B$4,A227,A227-Calculos!$B$4),MOD(223-1,Calculos!$B$6)+1),INDEX(Calculos!$B$36:$S$52,IF(A227&lt;=Calculos!$B$4,A227,A227-Calculos!$B$4),Calculos!$B$2+1-MOD(223-1,Calculos!$B$6)+1)))))</f>
        <v/>
      </c>
      <c r="G227" s="9" t="str">
        <f t="shared" si="21"/>
        <v/>
      </c>
      <c r="H227" s="9" t="str">
        <f>IF(OR(C227="",F227=""),"",IF(AND(ISNUMBER(D227),ISNUMBER(E227)),IF(D227&gt;E227,Inicio!$E$6,IF(D227=E227,Inicio!$F$6,Inicio!$G$6)),""))</f>
        <v/>
      </c>
      <c r="I227" s="9" t="str">
        <f>IF(OR(C227="",F227=""),"",IF(AND(ISNUMBER(D227),ISNUMBER(E227)),IF(D227&lt;E227,Inicio!$E$6,IF(D227=E227,Inicio!$F$6,Inicio!$G$6)),""))</f>
        <v/>
      </c>
      <c r="J227" s="9">
        <f t="shared" si="22"/>
        <v>0</v>
      </c>
      <c r="K227" s="9">
        <f t="shared" si="23"/>
        <v>0</v>
      </c>
      <c r="L227" s="9">
        <f t="shared" si="24"/>
        <v>0</v>
      </c>
      <c r="M227" s="9">
        <f t="shared" si="25"/>
        <v>0</v>
      </c>
      <c r="N227" s="9">
        <f t="shared" si="26"/>
        <v>0</v>
      </c>
      <c r="O227" s="9">
        <f t="shared" si="27"/>
        <v>0</v>
      </c>
    </row>
    <row r="228" spans="1:15" x14ac:dyDescent="0.25">
      <c r="A228" s="9" t="str">
        <f>IF(OR(Calculos!$B$7=0,224&gt;Calculos!$B$7),"",INT((224-1)/Calculos!$B$6)+1)</f>
        <v/>
      </c>
      <c r="B228" s="10" t="str">
        <f>IF(A228="","",Inicio!$E$5+(A228-1)*Inicio!$B$6)</f>
        <v/>
      </c>
      <c r="C228" s="11" t="str">
        <f>IF(A228="","",INDEX(Calculos!$B$11:$B$28,IF(A228&gt;Calculos!$B$4,IF(MOD(IF(A228&lt;=Calculos!$B$4,A228,A228-Calculos!$B$4)+MOD(224-1,Calculos!$B$6)+1,2)=0,INDEX(Calculos!$B$36:$S$52,IF(A228&lt;=Calculos!$B$4,A228,A228-Calculos!$B$4),MOD(224-1,Calculos!$B$6)+1),INDEX(Calculos!$B$36:$S$52,IF(A228&lt;=Calculos!$B$4,A228,A228-Calculos!$B$4),Calculos!$B$2+1-MOD(224-1,Calculos!$B$6)+1)),IF(MOD(IF(A228&lt;=Calculos!$B$4,A228,A228-Calculos!$B$4)+MOD(224-1,Calculos!$B$6)+1,2)=0,INDEX(Calculos!$B$36:$S$52,IF(A228&lt;=Calculos!$B$4,A228,A228-Calculos!$B$4),Calculos!$B$2+1-MOD(224-1,Calculos!$B$6)+1),INDEX(Calculos!$B$36:$S$52,IF(A228&lt;=Calculos!$B$4,A228,A228-Calculos!$B$4),MOD(224-1,Calculos!$B$6)+1)))))</f>
        <v/>
      </c>
      <c r="D228" s="4"/>
      <c r="E228" s="4"/>
      <c r="F228" s="11" t="str">
        <f>IF(A228="","",INDEX(Calculos!$B$11:$B$28,IF(A228&gt;Calculos!$B$4,IF(MOD(IF(A228&lt;=Calculos!$B$4,A228,A228-Calculos!$B$4)+MOD(224-1,Calculos!$B$6)+1,2)=0,INDEX(Calculos!$B$36:$S$52,IF(A228&lt;=Calculos!$B$4,A228,A228-Calculos!$B$4),Calculos!$B$2+1-MOD(224-1,Calculos!$B$6)+1),INDEX(Calculos!$B$36:$S$52,IF(A228&lt;=Calculos!$B$4,A228,A228-Calculos!$B$4),MOD(224-1,Calculos!$B$6)+1)),IF(MOD(IF(A228&lt;=Calculos!$B$4,A228,A228-Calculos!$B$4)+MOD(224-1,Calculos!$B$6)+1,2)=0,INDEX(Calculos!$B$36:$S$52,IF(A228&lt;=Calculos!$B$4,A228,A228-Calculos!$B$4),MOD(224-1,Calculos!$B$6)+1),INDEX(Calculos!$B$36:$S$52,IF(A228&lt;=Calculos!$B$4,A228,A228-Calculos!$B$4),Calculos!$B$2+1-MOD(224-1,Calculos!$B$6)+1)))))</f>
        <v/>
      </c>
      <c r="G228" s="9" t="str">
        <f t="shared" si="21"/>
        <v/>
      </c>
      <c r="H228" s="9" t="str">
        <f>IF(OR(C228="",F228=""),"",IF(AND(ISNUMBER(D228),ISNUMBER(E228)),IF(D228&gt;E228,Inicio!$E$6,IF(D228=E228,Inicio!$F$6,Inicio!$G$6)),""))</f>
        <v/>
      </c>
      <c r="I228" s="9" t="str">
        <f>IF(OR(C228="",F228=""),"",IF(AND(ISNUMBER(D228),ISNUMBER(E228)),IF(D228&lt;E228,Inicio!$E$6,IF(D228=E228,Inicio!$F$6,Inicio!$G$6)),""))</f>
        <v/>
      </c>
      <c r="J228" s="9">
        <f t="shared" si="22"/>
        <v>0</v>
      </c>
      <c r="K228" s="9">
        <f t="shared" si="23"/>
        <v>0</v>
      </c>
      <c r="L228" s="9">
        <f t="shared" si="24"/>
        <v>0</v>
      </c>
      <c r="M228" s="9">
        <f t="shared" si="25"/>
        <v>0</v>
      </c>
      <c r="N228" s="9">
        <f t="shared" si="26"/>
        <v>0</v>
      </c>
      <c r="O228" s="9">
        <f t="shared" si="27"/>
        <v>0</v>
      </c>
    </row>
    <row r="229" spans="1:15" x14ac:dyDescent="0.25">
      <c r="A229" s="9" t="str">
        <f>IF(OR(Calculos!$B$7=0,225&gt;Calculos!$B$7),"",INT((225-1)/Calculos!$B$6)+1)</f>
        <v/>
      </c>
      <c r="B229" s="10" t="str">
        <f>IF(A229="","",Inicio!$E$5+(A229-1)*Inicio!$B$6)</f>
        <v/>
      </c>
      <c r="C229" s="11" t="str">
        <f>IF(A229="","",INDEX(Calculos!$B$11:$B$28,IF(A229&gt;Calculos!$B$4,IF(MOD(IF(A229&lt;=Calculos!$B$4,A229,A229-Calculos!$B$4)+MOD(225-1,Calculos!$B$6)+1,2)=0,INDEX(Calculos!$B$36:$S$52,IF(A229&lt;=Calculos!$B$4,A229,A229-Calculos!$B$4),MOD(225-1,Calculos!$B$6)+1),INDEX(Calculos!$B$36:$S$52,IF(A229&lt;=Calculos!$B$4,A229,A229-Calculos!$B$4),Calculos!$B$2+1-MOD(225-1,Calculos!$B$6)+1)),IF(MOD(IF(A229&lt;=Calculos!$B$4,A229,A229-Calculos!$B$4)+MOD(225-1,Calculos!$B$6)+1,2)=0,INDEX(Calculos!$B$36:$S$52,IF(A229&lt;=Calculos!$B$4,A229,A229-Calculos!$B$4),Calculos!$B$2+1-MOD(225-1,Calculos!$B$6)+1),INDEX(Calculos!$B$36:$S$52,IF(A229&lt;=Calculos!$B$4,A229,A229-Calculos!$B$4),MOD(225-1,Calculos!$B$6)+1)))))</f>
        <v/>
      </c>
      <c r="D229" s="4"/>
      <c r="E229" s="4"/>
      <c r="F229" s="11" t="str">
        <f>IF(A229="","",INDEX(Calculos!$B$11:$B$28,IF(A229&gt;Calculos!$B$4,IF(MOD(IF(A229&lt;=Calculos!$B$4,A229,A229-Calculos!$B$4)+MOD(225-1,Calculos!$B$6)+1,2)=0,INDEX(Calculos!$B$36:$S$52,IF(A229&lt;=Calculos!$B$4,A229,A229-Calculos!$B$4),Calculos!$B$2+1-MOD(225-1,Calculos!$B$6)+1),INDEX(Calculos!$B$36:$S$52,IF(A229&lt;=Calculos!$B$4,A229,A229-Calculos!$B$4),MOD(225-1,Calculos!$B$6)+1)),IF(MOD(IF(A229&lt;=Calculos!$B$4,A229,A229-Calculos!$B$4)+MOD(225-1,Calculos!$B$6)+1,2)=0,INDEX(Calculos!$B$36:$S$52,IF(A229&lt;=Calculos!$B$4,A229,A229-Calculos!$B$4),MOD(225-1,Calculos!$B$6)+1),INDEX(Calculos!$B$36:$S$52,IF(A229&lt;=Calculos!$B$4,A229,A229-Calculos!$B$4),Calculos!$B$2+1-MOD(225-1,Calculos!$B$6)+1)))))</f>
        <v/>
      </c>
      <c r="G229" s="9" t="str">
        <f t="shared" si="21"/>
        <v/>
      </c>
      <c r="H229" s="9" t="str">
        <f>IF(OR(C229="",F229=""),"",IF(AND(ISNUMBER(D229),ISNUMBER(E229)),IF(D229&gt;E229,Inicio!$E$6,IF(D229=E229,Inicio!$F$6,Inicio!$G$6)),""))</f>
        <v/>
      </c>
      <c r="I229" s="9" t="str">
        <f>IF(OR(C229="",F229=""),"",IF(AND(ISNUMBER(D229),ISNUMBER(E229)),IF(D229&lt;E229,Inicio!$E$6,IF(D229=E229,Inicio!$F$6,Inicio!$G$6)),""))</f>
        <v/>
      </c>
      <c r="J229" s="9">
        <f t="shared" si="22"/>
        <v>0</v>
      </c>
      <c r="K229" s="9">
        <f t="shared" si="23"/>
        <v>0</v>
      </c>
      <c r="L229" s="9">
        <f t="shared" si="24"/>
        <v>0</v>
      </c>
      <c r="M229" s="9">
        <f t="shared" si="25"/>
        <v>0</v>
      </c>
      <c r="N229" s="9">
        <f t="shared" si="26"/>
        <v>0</v>
      </c>
      <c r="O229" s="9">
        <f t="shared" si="27"/>
        <v>0</v>
      </c>
    </row>
    <row r="230" spans="1:15" x14ac:dyDescent="0.25">
      <c r="A230" s="9" t="str">
        <f>IF(OR(Calculos!$B$7=0,226&gt;Calculos!$B$7),"",INT((226-1)/Calculos!$B$6)+1)</f>
        <v/>
      </c>
      <c r="B230" s="10" t="str">
        <f>IF(A230="","",Inicio!$E$5+(A230-1)*Inicio!$B$6)</f>
        <v/>
      </c>
      <c r="C230" s="11" t="str">
        <f>IF(A230="","",INDEX(Calculos!$B$11:$B$28,IF(A230&gt;Calculos!$B$4,IF(MOD(IF(A230&lt;=Calculos!$B$4,A230,A230-Calculos!$B$4)+MOD(226-1,Calculos!$B$6)+1,2)=0,INDEX(Calculos!$B$36:$S$52,IF(A230&lt;=Calculos!$B$4,A230,A230-Calculos!$B$4),MOD(226-1,Calculos!$B$6)+1),INDEX(Calculos!$B$36:$S$52,IF(A230&lt;=Calculos!$B$4,A230,A230-Calculos!$B$4),Calculos!$B$2+1-MOD(226-1,Calculos!$B$6)+1)),IF(MOD(IF(A230&lt;=Calculos!$B$4,A230,A230-Calculos!$B$4)+MOD(226-1,Calculos!$B$6)+1,2)=0,INDEX(Calculos!$B$36:$S$52,IF(A230&lt;=Calculos!$B$4,A230,A230-Calculos!$B$4),Calculos!$B$2+1-MOD(226-1,Calculos!$B$6)+1),INDEX(Calculos!$B$36:$S$52,IF(A230&lt;=Calculos!$B$4,A230,A230-Calculos!$B$4),MOD(226-1,Calculos!$B$6)+1)))))</f>
        <v/>
      </c>
      <c r="D230" s="4"/>
      <c r="E230" s="4"/>
      <c r="F230" s="11" t="str">
        <f>IF(A230="","",INDEX(Calculos!$B$11:$B$28,IF(A230&gt;Calculos!$B$4,IF(MOD(IF(A230&lt;=Calculos!$B$4,A230,A230-Calculos!$B$4)+MOD(226-1,Calculos!$B$6)+1,2)=0,INDEX(Calculos!$B$36:$S$52,IF(A230&lt;=Calculos!$B$4,A230,A230-Calculos!$B$4),Calculos!$B$2+1-MOD(226-1,Calculos!$B$6)+1),INDEX(Calculos!$B$36:$S$52,IF(A230&lt;=Calculos!$B$4,A230,A230-Calculos!$B$4),MOD(226-1,Calculos!$B$6)+1)),IF(MOD(IF(A230&lt;=Calculos!$B$4,A230,A230-Calculos!$B$4)+MOD(226-1,Calculos!$B$6)+1,2)=0,INDEX(Calculos!$B$36:$S$52,IF(A230&lt;=Calculos!$B$4,A230,A230-Calculos!$B$4),MOD(226-1,Calculos!$B$6)+1),INDEX(Calculos!$B$36:$S$52,IF(A230&lt;=Calculos!$B$4,A230,A230-Calculos!$B$4),Calculos!$B$2+1-MOD(226-1,Calculos!$B$6)+1)))))</f>
        <v/>
      </c>
      <c r="G230" s="9" t="str">
        <f t="shared" si="21"/>
        <v/>
      </c>
      <c r="H230" s="9" t="str">
        <f>IF(OR(C230="",F230=""),"",IF(AND(ISNUMBER(D230),ISNUMBER(E230)),IF(D230&gt;E230,Inicio!$E$6,IF(D230=E230,Inicio!$F$6,Inicio!$G$6)),""))</f>
        <v/>
      </c>
      <c r="I230" s="9" t="str">
        <f>IF(OR(C230="",F230=""),"",IF(AND(ISNUMBER(D230),ISNUMBER(E230)),IF(D230&lt;E230,Inicio!$E$6,IF(D230=E230,Inicio!$F$6,Inicio!$G$6)),""))</f>
        <v/>
      </c>
      <c r="J230" s="9">
        <f t="shared" si="22"/>
        <v>0</v>
      </c>
      <c r="K230" s="9">
        <f t="shared" si="23"/>
        <v>0</v>
      </c>
      <c r="L230" s="9">
        <f t="shared" si="24"/>
        <v>0</v>
      </c>
      <c r="M230" s="9">
        <f t="shared" si="25"/>
        <v>0</v>
      </c>
      <c r="N230" s="9">
        <f t="shared" si="26"/>
        <v>0</v>
      </c>
      <c r="O230" s="9">
        <f t="shared" si="27"/>
        <v>0</v>
      </c>
    </row>
    <row r="231" spans="1:15" x14ac:dyDescent="0.25">
      <c r="A231" s="9" t="str">
        <f>IF(OR(Calculos!$B$7=0,227&gt;Calculos!$B$7),"",INT((227-1)/Calculos!$B$6)+1)</f>
        <v/>
      </c>
      <c r="B231" s="10" t="str">
        <f>IF(A231="","",Inicio!$E$5+(A231-1)*Inicio!$B$6)</f>
        <v/>
      </c>
      <c r="C231" s="11" t="str">
        <f>IF(A231="","",INDEX(Calculos!$B$11:$B$28,IF(A231&gt;Calculos!$B$4,IF(MOD(IF(A231&lt;=Calculos!$B$4,A231,A231-Calculos!$B$4)+MOD(227-1,Calculos!$B$6)+1,2)=0,INDEX(Calculos!$B$36:$S$52,IF(A231&lt;=Calculos!$B$4,A231,A231-Calculos!$B$4),MOD(227-1,Calculos!$B$6)+1),INDEX(Calculos!$B$36:$S$52,IF(A231&lt;=Calculos!$B$4,A231,A231-Calculos!$B$4),Calculos!$B$2+1-MOD(227-1,Calculos!$B$6)+1)),IF(MOD(IF(A231&lt;=Calculos!$B$4,A231,A231-Calculos!$B$4)+MOD(227-1,Calculos!$B$6)+1,2)=0,INDEX(Calculos!$B$36:$S$52,IF(A231&lt;=Calculos!$B$4,A231,A231-Calculos!$B$4),Calculos!$B$2+1-MOD(227-1,Calculos!$B$6)+1),INDEX(Calculos!$B$36:$S$52,IF(A231&lt;=Calculos!$B$4,A231,A231-Calculos!$B$4),MOD(227-1,Calculos!$B$6)+1)))))</f>
        <v/>
      </c>
      <c r="D231" s="4"/>
      <c r="E231" s="4"/>
      <c r="F231" s="11" t="str">
        <f>IF(A231="","",INDEX(Calculos!$B$11:$B$28,IF(A231&gt;Calculos!$B$4,IF(MOD(IF(A231&lt;=Calculos!$B$4,A231,A231-Calculos!$B$4)+MOD(227-1,Calculos!$B$6)+1,2)=0,INDEX(Calculos!$B$36:$S$52,IF(A231&lt;=Calculos!$B$4,A231,A231-Calculos!$B$4),Calculos!$B$2+1-MOD(227-1,Calculos!$B$6)+1),INDEX(Calculos!$B$36:$S$52,IF(A231&lt;=Calculos!$B$4,A231,A231-Calculos!$B$4),MOD(227-1,Calculos!$B$6)+1)),IF(MOD(IF(A231&lt;=Calculos!$B$4,A231,A231-Calculos!$B$4)+MOD(227-1,Calculos!$B$6)+1,2)=0,INDEX(Calculos!$B$36:$S$52,IF(A231&lt;=Calculos!$B$4,A231,A231-Calculos!$B$4),MOD(227-1,Calculos!$B$6)+1),INDEX(Calculos!$B$36:$S$52,IF(A231&lt;=Calculos!$B$4,A231,A231-Calculos!$B$4),Calculos!$B$2+1-MOD(227-1,Calculos!$B$6)+1)))))</f>
        <v/>
      </c>
      <c r="G231" s="9" t="str">
        <f t="shared" si="21"/>
        <v/>
      </c>
      <c r="H231" s="9" t="str">
        <f>IF(OR(C231="",F231=""),"",IF(AND(ISNUMBER(D231),ISNUMBER(E231)),IF(D231&gt;E231,Inicio!$E$6,IF(D231=E231,Inicio!$F$6,Inicio!$G$6)),""))</f>
        <v/>
      </c>
      <c r="I231" s="9" t="str">
        <f>IF(OR(C231="",F231=""),"",IF(AND(ISNUMBER(D231),ISNUMBER(E231)),IF(D231&lt;E231,Inicio!$E$6,IF(D231=E231,Inicio!$F$6,Inicio!$G$6)),""))</f>
        <v/>
      </c>
      <c r="J231" s="9">
        <f t="shared" si="22"/>
        <v>0</v>
      </c>
      <c r="K231" s="9">
        <f t="shared" si="23"/>
        <v>0</v>
      </c>
      <c r="L231" s="9">
        <f t="shared" si="24"/>
        <v>0</v>
      </c>
      <c r="M231" s="9">
        <f t="shared" si="25"/>
        <v>0</v>
      </c>
      <c r="N231" s="9">
        <f t="shared" si="26"/>
        <v>0</v>
      </c>
      <c r="O231" s="9">
        <f t="shared" si="27"/>
        <v>0</v>
      </c>
    </row>
    <row r="232" spans="1:15" x14ac:dyDescent="0.25">
      <c r="A232" s="9" t="str">
        <f>IF(OR(Calculos!$B$7=0,228&gt;Calculos!$B$7),"",INT((228-1)/Calculos!$B$6)+1)</f>
        <v/>
      </c>
      <c r="B232" s="10" t="str">
        <f>IF(A232="","",Inicio!$E$5+(A232-1)*Inicio!$B$6)</f>
        <v/>
      </c>
      <c r="C232" s="11" t="str">
        <f>IF(A232="","",INDEX(Calculos!$B$11:$B$28,IF(A232&gt;Calculos!$B$4,IF(MOD(IF(A232&lt;=Calculos!$B$4,A232,A232-Calculos!$B$4)+MOD(228-1,Calculos!$B$6)+1,2)=0,INDEX(Calculos!$B$36:$S$52,IF(A232&lt;=Calculos!$B$4,A232,A232-Calculos!$B$4),MOD(228-1,Calculos!$B$6)+1),INDEX(Calculos!$B$36:$S$52,IF(A232&lt;=Calculos!$B$4,A232,A232-Calculos!$B$4),Calculos!$B$2+1-MOD(228-1,Calculos!$B$6)+1)),IF(MOD(IF(A232&lt;=Calculos!$B$4,A232,A232-Calculos!$B$4)+MOD(228-1,Calculos!$B$6)+1,2)=0,INDEX(Calculos!$B$36:$S$52,IF(A232&lt;=Calculos!$B$4,A232,A232-Calculos!$B$4),Calculos!$B$2+1-MOD(228-1,Calculos!$B$6)+1),INDEX(Calculos!$B$36:$S$52,IF(A232&lt;=Calculos!$B$4,A232,A232-Calculos!$B$4),MOD(228-1,Calculos!$B$6)+1)))))</f>
        <v/>
      </c>
      <c r="D232" s="4"/>
      <c r="E232" s="4"/>
      <c r="F232" s="11" t="str">
        <f>IF(A232="","",INDEX(Calculos!$B$11:$B$28,IF(A232&gt;Calculos!$B$4,IF(MOD(IF(A232&lt;=Calculos!$B$4,A232,A232-Calculos!$B$4)+MOD(228-1,Calculos!$B$6)+1,2)=0,INDEX(Calculos!$B$36:$S$52,IF(A232&lt;=Calculos!$B$4,A232,A232-Calculos!$B$4),Calculos!$B$2+1-MOD(228-1,Calculos!$B$6)+1),INDEX(Calculos!$B$36:$S$52,IF(A232&lt;=Calculos!$B$4,A232,A232-Calculos!$B$4),MOD(228-1,Calculos!$B$6)+1)),IF(MOD(IF(A232&lt;=Calculos!$B$4,A232,A232-Calculos!$B$4)+MOD(228-1,Calculos!$B$6)+1,2)=0,INDEX(Calculos!$B$36:$S$52,IF(A232&lt;=Calculos!$B$4,A232,A232-Calculos!$B$4),MOD(228-1,Calculos!$B$6)+1),INDEX(Calculos!$B$36:$S$52,IF(A232&lt;=Calculos!$B$4,A232,A232-Calculos!$B$4),Calculos!$B$2+1-MOD(228-1,Calculos!$B$6)+1)))))</f>
        <v/>
      </c>
      <c r="G232" s="9" t="str">
        <f t="shared" si="21"/>
        <v/>
      </c>
      <c r="H232" s="9" t="str">
        <f>IF(OR(C232="",F232=""),"",IF(AND(ISNUMBER(D232),ISNUMBER(E232)),IF(D232&gt;E232,Inicio!$E$6,IF(D232=E232,Inicio!$F$6,Inicio!$G$6)),""))</f>
        <v/>
      </c>
      <c r="I232" s="9" t="str">
        <f>IF(OR(C232="",F232=""),"",IF(AND(ISNUMBER(D232),ISNUMBER(E232)),IF(D232&lt;E232,Inicio!$E$6,IF(D232=E232,Inicio!$F$6,Inicio!$G$6)),""))</f>
        <v/>
      </c>
      <c r="J232" s="9">
        <f t="shared" si="22"/>
        <v>0</v>
      </c>
      <c r="K232" s="9">
        <f t="shared" si="23"/>
        <v>0</v>
      </c>
      <c r="L232" s="9">
        <f t="shared" si="24"/>
        <v>0</v>
      </c>
      <c r="M232" s="9">
        <f t="shared" si="25"/>
        <v>0</v>
      </c>
      <c r="N232" s="9">
        <f t="shared" si="26"/>
        <v>0</v>
      </c>
      <c r="O232" s="9">
        <f t="shared" si="27"/>
        <v>0</v>
      </c>
    </row>
    <row r="233" spans="1:15" x14ac:dyDescent="0.25">
      <c r="A233" s="9" t="str">
        <f>IF(OR(Calculos!$B$7=0,229&gt;Calculos!$B$7),"",INT((229-1)/Calculos!$B$6)+1)</f>
        <v/>
      </c>
      <c r="B233" s="10" t="str">
        <f>IF(A233="","",Inicio!$E$5+(A233-1)*Inicio!$B$6)</f>
        <v/>
      </c>
      <c r="C233" s="11" t="str">
        <f>IF(A233="","",INDEX(Calculos!$B$11:$B$28,IF(A233&gt;Calculos!$B$4,IF(MOD(IF(A233&lt;=Calculos!$B$4,A233,A233-Calculos!$B$4)+MOD(229-1,Calculos!$B$6)+1,2)=0,INDEX(Calculos!$B$36:$S$52,IF(A233&lt;=Calculos!$B$4,A233,A233-Calculos!$B$4),MOD(229-1,Calculos!$B$6)+1),INDEX(Calculos!$B$36:$S$52,IF(A233&lt;=Calculos!$B$4,A233,A233-Calculos!$B$4),Calculos!$B$2+1-MOD(229-1,Calculos!$B$6)+1)),IF(MOD(IF(A233&lt;=Calculos!$B$4,A233,A233-Calculos!$B$4)+MOD(229-1,Calculos!$B$6)+1,2)=0,INDEX(Calculos!$B$36:$S$52,IF(A233&lt;=Calculos!$B$4,A233,A233-Calculos!$B$4),Calculos!$B$2+1-MOD(229-1,Calculos!$B$6)+1),INDEX(Calculos!$B$36:$S$52,IF(A233&lt;=Calculos!$B$4,A233,A233-Calculos!$B$4),MOD(229-1,Calculos!$B$6)+1)))))</f>
        <v/>
      </c>
      <c r="D233" s="4"/>
      <c r="E233" s="4"/>
      <c r="F233" s="11" t="str">
        <f>IF(A233="","",INDEX(Calculos!$B$11:$B$28,IF(A233&gt;Calculos!$B$4,IF(MOD(IF(A233&lt;=Calculos!$B$4,A233,A233-Calculos!$B$4)+MOD(229-1,Calculos!$B$6)+1,2)=0,INDEX(Calculos!$B$36:$S$52,IF(A233&lt;=Calculos!$B$4,A233,A233-Calculos!$B$4),Calculos!$B$2+1-MOD(229-1,Calculos!$B$6)+1),INDEX(Calculos!$B$36:$S$52,IF(A233&lt;=Calculos!$B$4,A233,A233-Calculos!$B$4),MOD(229-1,Calculos!$B$6)+1)),IF(MOD(IF(A233&lt;=Calculos!$B$4,A233,A233-Calculos!$B$4)+MOD(229-1,Calculos!$B$6)+1,2)=0,INDEX(Calculos!$B$36:$S$52,IF(A233&lt;=Calculos!$B$4,A233,A233-Calculos!$B$4),MOD(229-1,Calculos!$B$6)+1),INDEX(Calculos!$B$36:$S$52,IF(A233&lt;=Calculos!$B$4,A233,A233-Calculos!$B$4),Calculos!$B$2+1-MOD(229-1,Calculos!$B$6)+1)))))</f>
        <v/>
      </c>
      <c r="G233" s="9" t="str">
        <f t="shared" si="21"/>
        <v/>
      </c>
      <c r="H233" s="9" t="str">
        <f>IF(OR(C233="",F233=""),"",IF(AND(ISNUMBER(D233),ISNUMBER(E233)),IF(D233&gt;E233,Inicio!$E$6,IF(D233=E233,Inicio!$F$6,Inicio!$G$6)),""))</f>
        <v/>
      </c>
      <c r="I233" s="9" t="str">
        <f>IF(OR(C233="",F233=""),"",IF(AND(ISNUMBER(D233),ISNUMBER(E233)),IF(D233&lt;E233,Inicio!$E$6,IF(D233=E233,Inicio!$F$6,Inicio!$G$6)),""))</f>
        <v/>
      </c>
      <c r="J233" s="9">
        <f t="shared" si="22"/>
        <v>0</v>
      </c>
      <c r="K233" s="9">
        <f t="shared" si="23"/>
        <v>0</v>
      </c>
      <c r="L233" s="9">
        <f t="shared" si="24"/>
        <v>0</v>
      </c>
      <c r="M233" s="9">
        <f t="shared" si="25"/>
        <v>0</v>
      </c>
      <c r="N233" s="9">
        <f t="shared" si="26"/>
        <v>0</v>
      </c>
      <c r="O233" s="9">
        <f t="shared" si="27"/>
        <v>0</v>
      </c>
    </row>
    <row r="234" spans="1:15" x14ac:dyDescent="0.25">
      <c r="A234" s="9" t="str">
        <f>IF(OR(Calculos!$B$7=0,230&gt;Calculos!$B$7),"",INT((230-1)/Calculos!$B$6)+1)</f>
        <v/>
      </c>
      <c r="B234" s="10" t="str">
        <f>IF(A234="","",Inicio!$E$5+(A234-1)*Inicio!$B$6)</f>
        <v/>
      </c>
      <c r="C234" s="11" t="str">
        <f>IF(A234="","",INDEX(Calculos!$B$11:$B$28,IF(A234&gt;Calculos!$B$4,IF(MOD(IF(A234&lt;=Calculos!$B$4,A234,A234-Calculos!$B$4)+MOD(230-1,Calculos!$B$6)+1,2)=0,INDEX(Calculos!$B$36:$S$52,IF(A234&lt;=Calculos!$B$4,A234,A234-Calculos!$B$4),MOD(230-1,Calculos!$B$6)+1),INDEX(Calculos!$B$36:$S$52,IF(A234&lt;=Calculos!$B$4,A234,A234-Calculos!$B$4),Calculos!$B$2+1-MOD(230-1,Calculos!$B$6)+1)),IF(MOD(IF(A234&lt;=Calculos!$B$4,A234,A234-Calculos!$B$4)+MOD(230-1,Calculos!$B$6)+1,2)=0,INDEX(Calculos!$B$36:$S$52,IF(A234&lt;=Calculos!$B$4,A234,A234-Calculos!$B$4),Calculos!$B$2+1-MOD(230-1,Calculos!$B$6)+1),INDEX(Calculos!$B$36:$S$52,IF(A234&lt;=Calculos!$B$4,A234,A234-Calculos!$B$4),MOD(230-1,Calculos!$B$6)+1)))))</f>
        <v/>
      </c>
      <c r="D234" s="4"/>
      <c r="E234" s="4"/>
      <c r="F234" s="11" t="str">
        <f>IF(A234="","",INDEX(Calculos!$B$11:$B$28,IF(A234&gt;Calculos!$B$4,IF(MOD(IF(A234&lt;=Calculos!$B$4,A234,A234-Calculos!$B$4)+MOD(230-1,Calculos!$B$6)+1,2)=0,INDEX(Calculos!$B$36:$S$52,IF(A234&lt;=Calculos!$B$4,A234,A234-Calculos!$B$4),Calculos!$B$2+1-MOD(230-1,Calculos!$B$6)+1),INDEX(Calculos!$B$36:$S$52,IF(A234&lt;=Calculos!$B$4,A234,A234-Calculos!$B$4),MOD(230-1,Calculos!$B$6)+1)),IF(MOD(IF(A234&lt;=Calculos!$B$4,A234,A234-Calculos!$B$4)+MOD(230-1,Calculos!$B$6)+1,2)=0,INDEX(Calculos!$B$36:$S$52,IF(A234&lt;=Calculos!$B$4,A234,A234-Calculos!$B$4),MOD(230-1,Calculos!$B$6)+1),INDEX(Calculos!$B$36:$S$52,IF(A234&lt;=Calculos!$B$4,A234,A234-Calculos!$B$4),Calculos!$B$2+1-MOD(230-1,Calculos!$B$6)+1)))))</f>
        <v/>
      </c>
      <c r="G234" s="9" t="str">
        <f t="shared" si="21"/>
        <v/>
      </c>
      <c r="H234" s="9" t="str">
        <f>IF(OR(C234="",F234=""),"",IF(AND(ISNUMBER(D234),ISNUMBER(E234)),IF(D234&gt;E234,Inicio!$E$6,IF(D234=E234,Inicio!$F$6,Inicio!$G$6)),""))</f>
        <v/>
      </c>
      <c r="I234" s="9" t="str">
        <f>IF(OR(C234="",F234=""),"",IF(AND(ISNUMBER(D234),ISNUMBER(E234)),IF(D234&lt;E234,Inicio!$E$6,IF(D234=E234,Inicio!$F$6,Inicio!$G$6)),""))</f>
        <v/>
      </c>
      <c r="J234" s="9">
        <f t="shared" si="22"/>
        <v>0</v>
      </c>
      <c r="K234" s="9">
        <f t="shared" si="23"/>
        <v>0</v>
      </c>
      <c r="L234" s="9">
        <f t="shared" si="24"/>
        <v>0</v>
      </c>
      <c r="M234" s="9">
        <f t="shared" si="25"/>
        <v>0</v>
      </c>
      <c r="N234" s="9">
        <f t="shared" si="26"/>
        <v>0</v>
      </c>
      <c r="O234" s="9">
        <f t="shared" si="27"/>
        <v>0</v>
      </c>
    </row>
    <row r="235" spans="1:15" x14ac:dyDescent="0.25">
      <c r="A235" s="9" t="str">
        <f>IF(OR(Calculos!$B$7=0,231&gt;Calculos!$B$7),"",INT((231-1)/Calculos!$B$6)+1)</f>
        <v/>
      </c>
      <c r="B235" s="10" t="str">
        <f>IF(A235="","",Inicio!$E$5+(A235-1)*Inicio!$B$6)</f>
        <v/>
      </c>
      <c r="C235" s="11" t="str">
        <f>IF(A235="","",INDEX(Calculos!$B$11:$B$28,IF(A235&gt;Calculos!$B$4,IF(MOD(IF(A235&lt;=Calculos!$B$4,A235,A235-Calculos!$B$4)+MOD(231-1,Calculos!$B$6)+1,2)=0,INDEX(Calculos!$B$36:$S$52,IF(A235&lt;=Calculos!$B$4,A235,A235-Calculos!$B$4),MOD(231-1,Calculos!$B$6)+1),INDEX(Calculos!$B$36:$S$52,IF(A235&lt;=Calculos!$B$4,A235,A235-Calculos!$B$4),Calculos!$B$2+1-MOD(231-1,Calculos!$B$6)+1)),IF(MOD(IF(A235&lt;=Calculos!$B$4,A235,A235-Calculos!$B$4)+MOD(231-1,Calculos!$B$6)+1,2)=0,INDEX(Calculos!$B$36:$S$52,IF(A235&lt;=Calculos!$B$4,A235,A235-Calculos!$B$4),Calculos!$B$2+1-MOD(231-1,Calculos!$B$6)+1),INDEX(Calculos!$B$36:$S$52,IF(A235&lt;=Calculos!$B$4,A235,A235-Calculos!$B$4),MOD(231-1,Calculos!$B$6)+1)))))</f>
        <v/>
      </c>
      <c r="D235" s="4"/>
      <c r="E235" s="4"/>
      <c r="F235" s="11" t="str">
        <f>IF(A235="","",INDEX(Calculos!$B$11:$B$28,IF(A235&gt;Calculos!$B$4,IF(MOD(IF(A235&lt;=Calculos!$B$4,A235,A235-Calculos!$B$4)+MOD(231-1,Calculos!$B$6)+1,2)=0,INDEX(Calculos!$B$36:$S$52,IF(A235&lt;=Calculos!$B$4,A235,A235-Calculos!$B$4),Calculos!$B$2+1-MOD(231-1,Calculos!$B$6)+1),INDEX(Calculos!$B$36:$S$52,IF(A235&lt;=Calculos!$B$4,A235,A235-Calculos!$B$4),MOD(231-1,Calculos!$B$6)+1)),IF(MOD(IF(A235&lt;=Calculos!$B$4,A235,A235-Calculos!$B$4)+MOD(231-1,Calculos!$B$6)+1,2)=0,INDEX(Calculos!$B$36:$S$52,IF(A235&lt;=Calculos!$B$4,A235,A235-Calculos!$B$4),MOD(231-1,Calculos!$B$6)+1),INDEX(Calculos!$B$36:$S$52,IF(A235&lt;=Calculos!$B$4,A235,A235-Calculos!$B$4),Calculos!$B$2+1-MOD(231-1,Calculos!$B$6)+1)))))</f>
        <v/>
      </c>
      <c r="G235" s="9" t="str">
        <f t="shared" si="21"/>
        <v/>
      </c>
      <c r="H235" s="9" t="str">
        <f>IF(OR(C235="",F235=""),"",IF(AND(ISNUMBER(D235),ISNUMBER(E235)),IF(D235&gt;E235,Inicio!$E$6,IF(D235=E235,Inicio!$F$6,Inicio!$G$6)),""))</f>
        <v/>
      </c>
      <c r="I235" s="9" t="str">
        <f>IF(OR(C235="",F235=""),"",IF(AND(ISNUMBER(D235),ISNUMBER(E235)),IF(D235&lt;E235,Inicio!$E$6,IF(D235=E235,Inicio!$F$6,Inicio!$G$6)),""))</f>
        <v/>
      </c>
      <c r="J235" s="9">
        <f t="shared" si="22"/>
        <v>0</v>
      </c>
      <c r="K235" s="9">
        <f t="shared" si="23"/>
        <v>0</v>
      </c>
      <c r="L235" s="9">
        <f t="shared" si="24"/>
        <v>0</v>
      </c>
      <c r="M235" s="9">
        <f t="shared" si="25"/>
        <v>0</v>
      </c>
      <c r="N235" s="9">
        <f t="shared" si="26"/>
        <v>0</v>
      </c>
      <c r="O235" s="9">
        <f t="shared" si="27"/>
        <v>0</v>
      </c>
    </row>
    <row r="236" spans="1:15" x14ac:dyDescent="0.25">
      <c r="A236" s="9" t="str">
        <f>IF(OR(Calculos!$B$7=0,232&gt;Calculos!$B$7),"",INT((232-1)/Calculos!$B$6)+1)</f>
        <v/>
      </c>
      <c r="B236" s="10" t="str">
        <f>IF(A236="","",Inicio!$E$5+(A236-1)*Inicio!$B$6)</f>
        <v/>
      </c>
      <c r="C236" s="11" t="str">
        <f>IF(A236="","",INDEX(Calculos!$B$11:$B$28,IF(A236&gt;Calculos!$B$4,IF(MOD(IF(A236&lt;=Calculos!$B$4,A236,A236-Calculos!$B$4)+MOD(232-1,Calculos!$B$6)+1,2)=0,INDEX(Calculos!$B$36:$S$52,IF(A236&lt;=Calculos!$B$4,A236,A236-Calculos!$B$4),MOD(232-1,Calculos!$B$6)+1),INDEX(Calculos!$B$36:$S$52,IF(A236&lt;=Calculos!$B$4,A236,A236-Calculos!$B$4),Calculos!$B$2+1-MOD(232-1,Calculos!$B$6)+1)),IF(MOD(IF(A236&lt;=Calculos!$B$4,A236,A236-Calculos!$B$4)+MOD(232-1,Calculos!$B$6)+1,2)=0,INDEX(Calculos!$B$36:$S$52,IF(A236&lt;=Calculos!$B$4,A236,A236-Calculos!$B$4),Calculos!$B$2+1-MOD(232-1,Calculos!$B$6)+1),INDEX(Calculos!$B$36:$S$52,IF(A236&lt;=Calculos!$B$4,A236,A236-Calculos!$B$4),MOD(232-1,Calculos!$B$6)+1)))))</f>
        <v/>
      </c>
      <c r="D236" s="4"/>
      <c r="E236" s="4"/>
      <c r="F236" s="11" t="str">
        <f>IF(A236="","",INDEX(Calculos!$B$11:$B$28,IF(A236&gt;Calculos!$B$4,IF(MOD(IF(A236&lt;=Calculos!$B$4,A236,A236-Calculos!$B$4)+MOD(232-1,Calculos!$B$6)+1,2)=0,INDEX(Calculos!$B$36:$S$52,IF(A236&lt;=Calculos!$B$4,A236,A236-Calculos!$B$4),Calculos!$B$2+1-MOD(232-1,Calculos!$B$6)+1),INDEX(Calculos!$B$36:$S$52,IF(A236&lt;=Calculos!$B$4,A236,A236-Calculos!$B$4),MOD(232-1,Calculos!$B$6)+1)),IF(MOD(IF(A236&lt;=Calculos!$B$4,A236,A236-Calculos!$B$4)+MOD(232-1,Calculos!$B$6)+1,2)=0,INDEX(Calculos!$B$36:$S$52,IF(A236&lt;=Calculos!$B$4,A236,A236-Calculos!$B$4),MOD(232-1,Calculos!$B$6)+1),INDEX(Calculos!$B$36:$S$52,IF(A236&lt;=Calculos!$B$4,A236,A236-Calculos!$B$4),Calculos!$B$2+1-MOD(232-1,Calculos!$B$6)+1)))))</f>
        <v/>
      </c>
      <c r="G236" s="9" t="str">
        <f t="shared" si="21"/>
        <v/>
      </c>
      <c r="H236" s="9" t="str">
        <f>IF(OR(C236="",F236=""),"",IF(AND(ISNUMBER(D236),ISNUMBER(E236)),IF(D236&gt;E236,Inicio!$E$6,IF(D236=E236,Inicio!$F$6,Inicio!$G$6)),""))</f>
        <v/>
      </c>
      <c r="I236" s="9" t="str">
        <f>IF(OR(C236="",F236=""),"",IF(AND(ISNUMBER(D236),ISNUMBER(E236)),IF(D236&lt;E236,Inicio!$E$6,IF(D236=E236,Inicio!$F$6,Inicio!$G$6)),""))</f>
        <v/>
      </c>
      <c r="J236" s="9">
        <f t="shared" si="22"/>
        <v>0</v>
      </c>
      <c r="K236" s="9">
        <f t="shared" si="23"/>
        <v>0</v>
      </c>
      <c r="L236" s="9">
        <f t="shared" si="24"/>
        <v>0</v>
      </c>
      <c r="M236" s="9">
        <f t="shared" si="25"/>
        <v>0</v>
      </c>
      <c r="N236" s="9">
        <f t="shared" si="26"/>
        <v>0</v>
      </c>
      <c r="O236" s="9">
        <f t="shared" si="27"/>
        <v>0</v>
      </c>
    </row>
    <row r="237" spans="1:15" x14ac:dyDescent="0.25">
      <c r="A237" s="9" t="str">
        <f>IF(OR(Calculos!$B$7=0,233&gt;Calculos!$B$7),"",INT((233-1)/Calculos!$B$6)+1)</f>
        <v/>
      </c>
      <c r="B237" s="10" t="str">
        <f>IF(A237="","",Inicio!$E$5+(A237-1)*Inicio!$B$6)</f>
        <v/>
      </c>
      <c r="C237" s="11" t="str">
        <f>IF(A237="","",INDEX(Calculos!$B$11:$B$28,IF(A237&gt;Calculos!$B$4,IF(MOD(IF(A237&lt;=Calculos!$B$4,A237,A237-Calculos!$B$4)+MOD(233-1,Calculos!$B$6)+1,2)=0,INDEX(Calculos!$B$36:$S$52,IF(A237&lt;=Calculos!$B$4,A237,A237-Calculos!$B$4),MOD(233-1,Calculos!$B$6)+1),INDEX(Calculos!$B$36:$S$52,IF(A237&lt;=Calculos!$B$4,A237,A237-Calculos!$B$4),Calculos!$B$2+1-MOD(233-1,Calculos!$B$6)+1)),IF(MOD(IF(A237&lt;=Calculos!$B$4,A237,A237-Calculos!$B$4)+MOD(233-1,Calculos!$B$6)+1,2)=0,INDEX(Calculos!$B$36:$S$52,IF(A237&lt;=Calculos!$B$4,A237,A237-Calculos!$B$4),Calculos!$B$2+1-MOD(233-1,Calculos!$B$6)+1),INDEX(Calculos!$B$36:$S$52,IF(A237&lt;=Calculos!$B$4,A237,A237-Calculos!$B$4),MOD(233-1,Calculos!$B$6)+1)))))</f>
        <v/>
      </c>
      <c r="D237" s="4"/>
      <c r="E237" s="4"/>
      <c r="F237" s="11" t="str">
        <f>IF(A237="","",INDEX(Calculos!$B$11:$B$28,IF(A237&gt;Calculos!$B$4,IF(MOD(IF(A237&lt;=Calculos!$B$4,A237,A237-Calculos!$B$4)+MOD(233-1,Calculos!$B$6)+1,2)=0,INDEX(Calculos!$B$36:$S$52,IF(A237&lt;=Calculos!$B$4,A237,A237-Calculos!$B$4),Calculos!$B$2+1-MOD(233-1,Calculos!$B$6)+1),INDEX(Calculos!$B$36:$S$52,IF(A237&lt;=Calculos!$B$4,A237,A237-Calculos!$B$4),MOD(233-1,Calculos!$B$6)+1)),IF(MOD(IF(A237&lt;=Calculos!$B$4,A237,A237-Calculos!$B$4)+MOD(233-1,Calculos!$B$6)+1,2)=0,INDEX(Calculos!$B$36:$S$52,IF(A237&lt;=Calculos!$B$4,A237,A237-Calculos!$B$4),MOD(233-1,Calculos!$B$6)+1),INDEX(Calculos!$B$36:$S$52,IF(A237&lt;=Calculos!$B$4,A237,A237-Calculos!$B$4),Calculos!$B$2+1-MOD(233-1,Calculos!$B$6)+1)))))</f>
        <v/>
      </c>
      <c r="G237" s="9" t="str">
        <f t="shared" si="21"/>
        <v/>
      </c>
      <c r="H237" s="9" t="str">
        <f>IF(OR(C237="",F237=""),"",IF(AND(ISNUMBER(D237),ISNUMBER(E237)),IF(D237&gt;E237,Inicio!$E$6,IF(D237=E237,Inicio!$F$6,Inicio!$G$6)),""))</f>
        <v/>
      </c>
      <c r="I237" s="9" t="str">
        <f>IF(OR(C237="",F237=""),"",IF(AND(ISNUMBER(D237),ISNUMBER(E237)),IF(D237&lt;E237,Inicio!$E$6,IF(D237=E237,Inicio!$F$6,Inicio!$G$6)),""))</f>
        <v/>
      </c>
      <c r="J237" s="9">
        <f t="shared" si="22"/>
        <v>0</v>
      </c>
      <c r="K237" s="9">
        <f t="shared" si="23"/>
        <v>0</v>
      </c>
      <c r="L237" s="9">
        <f t="shared" si="24"/>
        <v>0</v>
      </c>
      <c r="M237" s="9">
        <f t="shared" si="25"/>
        <v>0</v>
      </c>
      <c r="N237" s="9">
        <f t="shared" si="26"/>
        <v>0</v>
      </c>
      <c r="O237" s="9">
        <f t="shared" si="27"/>
        <v>0</v>
      </c>
    </row>
    <row r="238" spans="1:15" x14ac:dyDescent="0.25">
      <c r="A238" s="9" t="str">
        <f>IF(OR(Calculos!$B$7=0,234&gt;Calculos!$B$7),"",INT((234-1)/Calculos!$B$6)+1)</f>
        <v/>
      </c>
      <c r="B238" s="10" t="str">
        <f>IF(A238="","",Inicio!$E$5+(A238-1)*Inicio!$B$6)</f>
        <v/>
      </c>
      <c r="C238" s="11" t="str">
        <f>IF(A238="","",INDEX(Calculos!$B$11:$B$28,IF(A238&gt;Calculos!$B$4,IF(MOD(IF(A238&lt;=Calculos!$B$4,A238,A238-Calculos!$B$4)+MOD(234-1,Calculos!$B$6)+1,2)=0,INDEX(Calculos!$B$36:$S$52,IF(A238&lt;=Calculos!$B$4,A238,A238-Calculos!$B$4),MOD(234-1,Calculos!$B$6)+1),INDEX(Calculos!$B$36:$S$52,IF(A238&lt;=Calculos!$B$4,A238,A238-Calculos!$B$4),Calculos!$B$2+1-MOD(234-1,Calculos!$B$6)+1)),IF(MOD(IF(A238&lt;=Calculos!$B$4,A238,A238-Calculos!$B$4)+MOD(234-1,Calculos!$B$6)+1,2)=0,INDEX(Calculos!$B$36:$S$52,IF(A238&lt;=Calculos!$B$4,A238,A238-Calculos!$B$4),Calculos!$B$2+1-MOD(234-1,Calculos!$B$6)+1),INDEX(Calculos!$B$36:$S$52,IF(A238&lt;=Calculos!$B$4,A238,A238-Calculos!$B$4),MOD(234-1,Calculos!$B$6)+1)))))</f>
        <v/>
      </c>
      <c r="D238" s="4"/>
      <c r="E238" s="4"/>
      <c r="F238" s="11" t="str">
        <f>IF(A238="","",INDEX(Calculos!$B$11:$B$28,IF(A238&gt;Calculos!$B$4,IF(MOD(IF(A238&lt;=Calculos!$B$4,A238,A238-Calculos!$B$4)+MOD(234-1,Calculos!$B$6)+1,2)=0,INDEX(Calculos!$B$36:$S$52,IF(A238&lt;=Calculos!$B$4,A238,A238-Calculos!$B$4),Calculos!$B$2+1-MOD(234-1,Calculos!$B$6)+1),INDEX(Calculos!$B$36:$S$52,IF(A238&lt;=Calculos!$B$4,A238,A238-Calculos!$B$4),MOD(234-1,Calculos!$B$6)+1)),IF(MOD(IF(A238&lt;=Calculos!$B$4,A238,A238-Calculos!$B$4)+MOD(234-1,Calculos!$B$6)+1,2)=0,INDEX(Calculos!$B$36:$S$52,IF(A238&lt;=Calculos!$B$4,A238,A238-Calculos!$B$4),MOD(234-1,Calculos!$B$6)+1),INDEX(Calculos!$B$36:$S$52,IF(A238&lt;=Calculos!$B$4,A238,A238-Calculos!$B$4),Calculos!$B$2+1-MOD(234-1,Calculos!$B$6)+1)))))</f>
        <v/>
      </c>
      <c r="G238" s="9" t="str">
        <f t="shared" si="21"/>
        <v/>
      </c>
      <c r="H238" s="9" t="str">
        <f>IF(OR(C238="",F238=""),"",IF(AND(ISNUMBER(D238),ISNUMBER(E238)),IF(D238&gt;E238,Inicio!$E$6,IF(D238=E238,Inicio!$F$6,Inicio!$G$6)),""))</f>
        <v/>
      </c>
      <c r="I238" s="9" t="str">
        <f>IF(OR(C238="",F238=""),"",IF(AND(ISNUMBER(D238),ISNUMBER(E238)),IF(D238&lt;E238,Inicio!$E$6,IF(D238=E238,Inicio!$F$6,Inicio!$G$6)),""))</f>
        <v/>
      </c>
      <c r="J238" s="9">
        <f t="shared" si="22"/>
        <v>0</v>
      </c>
      <c r="K238" s="9">
        <f t="shared" si="23"/>
        <v>0</v>
      </c>
      <c r="L238" s="9">
        <f t="shared" si="24"/>
        <v>0</v>
      </c>
      <c r="M238" s="9">
        <f t="shared" si="25"/>
        <v>0</v>
      </c>
      <c r="N238" s="9">
        <f t="shared" si="26"/>
        <v>0</v>
      </c>
      <c r="O238" s="9">
        <f t="shared" si="27"/>
        <v>0</v>
      </c>
    </row>
    <row r="239" spans="1:15" x14ac:dyDescent="0.25">
      <c r="A239" s="9" t="str">
        <f>IF(OR(Calculos!$B$7=0,235&gt;Calculos!$B$7),"",INT((235-1)/Calculos!$B$6)+1)</f>
        <v/>
      </c>
      <c r="B239" s="10" t="str">
        <f>IF(A239="","",Inicio!$E$5+(A239-1)*Inicio!$B$6)</f>
        <v/>
      </c>
      <c r="C239" s="11" t="str">
        <f>IF(A239="","",INDEX(Calculos!$B$11:$B$28,IF(A239&gt;Calculos!$B$4,IF(MOD(IF(A239&lt;=Calculos!$B$4,A239,A239-Calculos!$B$4)+MOD(235-1,Calculos!$B$6)+1,2)=0,INDEX(Calculos!$B$36:$S$52,IF(A239&lt;=Calculos!$B$4,A239,A239-Calculos!$B$4),MOD(235-1,Calculos!$B$6)+1),INDEX(Calculos!$B$36:$S$52,IF(A239&lt;=Calculos!$B$4,A239,A239-Calculos!$B$4),Calculos!$B$2+1-MOD(235-1,Calculos!$B$6)+1)),IF(MOD(IF(A239&lt;=Calculos!$B$4,A239,A239-Calculos!$B$4)+MOD(235-1,Calculos!$B$6)+1,2)=0,INDEX(Calculos!$B$36:$S$52,IF(A239&lt;=Calculos!$B$4,A239,A239-Calculos!$B$4),Calculos!$B$2+1-MOD(235-1,Calculos!$B$6)+1),INDEX(Calculos!$B$36:$S$52,IF(A239&lt;=Calculos!$B$4,A239,A239-Calculos!$B$4),MOD(235-1,Calculos!$B$6)+1)))))</f>
        <v/>
      </c>
      <c r="D239" s="4"/>
      <c r="E239" s="4"/>
      <c r="F239" s="11" t="str">
        <f>IF(A239="","",INDEX(Calculos!$B$11:$B$28,IF(A239&gt;Calculos!$B$4,IF(MOD(IF(A239&lt;=Calculos!$B$4,A239,A239-Calculos!$B$4)+MOD(235-1,Calculos!$B$6)+1,2)=0,INDEX(Calculos!$B$36:$S$52,IF(A239&lt;=Calculos!$B$4,A239,A239-Calculos!$B$4),Calculos!$B$2+1-MOD(235-1,Calculos!$B$6)+1),INDEX(Calculos!$B$36:$S$52,IF(A239&lt;=Calculos!$B$4,A239,A239-Calculos!$B$4),MOD(235-1,Calculos!$B$6)+1)),IF(MOD(IF(A239&lt;=Calculos!$B$4,A239,A239-Calculos!$B$4)+MOD(235-1,Calculos!$B$6)+1,2)=0,INDEX(Calculos!$B$36:$S$52,IF(A239&lt;=Calculos!$B$4,A239,A239-Calculos!$B$4),MOD(235-1,Calculos!$B$6)+1),INDEX(Calculos!$B$36:$S$52,IF(A239&lt;=Calculos!$B$4,A239,A239-Calculos!$B$4),Calculos!$B$2+1-MOD(235-1,Calculos!$B$6)+1)))))</f>
        <v/>
      </c>
      <c r="G239" s="9" t="str">
        <f t="shared" si="21"/>
        <v/>
      </c>
      <c r="H239" s="9" t="str">
        <f>IF(OR(C239="",F239=""),"",IF(AND(ISNUMBER(D239),ISNUMBER(E239)),IF(D239&gt;E239,Inicio!$E$6,IF(D239=E239,Inicio!$F$6,Inicio!$G$6)),""))</f>
        <v/>
      </c>
      <c r="I239" s="9" t="str">
        <f>IF(OR(C239="",F239=""),"",IF(AND(ISNUMBER(D239),ISNUMBER(E239)),IF(D239&lt;E239,Inicio!$E$6,IF(D239=E239,Inicio!$F$6,Inicio!$G$6)),""))</f>
        <v/>
      </c>
      <c r="J239" s="9">
        <f t="shared" si="22"/>
        <v>0</v>
      </c>
      <c r="K239" s="9">
        <f t="shared" si="23"/>
        <v>0</v>
      </c>
      <c r="L239" s="9">
        <f t="shared" si="24"/>
        <v>0</v>
      </c>
      <c r="M239" s="9">
        <f t="shared" si="25"/>
        <v>0</v>
      </c>
      <c r="N239" s="9">
        <f t="shared" si="26"/>
        <v>0</v>
      </c>
      <c r="O239" s="9">
        <f t="shared" si="27"/>
        <v>0</v>
      </c>
    </row>
    <row r="240" spans="1:15" x14ac:dyDescent="0.25">
      <c r="A240" s="9" t="str">
        <f>IF(OR(Calculos!$B$7=0,236&gt;Calculos!$B$7),"",INT((236-1)/Calculos!$B$6)+1)</f>
        <v/>
      </c>
      <c r="B240" s="10" t="str">
        <f>IF(A240="","",Inicio!$E$5+(A240-1)*Inicio!$B$6)</f>
        <v/>
      </c>
      <c r="C240" s="11" t="str">
        <f>IF(A240="","",INDEX(Calculos!$B$11:$B$28,IF(A240&gt;Calculos!$B$4,IF(MOD(IF(A240&lt;=Calculos!$B$4,A240,A240-Calculos!$B$4)+MOD(236-1,Calculos!$B$6)+1,2)=0,INDEX(Calculos!$B$36:$S$52,IF(A240&lt;=Calculos!$B$4,A240,A240-Calculos!$B$4),MOD(236-1,Calculos!$B$6)+1),INDEX(Calculos!$B$36:$S$52,IF(A240&lt;=Calculos!$B$4,A240,A240-Calculos!$B$4),Calculos!$B$2+1-MOD(236-1,Calculos!$B$6)+1)),IF(MOD(IF(A240&lt;=Calculos!$B$4,A240,A240-Calculos!$B$4)+MOD(236-1,Calculos!$B$6)+1,2)=0,INDEX(Calculos!$B$36:$S$52,IF(A240&lt;=Calculos!$B$4,A240,A240-Calculos!$B$4),Calculos!$B$2+1-MOD(236-1,Calculos!$B$6)+1),INDEX(Calculos!$B$36:$S$52,IF(A240&lt;=Calculos!$B$4,A240,A240-Calculos!$B$4),MOD(236-1,Calculos!$B$6)+1)))))</f>
        <v/>
      </c>
      <c r="D240" s="4"/>
      <c r="E240" s="4"/>
      <c r="F240" s="11" t="str">
        <f>IF(A240="","",INDEX(Calculos!$B$11:$B$28,IF(A240&gt;Calculos!$B$4,IF(MOD(IF(A240&lt;=Calculos!$B$4,A240,A240-Calculos!$B$4)+MOD(236-1,Calculos!$B$6)+1,2)=0,INDEX(Calculos!$B$36:$S$52,IF(A240&lt;=Calculos!$B$4,A240,A240-Calculos!$B$4),Calculos!$B$2+1-MOD(236-1,Calculos!$B$6)+1),INDEX(Calculos!$B$36:$S$52,IF(A240&lt;=Calculos!$B$4,A240,A240-Calculos!$B$4),MOD(236-1,Calculos!$B$6)+1)),IF(MOD(IF(A240&lt;=Calculos!$B$4,A240,A240-Calculos!$B$4)+MOD(236-1,Calculos!$B$6)+1,2)=0,INDEX(Calculos!$B$36:$S$52,IF(A240&lt;=Calculos!$B$4,A240,A240-Calculos!$B$4),MOD(236-1,Calculos!$B$6)+1),INDEX(Calculos!$B$36:$S$52,IF(A240&lt;=Calculos!$B$4,A240,A240-Calculos!$B$4),Calculos!$B$2+1-MOD(236-1,Calculos!$B$6)+1)))))</f>
        <v/>
      </c>
      <c r="G240" s="9" t="str">
        <f t="shared" si="21"/>
        <v/>
      </c>
      <c r="H240" s="9" t="str">
        <f>IF(OR(C240="",F240=""),"",IF(AND(ISNUMBER(D240),ISNUMBER(E240)),IF(D240&gt;E240,Inicio!$E$6,IF(D240=E240,Inicio!$F$6,Inicio!$G$6)),""))</f>
        <v/>
      </c>
      <c r="I240" s="9" t="str">
        <f>IF(OR(C240="",F240=""),"",IF(AND(ISNUMBER(D240),ISNUMBER(E240)),IF(D240&lt;E240,Inicio!$E$6,IF(D240=E240,Inicio!$F$6,Inicio!$G$6)),""))</f>
        <v/>
      </c>
      <c r="J240" s="9">
        <f t="shared" si="22"/>
        <v>0</v>
      </c>
      <c r="K240" s="9">
        <f t="shared" si="23"/>
        <v>0</v>
      </c>
      <c r="L240" s="9">
        <f t="shared" si="24"/>
        <v>0</v>
      </c>
      <c r="M240" s="9">
        <f t="shared" si="25"/>
        <v>0</v>
      </c>
      <c r="N240" s="9">
        <f t="shared" si="26"/>
        <v>0</v>
      </c>
      <c r="O240" s="9">
        <f t="shared" si="27"/>
        <v>0</v>
      </c>
    </row>
    <row r="241" spans="1:15" x14ac:dyDescent="0.25">
      <c r="A241" s="9" t="str">
        <f>IF(OR(Calculos!$B$7=0,237&gt;Calculos!$B$7),"",INT((237-1)/Calculos!$B$6)+1)</f>
        <v/>
      </c>
      <c r="B241" s="10" t="str">
        <f>IF(A241="","",Inicio!$E$5+(A241-1)*Inicio!$B$6)</f>
        <v/>
      </c>
      <c r="C241" s="11" t="str">
        <f>IF(A241="","",INDEX(Calculos!$B$11:$B$28,IF(A241&gt;Calculos!$B$4,IF(MOD(IF(A241&lt;=Calculos!$B$4,A241,A241-Calculos!$B$4)+MOD(237-1,Calculos!$B$6)+1,2)=0,INDEX(Calculos!$B$36:$S$52,IF(A241&lt;=Calculos!$B$4,A241,A241-Calculos!$B$4),MOD(237-1,Calculos!$B$6)+1),INDEX(Calculos!$B$36:$S$52,IF(A241&lt;=Calculos!$B$4,A241,A241-Calculos!$B$4),Calculos!$B$2+1-MOD(237-1,Calculos!$B$6)+1)),IF(MOD(IF(A241&lt;=Calculos!$B$4,A241,A241-Calculos!$B$4)+MOD(237-1,Calculos!$B$6)+1,2)=0,INDEX(Calculos!$B$36:$S$52,IF(A241&lt;=Calculos!$B$4,A241,A241-Calculos!$B$4),Calculos!$B$2+1-MOD(237-1,Calculos!$B$6)+1),INDEX(Calculos!$B$36:$S$52,IF(A241&lt;=Calculos!$B$4,A241,A241-Calculos!$B$4),MOD(237-1,Calculos!$B$6)+1)))))</f>
        <v/>
      </c>
      <c r="D241" s="4"/>
      <c r="E241" s="4"/>
      <c r="F241" s="11" t="str">
        <f>IF(A241="","",INDEX(Calculos!$B$11:$B$28,IF(A241&gt;Calculos!$B$4,IF(MOD(IF(A241&lt;=Calculos!$B$4,A241,A241-Calculos!$B$4)+MOD(237-1,Calculos!$B$6)+1,2)=0,INDEX(Calculos!$B$36:$S$52,IF(A241&lt;=Calculos!$B$4,A241,A241-Calculos!$B$4),Calculos!$B$2+1-MOD(237-1,Calculos!$B$6)+1),INDEX(Calculos!$B$36:$S$52,IF(A241&lt;=Calculos!$B$4,A241,A241-Calculos!$B$4),MOD(237-1,Calculos!$B$6)+1)),IF(MOD(IF(A241&lt;=Calculos!$B$4,A241,A241-Calculos!$B$4)+MOD(237-1,Calculos!$B$6)+1,2)=0,INDEX(Calculos!$B$36:$S$52,IF(A241&lt;=Calculos!$B$4,A241,A241-Calculos!$B$4),MOD(237-1,Calculos!$B$6)+1),INDEX(Calculos!$B$36:$S$52,IF(A241&lt;=Calculos!$B$4,A241,A241-Calculos!$B$4),Calculos!$B$2+1-MOD(237-1,Calculos!$B$6)+1)))))</f>
        <v/>
      </c>
      <c r="G241" s="9" t="str">
        <f t="shared" si="21"/>
        <v/>
      </c>
      <c r="H241" s="9" t="str">
        <f>IF(OR(C241="",F241=""),"",IF(AND(ISNUMBER(D241),ISNUMBER(E241)),IF(D241&gt;E241,Inicio!$E$6,IF(D241=E241,Inicio!$F$6,Inicio!$G$6)),""))</f>
        <v/>
      </c>
      <c r="I241" s="9" t="str">
        <f>IF(OR(C241="",F241=""),"",IF(AND(ISNUMBER(D241),ISNUMBER(E241)),IF(D241&lt;E241,Inicio!$E$6,IF(D241=E241,Inicio!$F$6,Inicio!$G$6)),""))</f>
        <v/>
      </c>
      <c r="J241" s="9">
        <f t="shared" si="22"/>
        <v>0</v>
      </c>
      <c r="K241" s="9">
        <f t="shared" si="23"/>
        <v>0</v>
      </c>
      <c r="L241" s="9">
        <f t="shared" si="24"/>
        <v>0</v>
      </c>
      <c r="M241" s="9">
        <f t="shared" si="25"/>
        <v>0</v>
      </c>
      <c r="N241" s="9">
        <f t="shared" si="26"/>
        <v>0</v>
      </c>
      <c r="O241" s="9">
        <f t="shared" si="27"/>
        <v>0</v>
      </c>
    </row>
    <row r="242" spans="1:15" x14ac:dyDescent="0.25">
      <c r="A242" s="9" t="str">
        <f>IF(OR(Calculos!$B$7=0,238&gt;Calculos!$B$7),"",INT((238-1)/Calculos!$B$6)+1)</f>
        <v/>
      </c>
      <c r="B242" s="10" t="str">
        <f>IF(A242="","",Inicio!$E$5+(A242-1)*Inicio!$B$6)</f>
        <v/>
      </c>
      <c r="C242" s="11" t="str">
        <f>IF(A242="","",INDEX(Calculos!$B$11:$B$28,IF(A242&gt;Calculos!$B$4,IF(MOD(IF(A242&lt;=Calculos!$B$4,A242,A242-Calculos!$B$4)+MOD(238-1,Calculos!$B$6)+1,2)=0,INDEX(Calculos!$B$36:$S$52,IF(A242&lt;=Calculos!$B$4,A242,A242-Calculos!$B$4),MOD(238-1,Calculos!$B$6)+1),INDEX(Calculos!$B$36:$S$52,IF(A242&lt;=Calculos!$B$4,A242,A242-Calculos!$B$4),Calculos!$B$2+1-MOD(238-1,Calculos!$B$6)+1)),IF(MOD(IF(A242&lt;=Calculos!$B$4,A242,A242-Calculos!$B$4)+MOD(238-1,Calculos!$B$6)+1,2)=0,INDEX(Calculos!$B$36:$S$52,IF(A242&lt;=Calculos!$B$4,A242,A242-Calculos!$B$4),Calculos!$B$2+1-MOD(238-1,Calculos!$B$6)+1),INDEX(Calculos!$B$36:$S$52,IF(A242&lt;=Calculos!$B$4,A242,A242-Calculos!$B$4),MOD(238-1,Calculos!$B$6)+1)))))</f>
        <v/>
      </c>
      <c r="D242" s="4"/>
      <c r="E242" s="4"/>
      <c r="F242" s="11" t="str">
        <f>IF(A242="","",INDEX(Calculos!$B$11:$B$28,IF(A242&gt;Calculos!$B$4,IF(MOD(IF(A242&lt;=Calculos!$B$4,A242,A242-Calculos!$B$4)+MOD(238-1,Calculos!$B$6)+1,2)=0,INDEX(Calculos!$B$36:$S$52,IF(A242&lt;=Calculos!$B$4,A242,A242-Calculos!$B$4),Calculos!$B$2+1-MOD(238-1,Calculos!$B$6)+1),INDEX(Calculos!$B$36:$S$52,IF(A242&lt;=Calculos!$B$4,A242,A242-Calculos!$B$4),MOD(238-1,Calculos!$B$6)+1)),IF(MOD(IF(A242&lt;=Calculos!$B$4,A242,A242-Calculos!$B$4)+MOD(238-1,Calculos!$B$6)+1,2)=0,INDEX(Calculos!$B$36:$S$52,IF(A242&lt;=Calculos!$B$4,A242,A242-Calculos!$B$4),MOD(238-1,Calculos!$B$6)+1),INDEX(Calculos!$B$36:$S$52,IF(A242&lt;=Calculos!$B$4,A242,A242-Calculos!$B$4),Calculos!$B$2+1-MOD(238-1,Calculos!$B$6)+1)))))</f>
        <v/>
      </c>
      <c r="G242" s="9" t="str">
        <f t="shared" si="21"/>
        <v/>
      </c>
      <c r="H242" s="9" t="str">
        <f>IF(OR(C242="",F242=""),"",IF(AND(ISNUMBER(D242),ISNUMBER(E242)),IF(D242&gt;E242,Inicio!$E$6,IF(D242=E242,Inicio!$F$6,Inicio!$G$6)),""))</f>
        <v/>
      </c>
      <c r="I242" s="9" t="str">
        <f>IF(OR(C242="",F242=""),"",IF(AND(ISNUMBER(D242),ISNUMBER(E242)),IF(D242&lt;E242,Inicio!$E$6,IF(D242=E242,Inicio!$F$6,Inicio!$G$6)),""))</f>
        <v/>
      </c>
      <c r="J242" s="9">
        <f t="shared" si="22"/>
        <v>0</v>
      </c>
      <c r="K242" s="9">
        <f t="shared" si="23"/>
        <v>0</v>
      </c>
      <c r="L242" s="9">
        <f t="shared" si="24"/>
        <v>0</v>
      </c>
      <c r="M242" s="9">
        <f t="shared" si="25"/>
        <v>0</v>
      </c>
      <c r="N242" s="9">
        <f t="shared" si="26"/>
        <v>0</v>
      </c>
      <c r="O242" s="9">
        <f t="shared" si="27"/>
        <v>0</v>
      </c>
    </row>
    <row r="243" spans="1:15" x14ac:dyDescent="0.25">
      <c r="A243" s="9" t="str">
        <f>IF(OR(Calculos!$B$7=0,239&gt;Calculos!$B$7),"",INT((239-1)/Calculos!$B$6)+1)</f>
        <v/>
      </c>
      <c r="B243" s="10" t="str">
        <f>IF(A243="","",Inicio!$E$5+(A243-1)*Inicio!$B$6)</f>
        <v/>
      </c>
      <c r="C243" s="11" t="str">
        <f>IF(A243="","",INDEX(Calculos!$B$11:$B$28,IF(A243&gt;Calculos!$B$4,IF(MOD(IF(A243&lt;=Calculos!$B$4,A243,A243-Calculos!$B$4)+MOD(239-1,Calculos!$B$6)+1,2)=0,INDEX(Calculos!$B$36:$S$52,IF(A243&lt;=Calculos!$B$4,A243,A243-Calculos!$B$4),MOD(239-1,Calculos!$B$6)+1),INDEX(Calculos!$B$36:$S$52,IF(A243&lt;=Calculos!$B$4,A243,A243-Calculos!$B$4),Calculos!$B$2+1-MOD(239-1,Calculos!$B$6)+1)),IF(MOD(IF(A243&lt;=Calculos!$B$4,A243,A243-Calculos!$B$4)+MOD(239-1,Calculos!$B$6)+1,2)=0,INDEX(Calculos!$B$36:$S$52,IF(A243&lt;=Calculos!$B$4,A243,A243-Calculos!$B$4),Calculos!$B$2+1-MOD(239-1,Calculos!$B$6)+1),INDEX(Calculos!$B$36:$S$52,IF(A243&lt;=Calculos!$B$4,A243,A243-Calculos!$B$4),MOD(239-1,Calculos!$B$6)+1)))))</f>
        <v/>
      </c>
      <c r="D243" s="4"/>
      <c r="E243" s="4"/>
      <c r="F243" s="11" t="str">
        <f>IF(A243="","",INDEX(Calculos!$B$11:$B$28,IF(A243&gt;Calculos!$B$4,IF(MOD(IF(A243&lt;=Calculos!$B$4,A243,A243-Calculos!$B$4)+MOD(239-1,Calculos!$B$6)+1,2)=0,INDEX(Calculos!$B$36:$S$52,IF(A243&lt;=Calculos!$B$4,A243,A243-Calculos!$B$4),Calculos!$B$2+1-MOD(239-1,Calculos!$B$6)+1),INDEX(Calculos!$B$36:$S$52,IF(A243&lt;=Calculos!$B$4,A243,A243-Calculos!$B$4),MOD(239-1,Calculos!$B$6)+1)),IF(MOD(IF(A243&lt;=Calculos!$B$4,A243,A243-Calculos!$B$4)+MOD(239-1,Calculos!$B$6)+1,2)=0,INDEX(Calculos!$B$36:$S$52,IF(A243&lt;=Calculos!$B$4,A243,A243-Calculos!$B$4),MOD(239-1,Calculos!$B$6)+1),INDEX(Calculos!$B$36:$S$52,IF(A243&lt;=Calculos!$B$4,A243,A243-Calculos!$B$4),Calculos!$B$2+1-MOD(239-1,Calculos!$B$6)+1)))))</f>
        <v/>
      </c>
      <c r="G243" s="9" t="str">
        <f t="shared" si="21"/>
        <v/>
      </c>
      <c r="H243" s="9" t="str">
        <f>IF(OR(C243="",F243=""),"",IF(AND(ISNUMBER(D243),ISNUMBER(E243)),IF(D243&gt;E243,Inicio!$E$6,IF(D243=E243,Inicio!$F$6,Inicio!$G$6)),""))</f>
        <v/>
      </c>
      <c r="I243" s="9" t="str">
        <f>IF(OR(C243="",F243=""),"",IF(AND(ISNUMBER(D243),ISNUMBER(E243)),IF(D243&lt;E243,Inicio!$E$6,IF(D243=E243,Inicio!$F$6,Inicio!$G$6)),""))</f>
        <v/>
      </c>
      <c r="J243" s="9">
        <f t="shared" si="22"/>
        <v>0</v>
      </c>
      <c r="K243" s="9">
        <f t="shared" si="23"/>
        <v>0</v>
      </c>
      <c r="L243" s="9">
        <f t="shared" si="24"/>
        <v>0</v>
      </c>
      <c r="M243" s="9">
        <f t="shared" si="25"/>
        <v>0</v>
      </c>
      <c r="N243" s="9">
        <f t="shared" si="26"/>
        <v>0</v>
      </c>
      <c r="O243" s="9">
        <f t="shared" si="27"/>
        <v>0</v>
      </c>
    </row>
    <row r="244" spans="1:15" x14ac:dyDescent="0.25">
      <c r="A244" s="9" t="str">
        <f>IF(OR(Calculos!$B$7=0,240&gt;Calculos!$B$7),"",INT((240-1)/Calculos!$B$6)+1)</f>
        <v/>
      </c>
      <c r="B244" s="10" t="str">
        <f>IF(A244="","",Inicio!$E$5+(A244-1)*Inicio!$B$6)</f>
        <v/>
      </c>
      <c r="C244" s="11" t="str">
        <f>IF(A244="","",INDEX(Calculos!$B$11:$B$28,IF(A244&gt;Calculos!$B$4,IF(MOD(IF(A244&lt;=Calculos!$B$4,A244,A244-Calculos!$B$4)+MOD(240-1,Calculos!$B$6)+1,2)=0,INDEX(Calculos!$B$36:$S$52,IF(A244&lt;=Calculos!$B$4,A244,A244-Calculos!$B$4),MOD(240-1,Calculos!$B$6)+1),INDEX(Calculos!$B$36:$S$52,IF(A244&lt;=Calculos!$B$4,A244,A244-Calculos!$B$4),Calculos!$B$2+1-MOD(240-1,Calculos!$B$6)+1)),IF(MOD(IF(A244&lt;=Calculos!$B$4,A244,A244-Calculos!$B$4)+MOD(240-1,Calculos!$B$6)+1,2)=0,INDEX(Calculos!$B$36:$S$52,IF(A244&lt;=Calculos!$B$4,A244,A244-Calculos!$B$4),Calculos!$B$2+1-MOD(240-1,Calculos!$B$6)+1),INDEX(Calculos!$B$36:$S$52,IF(A244&lt;=Calculos!$B$4,A244,A244-Calculos!$B$4),MOD(240-1,Calculos!$B$6)+1)))))</f>
        <v/>
      </c>
      <c r="D244" s="4"/>
      <c r="E244" s="4"/>
      <c r="F244" s="11" t="str">
        <f>IF(A244="","",INDEX(Calculos!$B$11:$B$28,IF(A244&gt;Calculos!$B$4,IF(MOD(IF(A244&lt;=Calculos!$B$4,A244,A244-Calculos!$B$4)+MOD(240-1,Calculos!$B$6)+1,2)=0,INDEX(Calculos!$B$36:$S$52,IF(A244&lt;=Calculos!$B$4,A244,A244-Calculos!$B$4),Calculos!$B$2+1-MOD(240-1,Calculos!$B$6)+1),INDEX(Calculos!$B$36:$S$52,IF(A244&lt;=Calculos!$B$4,A244,A244-Calculos!$B$4),MOD(240-1,Calculos!$B$6)+1)),IF(MOD(IF(A244&lt;=Calculos!$B$4,A244,A244-Calculos!$B$4)+MOD(240-1,Calculos!$B$6)+1,2)=0,INDEX(Calculos!$B$36:$S$52,IF(A244&lt;=Calculos!$B$4,A244,A244-Calculos!$B$4),MOD(240-1,Calculos!$B$6)+1),INDEX(Calculos!$B$36:$S$52,IF(A244&lt;=Calculos!$B$4,A244,A244-Calculos!$B$4),Calculos!$B$2+1-MOD(240-1,Calculos!$B$6)+1)))))</f>
        <v/>
      </c>
      <c r="G244" s="9" t="str">
        <f t="shared" si="21"/>
        <v/>
      </c>
      <c r="H244" s="9" t="str">
        <f>IF(OR(C244="",F244=""),"",IF(AND(ISNUMBER(D244),ISNUMBER(E244)),IF(D244&gt;E244,Inicio!$E$6,IF(D244=E244,Inicio!$F$6,Inicio!$G$6)),""))</f>
        <v/>
      </c>
      <c r="I244" s="9" t="str">
        <f>IF(OR(C244="",F244=""),"",IF(AND(ISNUMBER(D244),ISNUMBER(E244)),IF(D244&lt;E244,Inicio!$E$6,IF(D244=E244,Inicio!$F$6,Inicio!$G$6)),""))</f>
        <v/>
      </c>
      <c r="J244" s="9">
        <f t="shared" si="22"/>
        <v>0</v>
      </c>
      <c r="K244" s="9">
        <f t="shared" si="23"/>
        <v>0</v>
      </c>
      <c r="L244" s="9">
        <f t="shared" si="24"/>
        <v>0</v>
      </c>
      <c r="M244" s="9">
        <f t="shared" si="25"/>
        <v>0</v>
      </c>
      <c r="N244" s="9">
        <f t="shared" si="26"/>
        <v>0</v>
      </c>
      <c r="O244" s="9">
        <f t="shared" si="27"/>
        <v>0</v>
      </c>
    </row>
    <row r="245" spans="1:15" x14ac:dyDescent="0.25">
      <c r="A245" s="9" t="str">
        <f>IF(OR(Calculos!$B$7=0,241&gt;Calculos!$B$7),"",INT((241-1)/Calculos!$B$6)+1)</f>
        <v/>
      </c>
      <c r="B245" s="10" t="str">
        <f>IF(A245="","",Inicio!$E$5+(A245-1)*Inicio!$B$6)</f>
        <v/>
      </c>
      <c r="C245" s="11" t="str">
        <f>IF(A245="","",INDEX(Calculos!$B$11:$B$28,IF(A245&gt;Calculos!$B$4,IF(MOD(IF(A245&lt;=Calculos!$B$4,A245,A245-Calculos!$B$4)+MOD(241-1,Calculos!$B$6)+1,2)=0,INDEX(Calculos!$B$36:$S$52,IF(A245&lt;=Calculos!$B$4,A245,A245-Calculos!$B$4),MOD(241-1,Calculos!$B$6)+1),INDEX(Calculos!$B$36:$S$52,IF(A245&lt;=Calculos!$B$4,A245,A245-Calculos!$B$4),Calculos!$B$2+1-MOD(241-1,Calculos!$B$6)+1)),IF(MOD(IF(A245&lt;=Calculos!$B$4,A245,A245-Calculos!$B$4)+MOD(241-1,Calculos!$B$6)+1,2)=0,INDEX(Calculos!$B$36:$S$52,IF(A245&lt;=Calculos!$B$4,A245,A245-Calculos!$B$4),Calculos!$B$2+1-MOD(241-1,Calculos!$B$6)+1),INDEX(Calculos!$B$36:$S$52,IF(A245&lt;=Calculos!$B$4,A245,A245-Calculos!$B$4),MOD(241-1,Calculos!$B$6)+1)))))</f>
        <v/>
      </c>
      <c r="D245" s="4"/>
      <c r="E245" s="4"/>
      <c r="F245" s="11" t="str">
        <f>IF(A245="","",INDEX(Calculos!$B$11:$B$28,IF(A245&gt;Calculos!$B$4,IF(MOD(IF(A245&lt;=Calculos!$B$4,A245,A245-Calculos!$B$4)+MOD(241-1,Calculos!$B$6)+1,2)=0,INDEX(Calculos!$B$36:$S$52,IF(A245&lt;=Calculos!$B$4,A245,A245-Calculos!$B$4),Calculos!$B$2+1-MOD(241-1,Calculos!$B$6)+1),INDEX(Calculos!$B$36:$S$52,IF(A245&lt;=Calculos!$B$4,A245,A245-Calculos!$B$4),MOD(241-1,Calculos!$B$6)+1)),IF(MOD(IF(A245&lt;=Calculos!$B$4,A245,A245-Calculos!$B$4)+MOD(241-1,Calculos!$B$6)+1,2)=0,INDEX(Calculos!$B$36:$S$52,IF(A245&lt;=Calculos!$B$4,A245,A245-Calculos!$B$4),MOD(241-1,Calculos!$B$6)+1),INDEX(Calculos!$B$36:$S$52,IF(A245&lt;=Calculos!$B$4,A245,A245-Calculos!$B$4),Calculos!$B$2+1-MOD(241-1,Calculos!$B$6)+1)))))</f>
        <v/>
      </c>
      <c r="G245" s="9" t="str">
        <f t="shared" si="21"/>
        <v/>
      </c>
      <c r="H245" s="9" t="str">
        <f>IF(OR(C245="",F245=""),"",IF(AND(ISNUMBER(D245),ISNUMBER(E245)),IF(D245&gt;E245,Inicio!$E$6,IF(D245=E245,Inicio!$F$6,Inicio!$G$6)),""))</f>
        <v/>
      </c>
      <c r="I245" s="9" t="str">
        <f>IF(OR(C245="",F245=""),"",IF(AND(ISNUMBER(D245),ISNUMBER(E245)),IF(D245&lt;E245,Inicio!$E$6,IF(D245=E245,Inicio!$F$6,Inicio!$G$6)),""))</f>
        <v/>
      </c>
      <c r="J245" s="9">
        <f t="shared" si="22"/>
        <v>0</v>
      </c>
      <c r="K245" s="9">
        <f t="shared" si="23"/>
        <v>0</v>
      </c>
      <c r="L245" s="9">
        <f t="shared" si="24"/>
        <v>0</v>
      </c>
      <c r="M245" s="9">
        <f t="shared" si="25"/>
        <v>0</v>
      </c>
      <c r="N245" s="9">
        <f t="shared" si="26"/>
        <v>0</v>
      </c>
      <c r="O245" s="9">
        <f t="shared" si="27"/>
        <v>0</v>
      </c>
    </row>
    <row r="246" spans="1:15" x14ac:dyDescent="0.25">
      <c r="A246" s="9" t="str">
        <f>IF(OR(Calculos!$B$7=0,242&gt;Calculos!$B$7),"",INT((242-1)/Calculos!$B$6)+1)</f>
        <v/>
      </c>
      <c r="B246" s="10" t="str">
        <f>IF(A246="","",Inicio!$E$5+(A246-1)*Inicio!$B$6)</f>
        <v/>
      </c>
      <c r="C246" s="11" t="str">
        <f>IF(A246="","",INDEX(Calculos!$B$11:$B$28,IF(A246&gt;Calculos!$B$4,IF(MOD(IF(A246&lt;=Calculos!$B$4,A246,A246-Calculos!$B$4)+MOD(242-1,Calculos!$B$6)+1,2)=0,INDEX(Calculos!$B$36:$S$52,IF(A246&lt;=Calculos!$B$4,A246,A246-Calculos!$B$4),MOD(242-1,Calculos!$B$6)+1),INDEX(Calculos!$B$36:$S$52,IF(A246&lt;=Calculos!$B$4,A246,A246-Calculos!$B$4),Calculos!$B$2+1-MOD(242-1,Calculos!$B$6)+1)),IF(MOD(IF(A246&lt;=Calculos!$B$4,A246,A246-Calculos!$B$4)+MOD(242-1,Calculos!$B$6)+1,2)=0,INDEX(Calculos!$B$36:$S$52,IF(A246&lt;=Calculos!$B$4,A246,A246-Calculos!$B$4),Calculos!$B$2+1-MOD(242-1,Calculos!$B$6)+1),INDEX(Calculos!$B$36:$S$52,IF(A246&lt;=Calculos!$B$4,A246,A246-Calculos!$B$4),MOD(242-1,Calculos!$B$6)+1)))))</f>
        <v/>
      </c>
      <c r="D246" s="4"/>
      <c r="E246" s="4"/>
      <c r="F246" s="11" t="str">
        <f>IF(A246="","",INDEX(Calculos!$B$11:$B$28,IF(A246&gt;Calculos!$B$4,IF(MOD(IF(A246&lt;=Calculos!$B$4,A246,A246-Calculos!$B$4)+MOD(242-1,Calculos!$B$6)+1,2)=0,INDEX(Calculos!$B$36:$S$52,IF(A246&lt;=Calculos!$B$4,A246,A246-Calculos!$B$4),Calculos!$B$2+1-MOD(242-1,Calculos!$B$6)+1),INDEX(Calculos!$B$36:$S$52,IF(A246&lt;=Calculos!$B$4,A246,A246-Calculos!$B$4),MOD(242-1,Calculos!$B$6)+1)),IF(MOD(IF(A246&lt;=Calculos!$B$4,A246,A246-Calculos!$B$4)+MOD(242-1,Calculos!$B$6)+1,2)=0,INDEX(Calculos!$B$36:$S$52,IF(A246&lt;=Calculos!$B$4,A246,A246-Calculos!$B$4),MOD(242-1,Calculos!$B$6)+1),INDEX(Calculos!$B$36:$S$52,IF(A246&lt;=Calculos!$B$4,A246,A246-Calculos!$B$4),Calculos!$B$2+1-MOD(242-1,Calculos!$B$6)+1)))))</f>
        <v/>
      </c>
      <c r="G246" s="9" t="str">
        <f t="shared" si="21"/>
        <v/>
      </c>
      <c r="H246" s="9" t="str">
        <f>IF(OR(C246="",F246=""),"",IF(AND(ISNUMBER(D246),ISNUMBER(E246)),IF(D246&gt;E246,Inicio!$E$6,IF(D246=E246,Inicio!$F$6,Inicio!$G$6)),""))</f>
        <v/>
      </c>
      <c r="I246" s="9" t="str">
        <f>IF(OR(C246="",F246=""),"",IF(AND(ISNUMBER(D246),ISNUMBER(E246)),IF(D246&lt;E246,Inicio!$E$6,IF(D246=E246,Inicio!$F$6,Inicio!$G$6)),""))</f>
        <v/>
      </c>
      <c r="J246" s="9">
        <f t="shared" si="22"/>
        <v>0</v>
      </c>
      <c r="K246" s="9">
        <f t="shared" si="23"/>
        <v>0</v>
      </c>
      <c r="L246" s="9">
        <f t="shared" si="24"/>
        <v>0</v>
      </c>
      <c r="M246" s="9">
        <f t="shared" si="25"/>
        <v>0</v>
      </c>
      <c r="N246" s="9">
        <f t="shared" si="26"/>
        <v>0</v>
      </c>
      <c r="O246" s="9">
        <f t="shared" si="27"/>
        <v>0</v>
      </c>
    </row>
    <row r="247" spans="1:15" x14ac:dyDescent="0.25">
      <c r="A247" s="9" t="str">
        <f>IF(OR(Calculos!$B$7=0,243&gt;Calculos!$B$7),"",INT((243-1)/Calculos!$B$6)+1)</f>
        <v/>
      </c>
      <c r="B247" s="10" t="str">
        <f>IF(A247="","",Inicio!$E$5+(A247-1)*Inicio!$B$6)</f>
        <v/>
      </c>
      <c r="C247" s="11" t="str">
        <f>IF(A247="","",INDEX(Calculos!$B$11:$B$28,IF(A247&gt;Calculos!$B$4,IF(MOD(IF(A247&lt;=Calculos!$B$4,A247,A247-Calculos!$B$4)+MOD(243-1,Calculos!$B$6)+1,2)=0,INDEX(Calculos!$B$36:$S$52,IF(A247&lt;=Calculos!$B$4,A247,A247-Calculos!$B$4),MOD(243-1,Calculos!$B$6)+1),INDEX(Calculos!$B$36:$S$52,IF(A247&lt;=Calculos!$B$4,A247,A247-Calculos!$B$4),Calculos!$B$2+1-MOD(243-1,Calculos!$B$6)+1)),IF(MOD(IF(A247&lt;=Calculos!$B$4,A247,A247-Calculos!$B$4)+MOD(243-1,Calculos!$B$6)+1,2)=0,INDEX(Calculos!$B$36:$S$52,IF(A247&lt;=Calculos!$B$4,A247,A247-Calculos!$B$4),Calculos!$B$2+1-MOD(243-1,Calculos!$B$6)+1),INDEX(Calculos!$B$36:$S$52,IF(A247&lt;=Calculos!$B$4,A247,A247-Calculos!$B$4),MOD(243-1,Calculos!$B$6)+1)))))</f>
        <v/>
      </c>
      <c r="D247" s="4"/>
      <c r="E247" s="4"/>
      <c r="F247" s="11" t="str">
        <f>IF(A247="","",INDEX(Calculos!$B$11:$B$28,IF(A247&gt;Calculos!$B$4,IF(MOD(IF(A247&lt;=Calculos!$B$4,A247,A247-Calculos!$B$4)+MOD(243-1,Calculos!$B$6)+1,2)=0,INDEX(Calculos!$B$36:$S$52,IF(A247&lt;=Calculos!$B$4,A247,A247-Calculos!$B$4),Calculos!$B$2+1-MOD(243-1,Calculos!$B$6)+1),INDEX(Calculos!$B$36:$S$52,IF(A247&lt;=Calculos!$B$4,A247,A247-Calculos!$B$4),MOD(243-1,Calculos!$B$6)+1)),IF(MOD(IF(A247&lt;=Calculos!$B$4,A247,A247-Calculos!$B$4)+MOD(243-1,Calculos!$B$6)+1,2)=0,INDEX(Calculos!$B$36:$S$52,IF(A247&lt;=Calculos!$B$4,A247,A247-Calculos!$B$4),MOD(243-1,Calculos!$B$6)+1),INDEX(Calculos!$B$36:$S$52,IF(A247&lt;=Calculos!$B$4,A247,A247-Calculos!$B$4),Calculos!$B$2+1-MOD(243-1,Calculos!$B$6)+1)))))</f>
        <v/>
      </c>
      <c r="G247" s="9" t="str">
        <f t="shared" si="21"/>
        <v/>
      </c>
      <c r="H247" s="9" t="str">
        <f>IF(OR(C247="",F247=""),"",IF(AND(ISNUMBER(D247),ISNUMBER(E247)),IF(D247&gt;E247,Inicio!$E$6,IF(D247=E247,Inicio!$F$6,Inicio!$G$6)),""))</f>
        <v/>
      </c>
      <c r="I247" s="9" t="str">
        <f>IF(OR(C247="",F247=""),"",IF(AND(ISNUMBER(D247),ISNUMBER(E247)),IF(D247&lt;E247,Inicio!$E$6,IF(D247=E247,Inicio!$F$6,Inicio!$G$6)),""))</f>
        <v/>
      </c>
      <c r="J247" s="9">
        <f t="shared" si="22"/>
        <v>0</v>
      </c>
      <c r="K247" s="9">
        <f t="shared" si="23"/>
        <v>0</v>
      </c>
      <c r="L247" s="9">
        <f t="shared" si="24"/>
        <v>0</v>
      </c>
      <c r="M247" s="9">
        <f t="shared" si="25"/>
        <v>0</v>
      </c>
      <c r="N247" s="9">
        <f t="shared" si="26"/>
        <v>0</v>
      </c>
      <c r="O247" s="9">
        <f t="shared" si="27"/>
        <v>0</v>
      </c>
    </row>
    <row r="248" spans="1:15" x14ac:dyDescent="0.25">
      <c r="A248" s="9" t="str">
        <f>IF(OR(Calculos!$B$7=0,244&gt;Calculos!$B$7),"",INT((244-1)/Calculos!$B$6)+1)</f>
        <v/>
      </c>
      <c r="B248" s="10" t="str">
        <f>IF(A248="","",Inicio!$E$5+(A248-1)*Inicio!$B$6)</f>
        <v/>
      </c>
      <c r="C248" s="11" t="str">
        <f>IF(A248="","",INDEX(Calculos!$B$11:$B$28,IF(A248&gt;Calculos!$B$4,IF(MOD(IF(A248&lt;=Calculos!$B$4,A248,A248-Calculos!$B$4)+MOD(244-1,Calculos!$B$6)+1,2)=0,INDEX(Calculos!$B$36:$S$52,IF(A248&lt;=Calculos!$B$4,A248,A248-Calculos!$B$4),MOD(244-1,Calculos!$B$6)+1),INDEX(Calculos!$B$36:$S$52,IF(A248&lt;=Calculos!$B$4,A248,A248-Calculos!$B$4),Calculos!$B$2+1-MOD(244-1,Calculos!$B$6)+1)),IF(MOD(IF(A248&lt;=Calculos!$B$4,A248,A248-Calculos!$B$4)+MOD(244-1,Calculos!$B$6)+1,2)=0,INDEX(Calculos!$B$36:$S$52,IF(A248&lt;=Calculos!$B$4,A248,A248-Calculos!$B$4),Calculos!$B$2+1-MOD(244-1,Calculos!$B$6)+1),INDEX(Calculos!$B$36:$S$52,IF(A248&lt;=Calculos!$B$4,A248,A248-Calculos!$B$4),MOD(244-1,Calculos!$B$6)+1)))))</f>
        <v/>
      </c>
      <c r="D248" s="4"/>
      <c r="E248" s="4"/>
      <c r="F248" s="11" t="str">
        <f>IF(A248="","",INDEX(Calculos!$B$11:$B$28,IF(A248&gt;Calculos!$B$4,IF(MOD(IF(A248&lt;=Calculos!$B$4,A248,A248-Calculos!$B$4)+MOD(244-1,Calculos!$B$6)+1,2)=0,INDEX(Calculos!$B$36:$S$52,IF(A248&lt;=Calculos!$B$4,A248,A248-Calculos!$B$4),Calculos!$B$2+1-MOD(244-1,Calculos!$B$6)+1),INDEX(Calculos!$B$36:$S$52,IF(A248&lt;=Calculos!$B$4,A248,A248-Calculos!$B$4),MOD(244-1,Calculos!$B$6)+1)),IF(MOD(IF(A248&lt;=Calculos!$B$4,A248,A248-Calculos!$B$4)+MOD(244-1,Calculos!$B$6)+1,2)=0,INDEX(Calculos!$B$36:$S$52,IF(A248&lt;=Calculos!$B$4,A248,A248-Calculos!$B$4),MOD(244-1,Calculos!$B$6)+1),INDEX(Calculos!$B$36:$S$52,IF(A248&lt;=Calculos!$B$4,A248,A248-Calculos!$B$4),Calculos!$B$2+1-MOD(244-1,Calculos!$B$6)+1)))))</f>
        <v/>
      </c>
      <c r="G248" s="9" t="str">
        <f t="shared" si="21"/>
        <v/>
      </c>
      <c r="H248" s="9" t="str">
        <f>IF(OR(C248="",F248=""),"",IF(AND(ISNUMBER(D248),ISNUMBER(E248)),IF(D248&gt;E248,Inicio!$E$6,IF(D248=E248,Inicio!$F$6,Inicio!$G$6)),""))</f>
        <v/>
      </c>
      <c r="I248" s="9" t="str">
        <f>IF(OR(C248="",F248=""),"",IF(AND(ISNUMBER(D248),ISNUMBER(E248)),IF(D248&lt;E248,Inicio!$E$6,IF(D248=E248,Inicio!$F$6,Inicio!$G$6)),""))</f>
        <v/>
      </c>
      <c r="J248" s="9">
        <f t="shared" si="22"/>
        <v>0</v>
      </c>
      <c r="K248" s="9">
        <f t="shared" si="23"/>
        <v>0</v>
      </c>
      <c r="L248" s="9">
        <f t="shared" si="24"/>
        <v>0</v>
      </c>
      <c r="M248" s="9">
        <f t="shared" si="25"/>
        <v>0</v>
      </c>
      <c r="N248" s="9">
        <f t="shared" si="26"/>
        <v>0</v>
      </c>
      <c r="O248" s="9">
        <f t="shared" si="27"/>
        <v>0</v>
      </c>
    </row>
    <row r="249" spans="1:15" x14ac:dyDescent="0.25">
      <c r="A249" s="9" t="str">
        <f>IF(OR(Calculos!$B$7=0,245&gt;Calculos!$B$7),"",INT((245-1)/Calculos!$B$6)+1)</f>
        <v/>
      </c>
      <c r="B249" s="10" t="str">
        <f>IF(A249="","",Inicio!$E$5+(A249-1)*Inicio!$B$6)</f>
        <v/>
      </c>
      <c r="C249" s="11" t="str">
        <f>IF(A249="","",INDEX(Calculos!$B$11:$B$28,IF(A249&gt;Calculos!$B$4,IF(MOD(IF(A249&lt;=Calculos!$B$4,A249,A249-Calculos!$B$4)+MOD(245-1,Calculos!$B$6)+1,2)=0,INDEX(Calculos!$B$36:$S$52,IF(A249&lt;=Calculos!$B$4,A249,A249-Calculos!$B$4),MOD(245-1,Calculos!$B$6)+1),INDEX(Calculos!$B$36:$S$52,IF(A249&lt;=Calculos!$B$4,A249,A249-Calculos!$B$4),Calculos!$B$2+1-MOD(245-1,Calculos!$B$6)+1)),IF(MOD(IF(A249&lt;=Calculos!$B$4,A249,A249-Calculos!$B$4)+MOD(245-1,Calculos!$B$6)+1,2)=0,INDEX(Calculos!$B$36:$S$52,IF(A249&lt;=Calculos!$B$4,A249,A249-Calculos!$B$4),Calculos!$B$2+1-MOD(245-1,Calculos!$B$6)+1),INDEX(Calculos!$B$36:$S$52,IF(A249&lt;=Calculos!$B$4,A249,A249-Calculos!$B$4),MOD(245-1,Calculos!$B$6)+1)))))</f>
        <v/>
      </c>
      <c r="D249" s="4"/>
      <c r="E249" s="4"/>
      <c r="F249" s="11" t="str">
        <f>IF(A249="","",INDEX(Calculos!$B$11:$B$28,IF(A249&gt;Calculos!$B$4,IF(MOD(IF(A249&lt;=Calculos!$B$4,A249,A249-Calculos!$B$4)+MOD(245-1,Calculos!$B$6)+1,2)=0,INDEX(Calculos!$B$36:$S$52,IF(A249&lt;=Calculos!$B$4,A249,A249-Calculos!$B$4),Calculos!$B$2+1-MOD(245-1,Calculos!$B$6)+1),INDEX(Calculos!$B$36:$S$52,IF(A249&lt;=Calculos!$B$4,A249,A249-Calculos!$B$4),MOD(245-1,Calculos!$B$6)+1)),IF(MOD(IF(A249&lt;=Calculos!$B$4,A249,A249-Calculos!$B$4)+MOD(245-1,Calculos!$B$6)+1,2)=0,INDEX(Calculos!$B$36:$S$52,IF(A249&lt;=Calculos!$B$4,A249,A249-Calculos!$B$4),MOD(245-1,Calculos!$B$6)+1),INDEX(Calculos!$B$36:$S$52,IF(A249&lt;=Calculos!$B$4,A249,A249-Calculos!$B$4),Calculos!$B$2+1-MOD(245-1,Calculos!$B$6)+1)))))</f>
        <v/>
      </c>
      <c r="G249" s="9" t="str">
        <f t="shared" si="21"/>
        <v/>
      </c>
      <c r="H249" s="9" t="str">
        <f>IF(OR(C249="",F249=""),"",IF(AND(ISNUMBER(D249),ISNUMBER(E249)),IF(D249&gt;E249,Inicio!$E$6,IF(D249=E249,Inicio!$F$6,Inicio!$G$6)),""))</f>
        <v/>
      </c>
      <c r="I249" s="9" t="str">
        <f>IF(OR(C249="",F249=""),"",IF(AND(ISNUMBER(D249),ISNUMBER(E249)),IF(D249&lt;E249,Inicio!$E$6,IF(D249=E249,Inicio!$F$6,Inicio!$G$6)),""))</f>
        <v/>
      </c>
      <c r="J249" s="9">
        <f t="shared" si="22"/>
        <v>0</v>
      </c>
      <c r="K249" s="9">
        <f t="shared" si="23"/>
        <v>0</v>
      </c>
      <c r="L249" s="9">
        <f t="shared" si="24"/>
        <v>0</v>
      </c>
      <c r="M249" s="9">
        <f t="shared" si="25"/>
        <v>0</v>
      </c>
      <c r="N249" s="9">
        <f t="shared" si="26"/>
        <v>0</v>
      </c>
      <c r="O249" s="9">
        <f t="shared" si="27"/>
        <v>0</v>
      </c>
    </row>
    <row r="250" spans="1:15" x14ac:dyDescent="0.25">
      <c r="A250" s="9" t="str">
        <f>IF(OR(Calculos!$B$7=0,246&gt;Calculos!$B$7),"",INT((246-1)/Calculos!$B$6)+1)</f>
        <v/>
      </c>
      <c r="B250" s="10" t="str">
        <f>IF(A250="","",Inicio!$E$5+(A250-1)*Inicio!$B$6)</f>
        <v/>
      </c>
      <c r="C250" s="11" t="str">
        <f>IF(A250="","",INDEX(Calculos!$B$11:$B$28,IF(A250&gt;Calculos!$B$4,IF(MOD(IF(A250&lt;=Calculos!$B$4,A250,A250-Calculos!$B$4)+MOD(246-1,Calculos!$B$6)+1,2)=0,INDEX(Calculos!$B$36:$S$52,IF(A250&lt;=Calculos!$B$4,A250,A250-Calculos!$B$4),MOD(246-1,Calculos!$B$6)+1),INDEX(Calculos!$B$36:$S$52,IF(A250&lt;=Calculos!$B$4,A250,A250-Calculos!$B$4),Calculos!$B$2+1-MOD(246-1,Calculos!$B$6)+1)),IF(MOD(IF(A250&lt;=Calculos!$B$4,A250,A250-Calculos!$B$4)+MOD(246-1,Calculos!$B$6)+1,2)=0,INDEX(Calculos!$B$36:$S$52,IF(A250&lt;=Calculos!$B$4,A250,A250-Calculos!$B$4),Calculos!$B$2+1-MOD(246-1,Calculos!$B$6)+1),INDEX(Calculos!$B$36:$S$52,IF(A250&lt;=Calculos!$B$4,A250,A250-Calculos!$B$4),MOD(246-1,Calculos!$B$6)+1)))))</f>
        <v/>
      </c>
      <c r="D250" s="4"/>
      <c r="E250" s="4"/>
      <c r="F250" s="11" t="str">
        <f>IF(A250="","",INDEX(Calculos!$B$11:$B$28,IF(A250&gt;Calculos!$B$4,IF(MOD(IF(A250&lt;=Calculos!$B$4,A250,A250-Calculos!$B$4)+MOD(246-1,Calculos!$B$6)+1,2)=0,INDEX(Calculos!$B$36:$S$52,IF(A250&lt;=Calculos!$B$4,A250,A250-Calculos!$B$4),Calculos!$B$2+1-MOD(246-1,Calculos!$B$6)+1),INDEX(Calculos!$B$36:$S$52,IF(A250&lt;=Calculos!$B$4,A250,A250-Calculos!$B$4),MOD(246-1,Calculos!$B$6)+1)),IF(MOD(IF(A250&lt;=Calculos!$B$4,A250,A250-Calculos!$B$4)+MOD(246-1,Calculos!$B$6)+1,2)=0,INDEX(Calculos!$B$36:$S$52,IF(A250&lt;=Calculos!$B$4,A250,A250-Calculos!$B$4),MOD(246-1,Calculos!$B$6)+1),INDEX(Calculos!$B$36:$S$52,IF(A250&lt;=Calculos!$B$4,A250,A250-Calculos!$B$4),Calculos!$B$2+1-MOD(246-1,Calculos!$B$6)+1)))))</f>
        <v/>
      </c>
      <c r="G250" s="9" t="str">
        <f t="shared" si="21"/>
        <v/>
      </c>
      <c r="H250" s="9" t="str">
        <f>IF(OR(C250="",F250=""),"",IF(AND(ISNUMBER(D250),ISNUMBER(E250)),IF(D250&gt;E250,Inicio!$E$6,IF(D250=E250,Inicio!$F$6,Inicio!$G$6)),""))</f>
        <v/>
      </c>
      <c r="I250" s="9" t="str">
        <f>IF(OR(C250="",F250=""),"",IF(AND(ISNUMBER(D250),ISNUMBER(E250)),IF(D250&lt;E250,Inicio!$E$6,IF(D250=E250,Inicio!$F$6,Inicio!$G$6)),""))</f>
        <v/>
      </c>
      <c r="J250" s="9">
        <f t="shared" si="22"/>
        <v>0</v>
      </c>
      <c r="K250" s="9">
        <f t="shared" si="23"/>
        <v>0</v>
      </c>
      <c r="L250" s="9">
        <f t="shared" si="24"/>
        <v>0</v>
      </c>
      <c r="M250" s="9">
        <f t="shared" si="25"/>
        <v>0</v>
      </c>
      <c r="N250" s="9">
        <f t="shared" si="26"/>
        <v>0</v>
      </c>
      <c r="O250" s="9">
        <f t="shared" si="27"/>
        <v>0</v>
      </c>
    </row>
    <row r="251" spans="1:15" x14ac:dyDescent="0.25">
      <c r="A251" s="9" t="str">
        <f>IF(OR(Calculos!$B$7=0,247&gt;Calculos!$B$7),"",INT((247-1)/Calculos!$B$6)+1)</f>
        <v/>
      </c>
      <c r="B251" s="10" t="str">
        <f>IF(A251="","",Inicio!$E$5+(A251-1)*Inicio!$B$6)</f>
        <v/>
      </c>
      <c r="C251" s="11" t="str">
        <f>IF(A251="","",INDEX(Calculos!$B$11:$B$28,IF(A251&gt;Calculos!$B$4,IF(MOD(IF(A251&lt;=Calculos!$B$4,A251,A251-Calculos!$B$4)+MOD(247-1,Calculos!$B$6)+1,2)=0,INDEX(Calculos!$B$36:$S$52,IF(A251&lt;=Calculos!$B$4,A251,A251-Calculos!$B$4),MOD(247-1,Calculos!$B$6)+1),INDEX(Calculos!$B$36:$S$52,IF(A251&lt;=Calculos!$B$4,A251,A251-Calculos!$B$4),Calculos!$B$2+1-MOD(247-1,Calculos!$B$6)+1)),IF(MOD(IF(A251&lt;=Calculos!$B$4,A251,A251-Calculos!$B$4)+MOD(247-1,Calculos!$B$6)+1,2)=0,INDEX(Calculos!$B$36:$S$52,IF(A251&lt;=Calculos!$B$4,A251,A251-Calculos!$B$4),Calculos!$B$2+1-MOD(247-1,Calculos!$B$6)+1),INDEX(Calculos!$B$36:$S$52,IF(A251&lt;=Calculos!$B$4,A251,A251-Calculos!$B$4),MOD(247-1,Calculos!$B$6)+1)))))</f>
        <v/>
      </c>
      <c r="D251" s="4"/>
      <c r="E251" s="4"/>
      <c r="F251" s="11" t="str">
        <f>IF(A251="","",INDEX(Calculos!$B$11:$B$28,IF(A251&gt;Calculos!$B$4,IF(MOD(IF(A251&lt;=Calculos!$B$4,A251,A251-Calculos!$B$4)+MOD(247-1,Calculos!$B$6)+1,2)=0,INDEX(Calculos!$B$36:$S$52,IF(A251&lt;=Calculos!$B$4,A251,A251-Calculos!$B$4),Calculos!$B$2+1-MOD(247-1,Calculos!$B$6)+1),INDEX(Calculos!$B$36:$S$52,IF(A251&lt;=Calculos!$B$4,A251,A251-Calculos!$B$4),MOD(247-1,Calculos!$B$6)+1)),IF(MOD(IF(A251&lt;=Calculos!$B$4,A251,A251-Calculos!$B$4)+MOD(247-1,Calculos!$B$6)+1,2)=0,INDEX(Calculos!$B$36:$S$52,IF(A251&lt;=Calculos!$B$4,A251,A251-Calculos!$B$4),MOD(247-1,Calculos!$B$6)+1),INDEX(Calculos!$B$36:$S$52,IF(A251&lt;=Calculos!$B$4,A251,A251-Calculos!$B$4),Calculos!$B$2+1-MOD(247-1,Calculos!$B$6)+1)))))</f>
        <v/>
      </c>
      <c r="G251" s="9" t="str">
        <f t="shared" si="21"/>
        <v/>
      </c>
      <c r="H251" s="9" t="str">
        <f>IF(OR(C251="",F251=""),"",IF(AND(ISNUMBER(D251),ISNUMBER(E251)),IF(D251&gt;E251,Inicio!$E$6,IF(D251=E251,Inicio!$F$6,Inicio!$G$6)),""))</f>
        <v/>
      </c>
      <c r="I251" s="9" t="str">
        <f>IF(OR(C251="",F251=""),"",IF(AND(ISNUMBER(D251),ISNUMBER(E251)),IF(D251&lt;E251,Inicio!$E$6,IF(D251=E251,Inicio!$F$6,Inicio!$G$6)),""))</f>
        <v/>
      </c>
      <c r="J251" s="9">
        <f t="shared" si="22"/>
        <v>0</v>
      </c>
      <c r="K251" s="9">
        <f t="shared" si="23"/>
        <v>0</v>
      </c>
      <c r="L251" s="9">
        <f t="shared" si="24"/>
        <v>0</v>
      </c>
      <c r="M251" s="9">
        <f t="shared" si="25"/>
        <v>0</v>
      </c>
      <c r="N251" s="9">
        <f t="shared" si="26"/>
        <v>0</v>
      </c>
      <c r="O251" s="9">
        <f t="shared" si="27"/>
        <v>0</v>
      </c>
    </row>
    <row r="252" spans="1:15" x14ac:dyDescent="0.25">
      <c r="A252" s="9" t="str">
        <f>IF(OR(Calculos!$B$7=0,248&gt;Calculos!$B$7),"",INT((248-1)/Calculos!$B$6)+1)</f>
        <v/>
      </c>
      <c r="B252" s="10" t="str">
        <f>IF(A252="","",Inicio!$E$5+(A252-1)*Inicio!$B$6)</f>
        <v/>
      </c>
      <c r="C252" s="11" t="str">
        <f>IF(A252="","",INDEX(Calculos!$B$11:$B$28,IF(A252&gt;Calculos!$B$4,IF(MOD(IF(A252&lt;=Calculos!$B$4,A252,A252-Calculos!$B$4)+MOD(248-1,Calculos!$B$6)+1,2)=0,INDEX(Calculos!$B$36:$S$52,IF(A252&lt;=Calculos!$B$4,A252,A252-Calculos!$B$4),MOD(248-1,Calculos!$B$6)+1),INDEX(Calculos!$B$36:$S$52,IF(A252&lt;=Calculos!$B$4,A252,A252-Calculos!$B$4),Calculos!$B$2+1-MOD(248-1,Calculos!$B$6)+1)),IF(MOD(IF(A252&lt;=Calculos!$B$4,A252,A252-Calculos!$B$4)+MOD(248-1,Calculos!$B$6)+1,2)=0,INDEX(Calculos!$B$36:$S$52,IF(A252&lt;=Calculos!$B$4,A252,A252-Calculos!$B$4),Calculos!$B$2+1-MOD(248-1,Calculos!$B$6)+1),INDEX(Calculos!$B$36:$S$52,IF(A252&lt;=Calculos!$B$4,A252,A252-Calculos!$B$4),MOD(248-1,Calculos!$B$6)+1)))))</f>
        <v/>
      </c>
      <c r="D252" s="4"/>
      <c r="E252" s="4"/>
      <c r="F252" s="11" t="str">
        <f>IF(A252="","",INDEX(Calculos!$B$11:$B$28,IF(A252&gt;Calculos!$B$4,IF(MOD(IF(A252&lt;=Calculos!$B$4,A252,A252-Calculos!$B$4)+MOD(248-1,Calculos!$B$6)+1,2)=0,INDEX(Calculos!$B$36:$S$52,IF(A252&lt;=Calculos!$B$4,A252,A252-Calculos!$B$4),Calculos!$B$2+1-MOD(248-1,Calculos!$B$6)+1),INDEX(Calculos!$B$36:$S$52,IF(A252&lt;=Calculos!$B$4,A252,A252-Calculos!$B$4),MOD(248-1,Calculos!$B$6)+1)),IF(MOD(IF(A252&lt;=Calculos!$B$4,A252,A252-Calculos!$B$4)+MOD(248-1,Calculos!$B$6)+1,2)=0,INDEX(Calculos!$B$36:$S$52,IF(A252&lt;=Calculos!$B$4,A252,A252-Calculos!$B$4),MOD(248-1,Calculos!$B$6)+1),INDEX(Calculos!$B$36:$S$52,IF(A252&lt;=Calculos!$B$4,A252,A252-Calculos!$B$4),Calculos!$B$2+1-MOD(248-1,Calculos!$B$6)+1)))))</f>
        <v/>
      </c>
      <c r="G252" s="9" t="str">
        <f t="shared" si="21"/>
        <v/>
      </c>
      <c r="H252" s="9" t="str">
        <f>IF(OR(C252="",F252=""),"",IF(AND(ISNUMBER(D252),ISNUMBER(E252)),IF(D252&gt;E252,Inicio!$E$6,IF(D252=E252,Inicio!$F$6,Inicio!$G$6)),""))</f>
        <v/>
      </c>
      <c r="I252" s="9" t="str">
        <f>IF(OR(C252="",F252=""),"",IF(AND(ISNUMBER(D252),ISNUMBER(E252)),IF(D252&lt;E252,Inicio!$E$6,IF(D252=E252,Inicio!$F$6,Inicio!$G$6)),""))</f>
        <v/>
      </c>
      <c r="J252" s="9">
        <f t="shared" si="22"/>
        <v>0</v>
      </c>
      <c r="K252" s="9">
        <f t="shared" si="23"/>
        <v>0</v>
      </c>
      <c r="L252" s="9">
        <f t="shared" si="24"/>
        <v>0</v>
      </c>
      <c r="M252" s="9">
        <f t="shared" si="25"/>
        <v>0</v>
      </c>
      <c r="N252" s="9">
        <f t="shared" si="26"/>
        <v>0</v>
      </c>
      <c r="O252" s="9">
        <f t="shared" si="27"/>
        <v>0</v>
      </c>
    </row>
    <row r="253" spans="1:15" x14ac:dyDescent="0.25">
      <c r="A253" s="9" t="str">
        <f>IF(OR(Calculos!$B$7=0,249&gt;Calculos!$B$7),"",INT((249-1)/Calculos!$B$6)+1)</f>
        <v/>
      </c>
      <c r="B253" s="10" t="str">
        <f>IF(A253="","",Inicio!$E$5+(A253-1)*Inicio!$B$6)</f>
        <v/>
      </c>
      <c r="C253" s="11" t="str">
        <f>IF(A253="","",INDEX(Calculos!$B$11:$B$28,IF(A253&gt;Calculos!$B$4,IF(MOD(IF(A253&lt;=Calculos!$B$4,A253,A253-Calculos!$B$4)+MOD(249-1,Calculos!$B$6)+1,2)=0,INDEX(Calculos!$B$36:$S$52,IF(A253&lt;=Calculos!$B$4,A253,A253-Calculos!$B$4),MOD(249-1,Calculos!$B$6)+1),INDEX(Calculos!$B$36:$S$52,IF(A253&lt;=Calculos!$B$4,A253,A253-Calculos!$B$4),Calculos!$B$2+1-MOD(249-1,Calculos!$B$6)+1)),IF(MOD(IF(A253&lt;=Calculos!$B$4,A253,A253-Calculos!$B$4)+MOD(249-1,Calculos!$B$6)+1,2)=0,INDEX(Calculos!$B$36:$S$52,IF(A253&lt;=Calculos!$B$4,A253,A253-Calculos!$B$4),Calculos!$B$2+1-MOD(249-1,Calculos!$B$6)+1),INDEX(Calculos!$B$36:$S$52,IF(A253&lt;=Calculos!$B$4,A253,A253-Calculos!$B$4),MOD(249-1,Calculos!$B$6)+1)))))</f>
        <v/>
      </c>
      <c r="D253" s="4"/>
      <c r="E253" s="4"/>
      <c r="F253" s="11" t="str">
        <f>IF(A253="","",INDEX(Calculos!$B$11:$B$28,IF(A253&gt;Calculos!$B$4,IF(MOD(IF(A253&lt;=Calculos!$B$4,A253,A253-Calculos!$B$4)+MOD(249-1,Calculos!$B$6)+1,2)=0,INDEX(Calculos!$B$36:$S$52,IF(A253&lt;=Calculos!$B$4,A253,A253-Calculos!$B$4),Calculos!$B$2+1-MOD(249-1,Calculos!$B$6)+1),INDEX(Calculos!$B$36:$S$52,IF(A253&lt;=Calculos!$B$4,A253,A253-Calculos!$B$4),MOD(249-1,Calculos!$B$6)+1)),IF(MOD(IF(A253&lt;=Calculos!$B$4,A253,A253-Calculos!$B$4)+MOD(249-1,Calculos!$B$6)+1,2)=0,INDEX(Calculos!$B$36:$S$52,IF(A253&lt;=Calculos!$B$4,A253,A253-Calculos!$B$4),MOD(249-1,Calculos!$B$6)+1),INDEX(Calculos!$B$36:$S$52,IF(A253&lt;=Calculos!$B$4,A253,A253-Calculos!$B$4),Calculos!$B$2+1-MOD(249-1,Calculos!$B$6)+1)))))</f>
        <v/>
      </c>
      <c r="G253" s="9" t="str">
        <f t="shared" si="21"/>
        <v/>
      </c>
      <c r="H253" s="9" t="str">
        <f>IF(OR(C253="",F253=""),"",IF(AND(ISNUMBER(D253),ISNUMBER(E253)),IF(D253&gt;E253,Inicio!$E$6,IF(D253=E253,Inicio!$F$6,Inicio!$G$6)),""))</f>
        <v/>
      </c>
      <c r="I253" s="9" t="str">
        <f>IF(OR(C253="",F253=""),"",IF(AND(ISNUMBER(D253),ISNUMBER(E253)),IF(D253&lt;E253,Inicio!$E$6,IF(D253=E253,Inicio!$F$6,Inicio!$G$6)),""))</f>
        <v/>
      </c>
      <c r="J253" s="9">
        <f t="shared" si="22"/>
        <v>0</v>
      </c>
      <c r="K253" s="9">
        <f t="shared" si="23"/>
        <v>0</v>
      </c>
      <c r="L253" s="9">
        <f t="shared" si="24"/>
        <v>0</v>
      </c>
      <c r="M253" s="9">
        <f t="shared" si="25"/>
        <v>0</v>
      </c>
      <c r="N253" s="9">
        <f t="shared" si="26"/>
        <v>0</v>
      </c>
      <c r="O253" s="9">
        <f t="shared" si="27"/>
        <v>0</v>
      </c>
    </row>
    <row r="254" spans="1:15" x14ac:dyDescent="0.25">
      <c r="A254" s="9" t="str">
        <f>IF(OR(Calculos!$B$7=0,250&gt;Calculos!$B$7),"",INT((250-1)/Calculos!$B$6)+1)</f>
        <v/>
      </c>
      <c r="B254" s="10" t="str">
        <f>IF(A254="","",Inicio!$E$5+(A254-1)*Inicio!$B$6)</f>
        <v/>
      </c>
      <c r="C254" s="11" t="str">
        <f>IF(A254="","",INDEX(Calculos!$B$11:$B$28,IF(A254&gt;Calculos!$B$4,IF(MOD(IF(A254&lt;=Calculos!$B$4,A254,A254-Calculos!$B$4)+MOD(250-1,Calculos!$B$6)+1,2)=0,INDEX(Calculos!$B$36:$S$52,IF(A254&lt;=Calculos!$B$4,A254,A254-Calculos!$B$4),MOD(250-1,Calculos!$B$6)+1),INDEX(Calculos!$B$36:$S$52,IF(A254&lt;=Calculos!$B$4,A254,A254-Calculos!$B$4),Calculos!$B$2+1-MOD(250-1,Calculos!$B$6)+1)),IF(MOD(IF(A254&lt;=Calculos!$B$4,A254,A254-Calculos!$B$4)+MOD(250-1,Calculos!$B$6)+1,2)=0,INDEX(Calculos!$B$36:$S$52,IF(A254&lt;=Calculos!$B$4,A254,A254-Calculos!$B$4),Calculos!$B$2+1-MOD(250-1,Calculos!$B$6)+1),INDEX(Calculos!$B$36:$S$52,IF(A254&lt;=Calculos!$B$4,A254,A254-Calculos!$B$4),MOD(250-1,Calculos!$B$6)+1)))))</f>
        <v/>
      </c>
      <c r="D254" s="4"/>
      <c r="E254" s="4"/>
      <c r="F254" s="11" t="str">
        <f>IF(A254="","",INDEX(Calculos!$B$11:$B$28,IF(A254&gt;Calculos!$B$4,IF(MOD(IF(A254&lt;=Calculos!$B$4,A254,A254-Calculos!$B$4)+MOD(250-1,Calculos!$B$6)+1,2)=0,INDEX(Calculos!$B$36:$S$52,IF(A254&lt;=Calculos!$B$4,A254,A254-Calculos!$B$4),Calculos!$B$2+1-MOD(250-1,Calculos!$B$6)+1),INDEX(Calculos!$B$36:$S$52,IF(A254&lt;=Calculos!$B$4,A254,A254-Calculos!$B$4),MOD(250-1,Calculos!$B$6)+1)),IF(MOD(IF(A254&lt;=Calculos!$B$4,A254,A254-Calculos!$B$4)+MOD(250-1,Calculos!$B$6)+1,2)=0,INDEX(Calculos!$B$36:$S$52,IF(A254&lt;=Calculos!$B$4,A254,A254-Calculos!$B$4),MOD(250-1,Calculos!$B$6)+1),INDEX(Calculos!$B$36:$S$52,IF(A254&lt;=Calculos!$B$4,A254,A254-Calculos!$B$4),Calculos!$B$2+1-MOD(250-1,Calculos!$B$6)+1)))))</f>
        <v/>
      </c>
      <c r="G254" s="9" t="str">
        <f t="shared" si="21"/>
        <v/>
      </c>
      <c r="H254" s="9" t="str">
        <f>IF(OR(C254="",F254=""),"",IF(AND(ISNUMBER(D254),ISNUMBER(E254)),IF(D254&gt;E254,Inicio!$E$6,IF(D254=E254,Inicio!$F$6,Inicio!$G$6)),""))</f>
        <v/>
      </c>
      <c r="I254" s="9" t="str">
        <f>IF(OR(C254="",F254=""),"",IF(AND(ISNUMBER(D254),ISNUMBER(E254)),IF(D254&lt;E254,Inicio!$E$6,IF(D254=E254,Inicio!$F$6,Inicio!$G$6)),""))</f>
        <v/>
      </c>
      <c r="J254" s="9">
        <f t="shared" si="22"/>
        <v>0</v>
      </c>
      <c r="K254" s="9">
        <f t="shared" si="23"/>
        <v>0</v>
      </c>
      <c r="L254" s="9">
        <f t="shared" si="24"/>
        <v>0</v>
      </c>
      <c r="M254" s="9">
        <f t="shared" si="25"/>
        <v>0</v>
      </c>
      <c r="N254" s="9">
        <f t="shared" si="26"/>
        <v>0</v>
      </c>
      <c r="O254" s="9">
        <f t="shared" si="27"/>
        <v>0</v>
      </c>
    </row>
    <row r="255" spans="1:15" x14ac:dyDescent="0.25">
      <c r="A255" s="9" t="str">
        <f>IF(OR(Calculos!$B$7=0,251&gt;Calculos!$B$7),"",INT((251-1)/Calculos!$B$6)+1)</f>
        <v/>
      </c>
      <c r="B255" s="10" t="str">
        <f>IF(A255="","",Inicio!$E$5+(A255-1)*Inicio!$B$6)</f>
        <v/>
      </c>
      <c r="C255" s="11" t="str">
        <f>IF(A255="","",INDEX(Calculos!$B$11:$B$28,IF(A255&gt;Calculos!$B$4,IF(MOD(IF(A255&lt;=Calculos!$B$4,A255,A255-Calculos!$B$4)+MOD(251-1,Calculos!$B$6)+1,2)=0,INDEX(Calculos!$B$36:$S$52,IF(A255&lt;=Calculos!$B$4,A255,A255-Calculos!$B$4),MOD(251-1,Calculos!$B$6)+1),INDEX(Calculos!$B$36:$S$52,IF(A255&lt;=Calculos!$B$4,A255,A255-Calculos!$B$4),Calculos!$B$2+1-MOD(251-1,Calculos!$B$6)+1)),IF(MOD(IF(A255&lt;=Calculos!$B$4,A255,A255-Calculos!$B$4)+MOD(251-1,Calculos!$B$6)+1,2)=0,INDEX(Calculos!$B$36:$S$52,IF(A255&lt;=Calculos!$B$4,A255,A255-Calculos!$B$4),Calculos!$B$2+1-MOD(251-1,Calculos!$B$6)+1),INDEX(Calculos!$B$36:$S$52,IF(A255&lt;=Calculos!$B$4,A255,A255-Calculos!$B$4),MOD(251-1,Calculos!$B$6)+1)))))</f>
        <v/>
      </c>
      <c r="D255" s="4"/>
      <c r="E255" s="4"/>
      <c r="F255" s="11" t="str">
        <f>IF(A255="","",INDEX(Calculos!$B$11:$B$28,IF(A255&gt;Calculos!$B$4,IF(MOD(IF(A255&lt;=Calculos!$B$4,A255,A255-Calculos!$B$4)+MOD(251-1,Calculos!$B$6)+1,2)=0,INDEX(Calculos!$B$36:$S$52,IF(A255&lt;=Calculos!$B$4,A255,A255-Calculos!$B$4),Calculos!$B$2+1-MOD(251-1,Calculos!$B$6)+1),INDEX(Calculos!$B$36:$S$52,IF(A255&lt;=Calculos!$B$4,A255,A255-Calculos!$B$4),MOD(251-1,Calculos!$B$6)+1)),IF(MOD(IF(A255&lt;=Calculos!$B$4,A255,A255-Calculos!$B$4)+MOD(251-1,Calculos!$B$6)+1,2)=0,INDEX(Calculos!$B$36:$S$52,IF(A255&lt;=Calculos!$B$4,A255,A255-Calculos!$B$4),MOD(251-1,Calculos!$B$6)+1),INDEX(Calculos!$B$36:$S$52,IF(A255&lt;=Calculos!$B$4,A255,A255-Calculos!$B$4),Calculos!$B$2+1-MOD(251-1,Calculos!$B$6)+1)))))</f>
        <v/>
      </c>
      <c r="G255" s="9" t="str">
        <f t="shared" si="21"/>
        <v/>
      </c>
      <c r="H255" s="9" t="str">
        <f>IF(OR(C255="",F255=""),"",IF(AND(ISNUMBER(D255),ISNUMBER(E255)),IF(D255&gt;E255,Inicio!$E$6,IF(D255=E255,Inicio!$F$6,Inicio!$G$6)),""))</f>
        <v/>
      </c>
      <c r="I255" s="9" t="str">
        <f>IF(OR(C255="",F255=""),"",IF(AND(ISNUMBER(D255),ISNUMBER(E255)),IF(D255&lt;E255,Inicio!$E$6,IF(D255=E255,Inicio!$F$6,Inicio!$G$6)),""))</f>
        <v/>
      </c>
      <c r="J255" s="9">
        <f t="shared" si="22"/>
        <v>0</v>
      </c>
      <c r="K255" s="9">
        <f t="shared" si="23"/>
        <v>0</v>
      </c>
      <c r="L255" s="9">
        <f t="shared" si="24"/>
        <v>0</v>
      </c>
      <c r="M255" s="9">
        <f t="shared" si="25"/>
        <v>0</v>
      </c>
      <c r="N255" s="9">
        <f t="shared" si="26"/>
        <v>0</v>
      </c>
      <c r="O255" s="9">
        <f t="shared" si="27"/>
        <v>0</v>
      </c>
    </row>
    <row r="256" spans="1:15" x14ac:dyDescent="0.25">
      <c r="A256" s="9" t="str">
        <f>IF(OR(Calculos!$B$7=0,252&gt;Calculos!$B$7),"",INT((252-1)/Calculos!$B$6)+1)</f>
        <v/>
      </c>
      <c r="B256" s="10" t="str">
        <f>IF(A256="","",Inicio!$E$5+(A256-1)*Inicio!$B$6)</f>
        <v/>
      </c>
      <c r="C256" s="11" t="str">
        <f>IF(A256="","",INDEX(Calculos!$B$11:$B$28,IF(A256&gt;Calculos!$B$4,IF(MOD(IF(A256&lt;=Calculos!$B$4,A256,A256-Calculos!$B$4)+MOD(252-1,Calculos!$B$6)+1,2)=0,INDEX(Calculos!$B$36:$S$52,IF(A256&lt;=Calculos!$B$4,A256,A256-Calculos!$B$4),MOD(252-1,Calculos!$B$6)+1),INDEX(Calculos!$B$36:$S$52,IF(A256&lt;=Calculos!$B$4,A256,A256-Calculos!$B$4),Calculos!$B$2+1-MOD(252-1,Calculos!$B$6)+1)),IF(MOD(IF(A256&lt;=Calculos!$B$4,A256,A256-Calculos!$B$4)+MOD(252-1,Calculos!$B$6)+1,2)=0,INDEX(Calculos!$B$36:$S$52,IF(A256&lt;=Calculos!$B$4,A256,A256-Calculos!$B$4),Calculos!$B$2+1-MOD(252-1,Calculos!$B$6)+1),INDEX(Calculos!$B$36:$S$52,IF(A256&lt;=Calculos!$B$4,A256,A256-Calculos!$B$4),MOD(252-1,Calculos!$B$6)+1)))))</f>
        <v/>
      </c>
      <c r="D256" s="4"/>
      <c r="E256" s="4"/>
      <c r="F256" s="11" t="str">
        <f>IF(A256="","",INDEX(Calculos!$B$11:$B$28,IF(A256&gt;Calculos!$B$4,IF(MOD(IF(A256&lt;=Calculos!$B$4,A256,A256-Calculos!$B$4)+MOD(252-1,Calculos!$B$6)+1,2)=0,INDEX(Calculos!$B$36:$S$52,IF(A256&lt;=Calculos!$B$4,A256,A256-Calculos!$B$4),Calculos!$B$2+1-MOD(252-1,Calculos!$B$6)+1),INDEX(Calculos!$B$36:$S$52,IF(A256&lt;=Calculos!$B$4,A256,A256-Calculos!$B$4),MOD(252-1,Calculos!$B$6)+1)),IF(MOD(IF(A256&lt;=Calculos!$B$4,A256,A256-Calculos!$B$4)+MOD(252-1,Calculos!$B$6)+1,2)=0,INDEX(Calculos!$B$36:$S$52,IF(A256&lt;=Calculos!$B$4,A256,A256-Calculos!$B$4),MOD(252-1,Calculos!$B$6)+1),INDEX(Calculos!$B$36:$S$52,IF(A256&lt;=Calculos!$B$4,A256,A256-Calculos!$B$4),Calculos!$B$2+1-MOD(252-1,Calculos!$B$6)+1)))))</f>
        <v/>
      </c>
      <c r="G256" s="9" t="str">
        <f t="shared" si="21"/>
        <v/>
      </c>
      <c r="H256" s="9" t="str">
        <f>IF(OR(C256="",F256=""),"",IF(AND(ISNUMBER(D256),ISNUMBER(E256)),IF(D256&gt;E256,Inicio!$E$6,IF(D256=E256,Inicio!$F$6,Inicio!$G$6)),""))</f>
        <v/>
      </c>
      <c r="I256" s="9" t="str">
        <f>IF(OR(C256="",F256=""),"",IF(AND(ISNUMBER(D256),ISNUMBER(E256)),IF(D256&lt;E256,Inicio!$E$6,IF(D256=E256,Inicio!$F$6,Inicio!$G$6)),""))</f>
        <v/>
      </c>
      <c r="J256" s="9">
        <f t="shared" si="22"/>
        <v>0</v>
      </c>
      <c r="K256" s="9">
        <f t="shared" si="23"/>
        <v>0</v>
      </c>
      <c r="L256" s="9">
        <f t="shared" si="24"/>
        <v>0</v>
      </c>
      <c r="M256" s="9">
        <f t="shared" si="25"/>
        <v>0</v>
      </c>
      <c r="N256" s="9">
        <f t="shared" si="26"/>
        <v>0</v>
      </c>
      <c r="O256" s="9">
        <f t="shared" si="27"/>
        <v>0</v>
      </c>
    </row>
    <row r="257" spans="1:15" x14ac:dyDescent="0.25">
      <c r="A257" s="9" t="str">
        <f>IF(OR(Calculos!$B$7=0,253&gt;Calculos!$B$7),"",INT((253-1)/Calculos!$B$6)+1)</f>
        <v/>
      </c>
      <c r="B257" s="10" t="str">
        <f>IF(A257="","",Inicio!$E$5+(A257-1)*Inicio!$B$6)</f>
        <v/>
      </c>
      <c r="C257" s="11" t="str">
        <f>IF(A257="","",INDEX(Calculos!$B$11:$B$28,IF(A257&gt;Calculos!$B$4,IF(MOD(IF(A257&lt;=Calculos!$B$4,A257,A257-Calculos!$B$4)+MOD(253-1,Calculos!$B$6)+1,2)=0,INDEX(Calculos!$B$36:$S$52,IF(A257&lt;=Calculos!$B$4,A257,A257-Calculos!$B$4),MOD(253-1,Calculos!$B$6)+1),INDEX(Calculos!$B$36:$S$52,IF(A257&lt;=Calculos!$B$4,A257,A257-Calculos!$B$4),Calculos!$B$2+1-MOD(253-1,Calculos!$B$6)+1)),IF(MOD(IF(A257&lt;=Calculos!$B$4,A257,A257-Calculos!$B$4)+MOD(253-1,Calculos!$B$6)+1,2)=0,INDEX(Calculos!$B$36:$S$52,IF(A257&lt;=Calculos!$B$4,A257,A257-Calculos!$B$4),Calculos!$B$2+1-MOD(253-1,Calculos!$B$6)+1),INDEX(Calculos!$B$36:$S$52,IF(A257&lt;=Calculos!$B$4,A257,A257-Calculos!$B$4),MOD(253-1,Calculos!$B$6)+1)))))</f>
        <v/>
      </c>
      <c r="D257" s="4"/>
      <c r="E257" s="4"/>
      <c r="F257" s="11" t="str">
        <f>IF(A257="","",INDEX(Calculos!$B$11:$B$28,IF(A257&gt;Calculos!$B$4,IF(MOD(IF(A257&lt;=Calculos!$B$4,A257,A257-Calculos!$B$4)+MOD(253-1,Calculos!$B$6)+1,2)=0,INDEX(Calculos!$B$36:$S$52,IF(A257&lt;=Calculos!$B$4,A257,A257-Calculos!$B$4),Calculos!$B$2+1-MOD(253-1,Calculos!$B$6)+1),INDEX(Calculos!$B$36:$S$52,IF(A257&lt;=Calculos!$B$4,A257,A257-Calculos!$B$4),MOD(253-1,Calculos!$B$6)+1)),IF(MOD(IF(A257&lt;=Calculos!$B$4,A257,A257-Calculos!$B$4)+MOD(253-1,Calculos!$B$6)+1,2)=0,INDEX(Calculos!$B$36:$S$52,IF(A257&lt;=Calculos!$B$4,A257,A257-Calculos!$B$4),MOD(253-1,Calculos!$B$6)+1),INDEX(Calculos!$B$36:$S$52,IF(A257&lt;=Calculos!$B$4,A257,A257-Calculos!$B$4),Calculos!$B$2+1-MOD(253-1,Calculos!$B$6)+1)))))</f>
        <v/>
      </c>
      <c r="G257" s="9" t="str">
        <f t="shared" si="21"/>
        <v/>
      </c>
      <c r="H257" s="9" t="str">
        <f>IF(OR(C257="",F257=""),"",IF(AND(ISNUMBER(D257),ISNUMBER(E257)),IF(D257&gt;E257,Inicio!$E$6,IF(D257=E257,Inicio!$F$6,Inicio!$G$6)),""))</f>
        <v/>
      </c>
      <c r="I257" s="9" t="str">
        <f>IF(OR(C257="",F257=""),"",IF(AND(ISNUMBER(D257),ISNUMBER(E257)),IF(D257&lt;E257,Inicio!$E$6,IF(D257=E257,Inicio!$F$6,Inicio!$G$6)),""))</f>
        <v/>
      </c>
      <c r="J257" s="9">
        <f t="shared" si="22"/>
        <v>0</v>
      </c>
      <c r="K257" s="9">
        <f t="shared" si="23"/>
        <v>0</v>
      </c>
      <c r="L257" s="9">
        <f t="shared" si="24"/>
        <v>0</v>
      </c>
      <c r="M257" s="9">
        <f t="shared" si="25"/>
        <v>0</v>
      </c>
      <c r="N257" s="9">
        <f t="shared" si="26"/>
        <v>0</v>
      </c>
      <c r="O257" s="9">
        <f t="shared" si="27"/>
        <v>0</v>
      </c>
    </row>
    <row r="258" spans="1:15" x14ac:dyDescent="0.25">
      <c r="A258" s="9" t="str">
        <f>IF(OR(Calculos!$B$7=0,254&gt;Calculos!$B$7),"",INT((254-1)/Calculos!$B$6)+1)</f>
        <v/>
      </c>
      <c r="B258" s="10" t="str">
        <f>IF(A258="","",Inicio!$E$5+(A258-1)*Inicio!$B$6)</f>
        <v/>
      </c>
      <c r="C258" s="11" t="str">
        <f>IF(A258="","",INDEX(Calculos!$B$11:$B$28,IF(A258&gt;Calculos!$B$4,IF(MOD(IF(A258&lt;=Calculos!$B$4,A258,A258-Calculos!$B$4)+MOD(254-1,Calculos!$B$6)+1,2)=0,INDEX(Calculos!$B$36:$S$52,IF(A258&lt;=Calculos!$B$4,A258,A258-Calculos!$B$4),MOD(254-1,Calculos!$B$6)+1),INDEX(Calculos!$B$36:$S$52,IF(A258&lt;=Calculos!$B$4,A258,A258-Calculos!$B$4),Calculos!$B$2+1-MOD(254-1,Calculos!$B$6)+1)),IF(MOD(IF(A258&lt;=Calculos!$B$4,A258,A258-Calculos!$B$4)+MOD(254-1,Calculos!$B$6)+1,2)=0,INDEX(Calculos!$B$36:$S$52,IF(A258&lt;=Calculos!$B$4,A258,A258-Calculos!$B$4),Calculos!$B$2+1-MOD(254-1,Calculos!$B$6)+1),INDEX(Calculos!$B$36:$S$52,IF(A258&lt;=Calculos!$B$4,A258,A258-Calculos!$B$4),MOD(254-1,Calculos!$B$6)+1)))))</f>
        <v/>
      </c>
      <c r="D258" s="4"/>
      <c r="E258" s="4"/>
      <c r="F258" s="11" t="str">
        <f>IF(A258="","",INDEX(Calculos!$B$11:$B$28,IF(A258&gt;Calculos!$B$4,IF(MOD(IF(A258&lt;=Calculos!$B$4,A258,A258-Calculos!$B$4)+MOD(254-1,Calculos!$B$6)+1,2)=0,INDEX(Calculos!$B$36:$S$52,IF(A258&lt;=Calculos!$B$4,A258,A258-Calculos!$B$4),Calculos!$B$2+1-MOD(254-1,Calculos!$B$6)+1),INDEX(Calculos!$B$36:$S$52,IF(A258&lt;=Calculos!$B$4,A258,A258-Calculos!$B$4),MOD(254-1,Calculos!$B$6)+1)),IF(MOD(IF(A258&lt;=Calculos!$B$4,A258,A258-Calculos!$B$4)+MOD(254-1,Calculos!$B$6)+1,2)=0,INDEX(Calculos!$B$36:$S$52,IF(A258&lt;=Calculos!$B$4,A258,A258-Calculos!$B$4),MOD(254-1,Calculos!$B$6)+1),INDEX(Calculos!$B$36:$S$52,IF(A258&lt;=Calculos!$B$4,A258,A258-Calculos!$B$4),Calculos!$B$2+1-MOD(254-1,Calculos!$B$6)+1)))))</f>
        <v/>
      </c>
      <c r="G258" s="9" t="str">
        <f t="shared" si="21"/>
        <v/>
      </c>
      <c r="H258" s="9" t="str">
        <f>IF(OR(C258="",F258=""),"",IF(AND(ISNUMBER(D258),ISNUMBER(E258)),IF(D258&gt;E258,Inicio!$E$6,IF(D258=E258,Inicio!$F$6,Inicio!$G$6)),""))</f>
        <v/>
      </c>
      <c r="I258" s="9" t="str">
        <f>IF(OR(C258="",F258=""),"",IF(AND(ISNUMBER(D258),ISNUMBER(E258)),IF(D258&lt;E258,Inicio!$E$6,IF(D258=E258,Inicio!$F$6,Inicio!$G$6)),""))</f>
        <v/>
      </c>
      <c r="J258" s="9">
        <f t="shared" si="22"/>
        <v>0</v>
      </c>
      <c r="K258" s="9">
        <f t="shared" si="23"/>
        <v>0</v>
      </c>
      <c r="L258" s="9">
        <f t="shared" si="24"/>
        <v>0</v>
      </c>
      <c r="M258" s="9">
        <f t="shared" si="25"/>
        <v>0</v>
      </c>
      <c r="N258" s="9">
        <f t="shared" si="26"/>
        <v>0</v>
      </c>
      <c r="O258" s="9">
        <f t="shared" si="27"/>
        <v>0</v>
      </c>
    </row>
    <row r="259" spans="1:15" x14ac:dyDescent="0.25">
      <c r="A259" s="9" t="str">
        <f>IF(OR(Calculos!$B$7=0,255&gt;Calculos!$B$7),"",INT((255-1)/Calculos!$B$6)+1)</f>
        <v/>
      </c>
      <c r="B259" s="10" t="str">
        <f>IF(A259="","",Inicio!$E$5+(A259-1)*Inicio!$B$6)</f>
        <v/>
      </c>
      <c r="C259" s="11" t="str">
        <f>IF(A259="","",INDEX(Calculos!$B$11:$B$28,IF(A259&gt;Calculos!$B$4,IF(MOD(IF(A259&lt;=Calculos!$B$4,A259,A259-Calculos!$B$4)+MOD(255-1,Calculos!$B$6)+1,2)=0,INDEX(Calculos!$B$36:$S$52,IF(A259&lt;=Calculos!$B$4,A259,A259-Calculos!$B$4),MOD(255-1,Calculos!$B$6)+1),INDEX(Calculos!$B$36:$S$52,IF(A259&lt;=Calculos!$B$4,A259,A259-Calculos!$B$4),Calculos!$B$2+1-MOD(255-1,Calculos!$B$6)+1)),IF(MOD(IF(A259&lt;=Calculos!$B$4,A259,A259-Calculos!$B$4)+MOD(255-1,Calculos!$B$6)+1,2)=0,INDEX(Calculos!$B$36:$S$52,IF(A259&lt;=Calculos!$B$4,A259,A259-Calculos!$B$4),Calculos!$B$2+1-MOD(255-1,Calculos!$B$6)+1),INDEX(Calculos!$B$36:$S$52,IF(A259&lt;=Calculos!$B$4,A259,A259-Calculos!$B$4),MOD(255-1,Calculos!$B$6)+1)))))</f>
        <v/>
      </c>
      <c r="D259" s="4"/>
      <c r="E259" s="4"/>
      <c r="F259" s="11" t="str">
        <f>IF(A259="","",INDEX(Calculos!$B$11:$B$28,IF(A259&gt;Calculos!$B$4,IF(MOD(IF(A259&lt;=Calculos!$B$4,A259,A259-Calculos!$B$4)+MOD(255-1,Calculos!$B$6)+1,2)=0,INDEX(Calculos!$B$36:$S$52,IF(A259&lt;=Calculos!$B$4,A259,A259-Calculos!$B$4),Calculos!$B$2+1-MOD(255-1,Calculos!$B$6)+1),INDEX(Calculos!$B$36:$S$52,IF(A259&lt;=Calculos!$B$4,A259,A259-Calculos!$B$4),MOD(255-1,Calculos!$B$6)+1)),IF(MOD(IF(A259&lt;=Calculos!$B$4,A259,A259-Calculos!$B$4)+MOD(255-1,Calculos!$B$6)+1,2)=0,INDEX(Calculos!$B$36:$S$52,IF(A259&lt;=Calculos!$B$4,A259,A259-Calculos!$B$4),MOD(255-1,Calculos!$B$6)+1),INDEX(Calculos!$B$36:$S$52,IF(A259&lt;=Calculos!$B$4,A259,A259-Calculos!$B$4),Calculos!$B$2+1-MOD(255-1,Calculos!$B$6)+1)))))</f>
        <v/>
      </c>
      <c r="G259" s="9" t="str">
        <f t="shared" si="21"/>
        <v/>
      </c>
      <c r="H259" s="9" t="str">
        <f>IF(OR(C259="",F259=""),"",IF(AND(ISNUMBER(D259),ISNUMBER(E259)),IF(D259&gt;E259,Inicio!$E$6,IF(D259=E259,Inicio!$F$6,Inicio!$G$6)),""))</f>
        <v/>
      </c>
      <c r="I259" s="9" t="str">
        <f>IF(OR(C259="",F259=""),"",IF(AND(ISNUMBER(D259),ISNUMBER(E259)),IF(D259&lt;E259,Inicio!$E$6,IF(D259=E259,Inicio!$F$6,Inicio!$G$6)),""))</f>
        <v/>
      </c>
      <c r="J259" s="9">
        <f t="shared" si="22"/>
        <v>0</v>
      </c>
      <c r="K259" s="9">
        <f t="shared" si="23"/>
        <v>0</v>
      </c>
      <c r="L259" s="9">
        <f t="shared" si="24"/>
        <v>0</v>
      </c>
      <c r="M259" s="9">
        <f t="shared" si="25"/>
        <v>0</v>
      </c>
      <c r="N259" s="9">
        <f t="shared" si="26"/>
        <v>0</v>
      </c>
      <c r="O259" s="9">
        <f t="shared" si="27"/>
        <v>0</v>
      </c>
    </row>
    <row r="260" spans="1:15" x14ac:dyDescent="0.25">
      <c r="A260" s="9" t="str">
        <f>IF(OR(Calculos!$B$7=0,256&gt;Calculos!$B$7),"",INT((256-1)/Calculos!$B$6)+1)</f>
        <v/>
      </c>
      <c r="B260" s="10" t="str">
        <f>IF(A260="","",Inicio!$E$5+(A260-1)*Inicio!$B$6)</f>
        <v/>
      </c>
      <c r="C260" s="11" t="str">
        <f>IF(A260="","",INDEX(Calculos!$B$11:$B$28,IF(A260&gt;Calculos!$B$4,IF(MOD(IF(A260&lt;=Calculos!$B$4,A260,A260-Calculos!$B$4)+MOD(256-1,Calculos!$B$6)+1,2)=0,INDEX(Calculos!$B$36:$S$52,IF(A260&lt;=Calculos!$B$4,A260,A260-Calculos!$B$4),MOD(256-1,Calculos!$B$6)+1),INDEX(Calculos!$B$36:$S$52,IF(A260&lt;=Calculos!$B$4,A260,A260-Calculos!$B$4),Calculos!$B$2+1-MOD(256-1,Calculos!$B$6)+1)),IF(MOD(IF(A260&lt;=Calculos!$B$4,A260,A260-Calculos!$B$4)+MOD(256-1,Calculos!$B$6)+1,2)=0,INDEX(Calculos!$B$36:$S$52,IF(A260&lt;=Calculos!$B$4,A260,A260-Calculos!$B$4),Calculos!$B$2+1-MOD(256-1,Calculos!$B$6)+1),INDEX(Calculos!$B$36:$S$52,IF(A260&lt;=Calculos!$B$4,A260,A260-Calculos!$B$4),MOD(256-1,Calculos!$B$6)+1)))))</f>
        <v/>
      </c>
      <c r="D260" s="4"/>
      <c r="E260" s="4"/>
      <c r="F260" s="11" t="str">
        <f>IF(A260="","",INDEX(Calculos!$B$11:$B$28,IF(A260&gt;Calculos!$B$4,IF(MOD(IF(A260&lt;=Calculos!$B$4,A260,A260-Calculos!$B$4)+MOD(256-1,Calculos!$B$6)+1,2)=0,INDEX(Calculos!$B$36:$S$52,IF(A260&lt;=Calculos!$B$4,A260,A260-Calculos!$B$4),Calculos!$B$2+1-MOD(256-1,Calculos!$B$6)+1),INDEX(Calculos!$B$36:$S$52,IF(A260&lt;=Calculos!$B$4,A260,A260-Calculos!$B$4),MOD(256-1,Calculos!$B$6)+1)),IF(MOD(IF(A260&lt;=Calculos!$B$4,A260,A260-Calculos!$B$4)+MOD(256-1,Calculos!$B$6)+1,2)=0,INDEX(Calculos!$B$36:$S$52,IF(A260&lt;=Calculos!$B$4,A260,A260-Calculos!$B$4),MOD(256-1,Calculos!$B$6)+1),INDEX(Calculos!$B$36:$S$52,IF(A260&lt;=Calculos!$B$4,A260,A260-Calculos!$B$4),Calculos!$B$2+1-MOD(256-1,Calculos!$B$6)+1)))))</f>
        <v/>
      </c>
      <c r="G260" s="9" t="str">
        <f t="shared" si="21"/>
        <v/>
      </c>
      <c r="H260" s="9" t="str">
        <f>IF(OR(C260="",F260=""),"",IF(AND(ISNUMBER(D260),ISNUMBER(E260)),IF(D260&gt;E260,Inicio!$E$6,IF(D260=E260,Inicio!$F$6,Inicio!$G$6)),""))</f>
        <v/>
      </c>
      <c r="I260" s="9" t="str">
        <f>IF(OR(C260="",F260=""),"",IF(AND(ISNUMBER(D260),ISNUMBER(E260)),IF(D260&lt;E260,Inicio!$E$6,IF(D260=E260,Inicio!$F$6,Inicio!$G$6)),""))</f>
        <v/>
      </c>
      <c r="J260" s="9">
        <f t="shared" si="22"/>
        <v>0</v>
      </c>
      <c r="K260" s="9">
        <f t="shared" si="23"/>
        <v>0</v>
      </c>
      <c r="L260" s="9">
        <f t="shared" si="24"/>
        <v>0</v>
      </c>
      <c r="M260" s="9">
        <f t="shared" si="25"/>
        <v>0</v>
      </c>
      <c r="N260" s="9">
        <f t="shared" si="26"/>
        <v>0</v>
      </c>
      <c r="O260" s="9">
        <f t="shared" si="27"/>
        <v>0</v>
      </c>
    </row>
    <row r="261" spans="1:15" x14ac:dyDescent="0.25">
      <c r="A261" s="9" t="str">
        <f>IF(OR(Calculos!$B$7=0,257&gt;Calculos!$B$7),"",INT((257-1)/Calculos!$B$6)+1)</f>
        <v/>
      </c>
      <c r="B261" s="10" t="str">
        <f>IF(A261="","",Inicio!$E$5+(A261-1)*Inicio!$B$6)</f>
        <v/>
      </c>
      <c r="C261" s="11" t="str">
        <f>IF(A261="","",INDEX(Calculos!$B$11:$B$28,IF(A261&gt;Calculos!$B$4,IF(MOD(IF(A261&lt;=Calculos!$B$4,A261,A261-Calculos!$B$4)+MOD(257-1,Calculos!$B$6)+1,2)=0,INDEX(Calculos!$B$36:$S$52,IF(A261&lt;=Calculos!$B$4,A261,A261-Calculos!$B$4),MOD(257-1,Calculos!$B$6)+1),INDEX(Calculos!$B$36:$S$52,IF(A261&lt;=Calculos!$B$4,A261,A261-Calculos!$B$4),Calculos!$B$2+1-MOD(257-1,Calculos!$B$6)+1)),IF(MOD(IF(A261&lt;=Calculos!$B$4,A261,A261-Calculos!$B$4)+MOD(257-1,Calculos!$B$6)+1,2)=0,INDEX(Calculos!$B$36:$S$52,IF(A261&lt;=Calculos!$B$4,A261,A261-Calculos!$B$4),Calculos!$B$2+1-MOD(257-1,Calculos!$B$6)+1),INDEX(Calculos!$B$36:$S$52,IF(A261&lt;=Calculos!$B$4,A261,A261-Calculos!$B$4),MOD(257-1,Calculos!$B$6)+1)))))</f>
        <v/>
      </c>
      <c r="D261" s="4"/>
      <c r="E261" s="4"/>
      <c r="F261" s="11" t="str">
        <f>IF(A261="","",INDEX(Calculos!$B$11:$B$28,IF(A261&gt;Calculos!$B$4,IF(MOD(IF(A261&lt;=Calculos!$B$4,A261,A261-Calculos!$B$4)+MOD(257-1,Calculos!$B$6)+1,2)=0,INDEX(Calculos!$B$36:$S$52,IF(A261&lt;=Calculos!$B$4,A261,A261-Calculos!$B$4),Calculos!$B$2+1-MOD(257-1,Calculos!$B$6)+1),INDEX(Calculos!$B$36:$S$52,IF(A261&lt;=Calculos!$B$4,A261,A261-Calculos!$B$4),MOD(257-1,Calculos!$B$6)+1)),IF(MOD(IF(A261&lt;=Calculos!$B$4,A261,A261-Calculos!$B$4)+MOD(257-1,Calculos!$B$6)+1,2)=0,INDEX(Calculos!$B$36:$S$52,IF(A261&lt;=Calculos!$B$4,A261,A261-Calculos!$B$4),MOD(257-1,Calculos!$B$6)+1),INDEX(Calculos!$B$36:$S$52,IF(A261&lt;=Calculos!$B$4,A261,A261-Calculos!$B$4),Calculos!$B$2+1-MOD(257-1,Calculos!$B$6)+1)))))</f>
        <v/>
      </c>
      <c r="G261" s="9" t="str">
        <f t="shared" ref="G261:G310" si="28">IF(A261="","",IF(AND(ISNUMBER(D261),ISNUMBER(E261)),"Jugado","Pendiente"))</f>
        <v/>
      </c>
      <c r="H261" s="9" t="str">
        <f>IF(OR(C261="",F261=""),"",IF(AND(ISNUMBER(D261),ISNUMBER(E261)),IF(D261&gt;E261,Inicio!$E$6,IF(D261=E261,Inicio!$F$6,Inicio!$G$6)),""))</f>
        <v/>
      </c>
      <c r="I261" s="9" t="str">
        <f>IF(OR(C261="",F261=""),"",IF(AND(ISNUMBER(D261),ISNUMBER(E261)),IF(D261&lt;E261,Inicio!$E$6,IF(D261=E261,Inicio!$F$6,Inicio!$G$6)),""))</f>
        <v/>
      </c>
      <c r="J261" s="9">
        <f t="shared" ref="J261:J310" si="29">IF(AND(ISNUMBER(D261),ISNUMBER(E261),D261&gt;E261),1,0)</f>
        <v>0</v>
      </c>
      <c r="K261" s="9">
        <f t="shared" ref="K261:K310" si="30">IF(AND(ISNUMBER(D261),ISNUMBER(E261),D261=E261),1,0)</f>
        <v>0</v>
      </c>
      <c r="L261" s="9">
        <f t="shared" ref="L261:L310" si="31">IF(AND(ISNUMBER(D261),ISNUMBER(E261),D261&lt;E261),1,0)</f>
        <v>0</v>
      </c>
      <c r="M261" s="9">
        <f t="shared" ref="M261:M310" si="32">IF(AND(ISNUMBER(D261),ISNUMBER(E261),D261&lt;E261),1,0)</f>
        <v>0</v>
      </c>
      <c r="N261" s="9">
        <f t="shared" ref="N261:N310" si="33">IF(AND(ISNUMBER(D261),ISNUMBER(E261),D261=E261),1,0)</f>
        <v>0</v>
      </c>
      <c r="O261" s="9">
        <f t="shared" ref="O261:O310" si="34">IF(AND(ISNUMBER(D261),ISNUMBER(E261),D261&gt;E261),1,0)</f>
        <v>0</v>
      </c>
    </row>
    <row r="262" spans="1:15" x14ac:dyDescent="0.25">
      <c r="A262" s="9" t="str">
        <f>IF(OR(Calculos!$B$7=0,258&gt;Calculos!$B$7),"",INT((258-1)/Calculos!$B$6)+1)</f>
        <v/>
      </c>
      <c r="B262" s="10" t="str">
        <f>IF(A262="","",Inicio!$E$5+(A262-1)*Inicio!$B$6)</f>
        <v/>
      </c>
      <c r="C262" s="11" t="str">
        <f>IF(A262="","",INDEX(Calculos!$B$11:$B$28,IF(A262&gt;Calculos!$B$4,IF(MOD(IF(A262&lt;=Calculos!$B$4,A262,A262-Calculos!$B$4)+MOD(258-1,Calculos!$B$6)+1,2)=0,INDEX(Calculos!$B$36:$S$52,IF(A262&lt;=Calculos!$B$4,A262,A262-Calculos!$B$4),MOD(258-1,Calculos!$B$6)+1),INDEX(Calculos!$B$36:$S$52,IF(A262&lt;=Calculos!$B$4,A262,A262-Calculos!$B$4),Calculos!$B$2+1-MOD(258-1,Calculos!$B$6)+1)),IF(MOD(IF(A262&lt;=Calculos!$B$4,A262,A262-Calculos!$B$4)+MOD(258-1,Calculos!$B$6)+1,2)=0,INDEX(Calculos!$B$36:$S$52,IF(A262&lt;=Calculos!$B$4,A262,A262-Calculos!$B$4),Calculos!$B$2+1-MOD(258-1,Calculos!$B$6)+1),INDEX(Calculos!$B$36:$S$52,IF(A262&lt;=Calculos!$B$4,A262,A262-Calculos!$B$4),MOD(258-1,Calculos!$B$6)+1)))))</f>
        <v/>
      </c>
      <c r="D262" s="4"/>
      <c r="E262" s="4"/>
      <c r="F262" s="11" t="str">
        <f>IF(A262="","",INDEX(Calculos!$B$11:$B$28,IF(A262&gt;Calculos!$B$4,IF(MOD(IF(A262&lt;=Calculos!$B$4,A262,A262-Calculos!$B$4)+MOD(258-1,Calculos!$B$6)+1,2)=0,INDEX(Calculos!$B$36:$S$52,IF(A262&lt;=Calculos!$B$4,A262,A262-Calculos!$B$4),Calculos!$B$2+1-MOD(258-1,Calculos!$B$6)+1),INDEX(Calculos!$B$36:$S$52,IF(A262&lt;=Calculos!$B$4,A262,A262-Calculos!$B$4),MOD(258-1,Calculos!$B$6)+1)),IF(MOD(IF(A262&lt;=Calculos!$B$4,A262,A262-Calculos!$B$4)+MOD(258-1,Calculos!$B$6)+1,2)=0,INDEX(Calculos!$B$36:$S$52,IF(A262&lt;=Calculos!$B$4,A262,A262-Calculos!$B$4),MOD(258-1,Calculos!$B$6)+1),INDEX(Calculos!$B$36:$S$52,IF(A262&lt;=Calculos!$B$4,A262,A262-Calculos!$B$4),Calculos!$B$2+1-MOD(258-1,Calculos!$B$6)+1)))))</f>
        <v/>
      </c>
      <c r="G262" s="9" t="str">
        <f t="shared" si="28"/>
        <v/>
      </c>
      <c r="H262" s="9" t="str">
        <f>IF(OR(C262="",F262=""),"",IF(AND(ISNUMBER(D262),ISNUMBER(E262)),IF(D262&gt;E262,Inicio!$E$6,IF(D262=E262,Inicio!$F$6,Inicio!$G$6)),""))</f>
        <v/>
      </c>
      <c r="I262" s="9" t="str">
        <f>IF(OR(C262="",F262=""),"",IF(AND(ISNUMBER(D262),ISNUMBER(E262)),IF(D262&lt;E262,Inicio!$E$6,IF(D262=E262,Inicio!$F$6,Inicio!$G$6)),""))</f>
        <v/>
      </c>
      <c r="J262" s="9">
        <f t="shared" si="29"/>
        <v>0</v>
      </c>
      <c r="K262" s="9">
        <f t="shared" si="30"/>
        <v>0</v>
      </c>
      <c r="L262" s="9">
        <f t="shared" si="31"/>
        <v>0</v>
      </c>
      <c r="M262" s="9">
        <f t="shared" si="32"/>
        <v>0</v>
      </c>
      <c r="N262" s="9">
        <f t="shared" si="33"/>
        <v>0</v>
      </c>
      <c r="O262" s="9">
        <f t="shared" si="34"/>
        <v>0</v>
      </c>
    </row>
    <row r="263" spans="1:15" x14ac:dyDescent="0.25">
      <c r="A263" s="9" t="str">
        <f>IF(OR(Calculos!$B$7=0,259&gt;Calculos!$B$7),"",INT((259-1)/Calculos!$B$6)+1)</f>
        <v/>
      </c>
      <c r="B263" s="10" t="str">
        <f>IF(A263="","",Inicio!$E$5+(A263-1)*Inicio!$B$6)</f>
        <v/>
      </c>
      <c r="C263" s="11" t="str">
        <f>IF(A263="","",INDEX(Calculos!$B$11:$B$28,IF(A263&gt;Calculos!$B$4,IF(MOD(IF(A263&lt;=Calculos!$B$4,A263,A263-Calculos!$B$4)+MOD(259-1,Calculos!$B$6)+1,2)=0,INDEX(Calculos!$B$36:$S$52,IF(A263&lt;=Calculos!$B$4,A263,A263-Calculos!$B$4),MOD(259-1,Calculos!$B$6)+1),INDEX(Calculos!$B$36:$S$52,IF(A263&lt;=Calculos!$B$4,A263,A263-Calculos!$B$4),Calculos!$B$2+1-MOD(259-1,Calculos!$B$6)+1)),IF(MOD(IF(A263&lt;=Calculos!$B$4,A263,A263-Calculos!$B$4)+MOD(259-1,Calculos!$B$6)+1,2)=0,INDEX(Calculos!$B$36:$S$52,IF(A263&lt;=Calculos!$B$4,A263,A263-Calculos!$B$4),Calculos!$B$2+1-MOD(259-1,Calculos!$B$6)+1),INDEX(Calculos!$B$36:$S$52,IF(A263&lt;=Calculos!$B$4,A263,A263-Calculos!$B$4),MOD(259-1,Calculos!$B$6)+1)))))</f>
        <v/>
      </c>
      <c r="D263" s="4"/>
      <c r="E263" s="4"/>
      <c r="F263" s="11" t="str">
        <f>IF(A263="","",INDEX(Calculos!$B$11:$B$28,IF(A263&gt;Calculos!$B$4,IF(MOD(IF(A263&lt;=Calculos!$B$4,A263,A263-Calculos!$B$4)+MOD(259-1,Calculos!$B$6)+1,2)=0,INDEX(Calculos!$B$36:$S$52,IF(A263&lt;=Calculos!$B$4,A263,A263-Calculos!$B$4),Calculos!$B$2+1-MOD(259-1,Calculos!$B$6)+1),INDEX(Calculos!$B$36:$S$52,IF(A263&lt;=Calculos!$B$4,A263,A263-Calculos!$B$4),MOD(259-1,Calculos!$B$6)+1)),IF(MOD(IF(A263&lt;=Calculos!$B$4,A263,A263-Calculos!$B$4)+MOD(259-1,Calculos!$B$6)+1,2)=0,INDEX(Calculos!$B$36:$S$52,IF(A263&lt;=Calculos!$B$4,A263,A263-Calculos!$B$4),MOD(259-1,Calculos!$B$6)+1),INDEX(Calculos!$B$36:$S$52,IF(A263&lt;=Calculos!$B$4,A263,A263-Calculos!$B$4),Calculos!$B$2+1-MOD(259-1,Calculos!$B$6)+1)))))</f>
        <v/>
      </c>
      <c r="G263" s="9" t="str">
        <f t="shared" si="28"/>
        <v/>
      </c>
      <c r="H263" s="9" t="str">
        <f>IF(OR(C263="",F263=""),"",IF(AND(ISNUMBER(D263),ISNUMBER(E263)),IF(D263&gt;E263,Inicio!$E$6,IF(D263=E263,Inicio!$F$6,Inicio!$G$6)),""))</f>
        <v/>
      </c>
      <c r="I263" s="9" t="str">
        <f>IF(OR(C263="",F263=""),"",IF(AND(ISNUMBER(D263),ISNUMBER(E263)),IF(D263&lt;E263,Inicio!$E$6,IF(D263=E263,Inicio!$F$6,Inicio!$G$6)),""))</f>
        <v/>
      </c>
      <c r="J263" s="9">
        <f t="shared" si="29"/>
        <v>0</v>
      </c>
      <c r="K263" s="9">
        <f t="shared" si="30"/>
        <v>0</v>
      </c>
      <c r="L263" s="9">
        <f t="shared" si="31"/>
        <v>0</v>
      </c>
      <c r="M263" s="9">
        <f t="shared" si="32"/>
        <v>0</v>
      </c>
      <c r="N263" s="9">
        <f t="shared" si="33"/>
        <v>0</v>
      </c>
      <c r="O263" s="9">
        <f t="shared" si="34"/>
        <v>0</v>
      </c>
    </row>
    <row r="264" spans="1:15" x14ac:dyDescent="0.25">
      <c r="A264" s="9" t="str">
        <f>IF(OR(Calculos!$B$7=0,260&gt;Calculos!$B$7),"",INT((260-1)/Calculos!$B$6)+1)</f>
        <v/>
      </c>
      <c r="B264" s="10" t="str">
        <f>IF(A264="","",Inicio!$E$5+(A264-1)*Inicio!$B$6)</f>
        <v/>
      </c>
      <c r="C264" s="11" t="str">
        <f>IF(A264="","",INDEX(Calculos!$B$11:$B$28,IF(A264&gt;Calculos!$B$4,IF(MOD(IF(A264&lt;=Calculos!$B$4,A264,A264-Calculos!$B$4)+MOD(260-1,Calculos!$B$6)+1,2)=0,INDEX(Calculos!$B$36:$S$52,IF(A264&lt;=Calculos!$B$4,A264,A264-Calculos!$B$4),MOD(260-1,Calculos!$B$6)+1),INDEX(Calculos!$B$36:$S$52,IF(A264&lt;=Calculos!$B$4,A264,A264-Calculos!$B$4),Calculos!$B$2+1-MOD(260-1,Calculos!$B$6)+1)),IF(MOD(IF(A264&lt;=Calculos!$B$4,A264,A264-Calculos!$B$4)+MOD(260-1,Calculos!$B$6)+1,2)=0,INDEX(Calculos!$B$36:$S$52,IF(A264&lt;=Calculos!$B$4,A264,A264-Calculos!$B$4),Calculos!$B$2+1-MOD(260-1,Calculos!$B$6)+1),INDEX(Calculos!$B$36:$S$52,IF(A264&lt;=Calculos!$B$4,A264,A264-Calculos!$B$4),MOD(260-1,Calculos!$B$6)+1)))))</f>
        <v/>
      </c>
      <c r="D264" s="4"/>
      <c r="E264" s="4"/>
      <c r="F264" s="11" t="str">
        <f>IF(A264="","",INDEX(Calculos!$B$11:$B$28,IF(A264&gt;Calculos!$B$4,IF(MOD(IF(A264&lt;=Calculos!$B$4,A264,A264-Calculos!$B$4)+MOD(260-1,Calculos!$B$6)+1,2)=0,INDEX(Calculos!$B$36:$S$52,IF(A264&lt;=Calculos!$B$4,A264,A264-Calculos!$B$4),Calculos!$B$2+1-MOD(260-1,Calculos!$B$6)+1),INDEX(Calculos!$B$36:$S$52,IF(A264&lt;=Calculos!$B$4,A264,A264-Calculos!$B$4),MOD(260-1,Calculos!$B$6)+1)),IF(MOD(IF(A264&lt;=Calculos!$B$4,A264,A264-Calculos!$B$4)+MOD(260-1,Calculos!$B$6)+1,2)=0,INDEX(Calculos!$B$36:$S$52,IF(A264&lt;=Calculos!$B$4,A264,A264-Calculos!$B$4),MOD(260-1,Calculos!$B$6)+1),INDEX(Calculos!$B$36:$S$52,IF(A264&lt;=Calculos!$B$4,A264,A264-Calculos!$B$4),Calculos!$B$2+1-MOD(260-1,Calculos!$B$6)+1)))))</f>
        <v/>
      </c>
      <c r="G264" s="9" t="str">
        <f t="shared" si="28"/>
        <v/>
      </c>
      <c r="H264" s="9" t="str">
        <f>IF(OR(C264="",F264=""),"",IF(AND(ISNUMBER(D264),ISNUMBER(E264)),IF(D264&gt;E264,Inicio!$E$6,IF(D264=E264,Inicio!$F$6,Inicio!$G$6)),""))</f>
        <v/>
      </c>
      <c r="I264" s="9" t="str">
        <f>IF(OR(C264="",F264=""),"",IF(AND(ISNUMBER(D264),ISNUMBER(E264)),IF(D264&lt;E264,Inicio!$E$6,IF(D264=E264,Inicio!$F$6,Inicio!$G$6)),""))</f>
        <v/>
      </c>
      <c r="J264" s="9">
        <f t="shared" si="29"/>
        <v>0</v>
      </c>
      <c r="K264" s="9">
        <f t="shared" si="30"/>
        <v>0</v>
      </c>
      <c r="L264" s="9">
        <f t="shared" si="31"/>
        <v>0</v>
      </c>
      <c r="M264" s="9">
        <f t="shared" si="32"/>
        <v>0</v>
      </c>
      <c r="N264" s="9">
        <f t="shared" si="33"/>
        <v>0</v>
      </c>
      <c r="O264" s="9">
        <f t="shared" si="34"/>
        <v>0</v>
      </c>
    </row>
    <row r="265" spans="1:15" x14ac:dyDescent="0.25">
      <c r="A265" s="9" t="str">
        <f>IF(OR(Calculos!$B$7=0,261&gt;Calculos!$B$7),"",INT((261-1)/Calculos!$B$6)+1)</f>
        <v/>
      </c>
      <c r="B265" s="10" t="str">
        <f>IF(A265="","",Inicio!$E$5+(A265-1)*Inicio!$B$6)</f>
        <v/>
      </c>
      <c r="C265" s="11" t="str">
        <f>IF(A265="","",INDEX(Calculos!$B$11:$B$28,IF(A265&gt;Calculos!$B$4,IF(MOD(IF(A265&lt;=Calculos!$B$4,A265,A265-Calculos!$B$4)+MOD(261-1,Calculos!$B$6)+1,2)=0,INDEX(Calculos!$B$36:$S$52,IF(A265&lt;=Calculos!$B$4,A265,A265-Calculos!$B$4),MOD(261-1,Calculos!$B$6)+1),INDEX(Calculos!$B$36:$S$52,IF(A265&lt;=Calculos!$B$4,A265,A265-Calculos!$B$4),Calculos!$B$2+1-MOD(261-1,Calculos!$B$6)+1)),IF(MOD(IF(A265&lt;=Calculos!$B$4,A265,A265-Calculos!$B$4)+MOD(261-1,Calculos!$B$6)+1,2)=0,INDEX(Calculos!$B$36:$S$52,IF(A265&lt;=Calculos!$B$4,A265,A265-Calculos!$B$4),Calculos!$B$2+1-MOD(261-1,Calculos!$B$6)+1),INDEX(Calculos!$B$36:$S$52,IF(A265&lt;=Calculos!$B$4,A265,A265-Calculos!$B$4),MOD(261-1,Calculos!$B$6)+1)))))</f>
        <v/>
      </c>
      <c r="D265" s="4"/>
      <c r="E265" s="4"/>
      <c r="F265" s="11" t="str">
        <f>IF(A265="","",INDEX(Calculos!$B$11:$B$28,IF(A265&gt;Calculos!$B$4,IF(MOD(IF(A265&lt;=Calculos!$B$4,A265,A265-Calculos!$B$4)+MOD(261-1,Calculos!$B$6)+1,2)=0,INDEX(Calculos!$B$36:$S$52,IF(A265&lt;=Calculos!$B$4,A265,A265-Calculos!$B$4),Calculos!$B$2+1-MOD(261-1,Calculos!$B$6)+1),INDEX(Calculos!$B$36:$S$52,IF(A265&lt;=Calculos!$B$4,A265,A265-Calculos!$B$4),MOD(261-1,Calculos!$B$6)+1)),IF(MOD(IF(A265&lt;=Calculos!$B$4,A265,A265-Calculos!$B$4)+MOD(261-1,Calculos!$B$6)+1,2)=0,INDEX(Calculos!$B$36:$S$52,IF(A265&lt;=Calculos!$B$4,A265,A265-Calculos!$B$4),MOD(261-1,Calculos!$B$6)+1),INDEX(Calculos!$B$36:$S$52,IF(A265&lt;=Calculos!$B$4,A265,A265-Calculos!$B$4),Calculos!$B$2+1-MOD(261-1,Calculos!$B$6)+1)))))</f>
        <v/>
      </c>
      <c r="G265" s="9" t="str">
        <f t="shared" si="28"/>
        <v/>
      </c>
      <c r="H265" s="9" t="str">
        <f>IF(OR(C265="",F265=""),"",IF(AND(ISNUMBER(D265),ISNUMBER(E265)),IF(D265&gt;E265,Inicio!$E$6,IF(D265=E265,Inicio!$F$6,Inicio!$G$6)),""))</f>
        <v/>
      </c>
      <c r="I265" s="9" t="str">
        <f>IF(OR(C265="",F265=""),"",IF(AND(ISNUMBER(D265),ISNUMBER(E265)),IF(D265&lt;E265,Inicio!$E$6,IF(D265=E265,Inicio!$F$6,Inicio!$G$6)),""))</f>
        <v/>
      </c>
      <c r="J265" s="9">
        <f t="shared" si="29"/>
        <v>0</v>
      </c>
      <c r="K265" s="9">
        <f t="shared" si="30"/>
        <v>0</v>
      </c>
      <c r="L265" s="9">
        <f t="shared" si="31"/>
        <v>0</v>
      </c>
      <c r="M265" s="9">
        <f t="shared" si="32"/>
        <v>0</v>
      </c>
      <c r="N265" s="9">
        <f t="shared" si="33"/>
        <v>0</v>
      </c>
      <c r="O265" s="9">
        <f t="shared" si="34"/>
        <v>0</v>
      </c>
    </row>
    <row r="266" spans="1:15" x14ac:dyDescent="0.25">
      <c r="A266" s="9" t="str">
        <f>IF(OR(Calculos!$B$7=0,262&gt;Calculos!$B$7),"",INT((262-1)/Calculos!$B$6)+1)</f>
        <v/>
      </c>
      <c r="B266" s="10" t="str">
        <f>IF(A266="","",Inicio!$E$5+(A266-1)*Inicio!$B$6)</f>
        <v/>
      </c>
      <c r="C266" s="11" t="str">
        <f>IF(A266="","",INDEX(Calculos!$B$11:$B$28,IF(A266&gt;Calculos!$B$4,IF(MOD(IF(A266&lt;=Calculos!$B$4,A266,A266-Calculos!$B$4)+MOD(262-1,Calculos!$B$6)+1,2)=0,INDEX(Calculos!$B$36:$S$52,IF(A266&lt;=Calculos!$B$4,A266,A266-Calculos!$B$4),MOD(262-1,Calculos!$B$6)+1),INDEX(Calculos!$B$36:$S$52,IF(A266&lt;=Calculos!$B$4,A266,A266-Calculos!$B$4),Calculos!$B$2+1-MOD(262-1,Calculos!$B$6)+1)),IF(MOD(IF(A266&lt;=Calculos!$B$4,A266,A266-Calculos!$B$4)+MOD(262-1,Calculos!$B$6)+1,2)=0,INDEX(Calculos!$B$36:$S$52,IF(A266&lt;=Calculos!$B$4,A266,A266-Calculos!$B$4),Calculos!$B$2+1-MOD(262-1,Calculos!$B$6)+1),INDEX(Calculos!$B$36:$S$52,IF(A266&lt;=Calculos!$B$4,A266,A266-Calculos!$B$4),MOD(262-1,Calculos!$B$6)+1)))))</f>
        <v/>
      </c>
      <c r="D266" s="4"/>
      <c r="E266" s="4"/>
      <c r="F266" s="11" t="str">
        <f>IF(A266="","",INDEX(Calculos!$B$11:$B$28,IF(A266&gt;Calculos!$B$4,IF(MOD(IF(A266&lt;=Calculos!$B$4,A266,A266-Calculos!$B$4)+MOD(262-1,Calculos!$B$6)+1,2)=0,INDEX(Calculos!$B$36:$S$52,IF(A266&lt;=Calculos!$B$4,A266,A266-Calculos!$B$4),Calculos!$B$2+1-MOD(262-1,Calculos!$B$6)+1),INDEX(Calculos!$B$36:$S$52,IF(A266&lt;=Calculos!$B$4,A266,A266-Calculos!$B$4),MOD(262-1,Calculos!$B$6)+1)),IF(MOD(IF(A266&lt;=Calculos!$B$4,A266,A266-Calculos!$B$4)+MOD(262-1,Calculos!$B$6)+1,2)=0,INDEX(Calculos!$B$36:$S$52,IF(A266&lt;=Calculos!$B$4,A266,A266-Calculos!$B$4),MOD(262-1,Calculos!$B$6)+1),INDEX(Calculos!$B$36:$S$52,IF(A266&lt;=Calculos!$B$4,A266,A266-Calculos!$B$4),Calculos!$B$2+1-MOD(262-1,Calculos!$B$6)+1)))))</f>
        <v/>
      </c>
      <c r="G266" s="9" t="str">
        <f t="shared" si="28"/>
        <v/>
      </c>
      <c r="H266" s="9" t="str">
        <f>IF(OR(C266="",F266=""),"",IF(AND(ISNUMBER(D266),ISNUMBER(E266)),IF(D266&gt;E266,Inicio!$E$6,IF(D266=E266,Inicio!$F$6,Inicio!$G$6)),""))</f>
        <v/>
      </c>
      <c r="I266" s="9" t="str">
        <f>IF(OR(C266="",F266=""),"",IF(AND(ISNUMBER(D266),ISNUMBER(E266)),IF(D266&lt;E266,Inicio!$E$6,IF(D266=E266,Inicio!$F$6,Inicio!$G$6)),""))</f>
        <v/>
      </c>
      <c r="J266" s="9">
        <f t="shared" si="29"/>
        <v>0</v>
      </c>
      <c r="K266" s="9">
        <f t="shared" si="30"/>
        <v>0</v>
      </c>
      <c r="L266" s="9">
        <f t="shared" si="31"/>
        <v>0</v>
      </c>
      <c r="M266" s="9">
        <f t="shared" si="32"/>
        <v>0</v>
      </c>
      <c r="N266" s="9">
        <f t="shared" si="33"/>
        <v>0</v>
      </c>
      <c r="O266" s="9">
        <f t="shared" si="34"/>
        <v>0</v>
      </c>
    </row>
    <row r="267" spans="1:15" x14ac:dyDescent="0.25">
      <c r="A267" s="9" t="str">
        <f>IF(OR(Calculos!$B$7=0,263&gt;Calculos!$B$7),"",INT((263-1)/Calculos!$B$6)+1)</f>
        <v/>
      </c>
      <c r="B267" s="10" t="str">
        <f>IF(A267="","",Inicio!$E$5+(A267-1)*Inicio!$B$6)</f>
        <v/>
      </c>
      <c r="C267" s="11" t="str">
        <f>IF(A267="","",INDEX(Calculos!$B$11:$B$28,IF(A267&gt;Calculos!$B$4,IF(MOD(IF(A267&lt;=Calculos!$B$4,A267,A267-Calculos!$B$4)+MOD(263-1,Calculos!$B$6)+1,2)=0,INDEX(Calculos!$B$36:$S$52,IF(A267&lt;=Calculos!$B$4,A267,A267-Calculos!$B$4),MOD(263-1,Calculos!$B$6)+1),INDEX(Calculos!$B$36:$S$52,IF(A267&lt;=Calculos!$B$4,A267,A267-Calculos!$B$4),Calculos!$B$2+1-MOD(263-1,Calculos!$B$6)+1)),IF(MOD(IF(A267&lt;=Calculos!$B$4,A267,A267-Calculos!$B$4)+MOD(263-1,Calculos!$B$6)+1,2)=0,INDEX(Calculos!$B$36:$S$52,IF(A267&lt;=Calculos!$B$4,A267,A267-Calculos!$B$4),Calculos!$B$2+1-MOD(263-1,Calculos!$B$6)+1),INDEX(Calculos!$B$36:$S$52,IF(A267&lt;=Calculos!$B$4,A267,A267-Calculos!$B$4),MOD(263-1,Calculos!$B$6)+1)))))</f>
        <v/>
      </c>
      <c r="D267" s="4"/>
      <c r="E267" s="4"/>
      <c r="F267" s="11" t="str">
        <f>IF(A267="","",INDEX(Calculos!$B$11:$B$28,IF(A267&gt;Calculos!$B$4,IF(MOD(IF(A267&lt;=Calculos!$B$4,A267,A267-Calculos!$B$4)+MOD(263-1,Calculos!$B$6)+1,2)=0,INDEX(Calculos!$B$36:$S$52,IF(A267&lt;=Calculos!$B$4,A267,A267-Calculos!$B$4),Calculos!$B$2+1-MOD(263-1,Calculos!$B$6)+1),INDEX(Calculos!$B$36:$S$52,IF(A267&lt;=Calculos!$B$4,A267,A267-Calculos!$B$4),MOD(263-1,Calculos!$B$6)+1)),IF(MOD(IF(A267&lt;=Calculos!$B$4,A267,A267-Calculos!$B$4)+MOD(263-1,Calculos!$B$6)+1,2)=0,INDEX(Calculos!$B$36:$S$52,IF(A267&lt;=Calculos!$B$4,A267,A267-Calculos!$B$4),MOD(263-1,Calculos!$B$6)+1),INDEX(Calculos!$B$36:$S$52,IF(A267&lt;=Calculos!$B$4,A267,A267-Calculos!$B$4),Calculos!$B$2+1-MOD(263-1,Calculos!$B$6)+1)))))</f>
        <v/>
      </c>
      <c r="G267" s="9" t="str">
        <f t="shared" si="28"/>
        <v/>
      </c>
      <c r="H267" s="9" t="str">
        <f>IF(OR(C267="",F267=""),"",IF(AND(ISNUMBER(D267),ISNUMBER(E267)),IF(D267&gt;E267,Inicio!$E$6,IF(D267=E267,Inicio!$F$6,Inicio!$G$6)),""))</f>
        <v/>
      </c>
      <c r="I267" s="9" t="str">
        <f>IF(OR(C267="",F267=""),"",IF(AND(ISNUMBER(D267),ISNUMBER(E267)),IF(D267&lt;E267,Inicio!$E$6,IF(D267=E267,Inicio!$F$6,Inicio!$G$6)),""))</f>
        <v/>
      </c>
      <c r="J267" s="9">
        <f t="shared" si="29"/>
        <v>0</v>
      </c>
      <c r="K267" s="9">
        <f t="shared" si="30"/>
        <v>0</v>
      </c>
      <c r="L267" s="9">
        <f t="shared" si="31"/>
        <v>0</v>
      </c>
      <c r="M267" s="9">
        <f t="shared" si="32"/>
        <v>0</v>
      </c>
      <c r="N267" s="9">
        <f t="shared" si="33"/>
        <v>0</v>
      </c>
      <c r="O267" s="9">
        <f t="shared" si="34"/>
        <v>0</v>
      </c>
    </row>
    <row r="268" spans="1:15" x14ac:dyDescent="0.25">
      <c r="A268" s="9" t="str">
        <f>IF(OR(Calculos!$B$7=0,264&gt;Calculos!$B$7),"",INT((264-1)/Calculos!$B$6)+1)</f>
        <v/>
      </c>
      <c r="B268" s="10" t="str">
        <f>IF(A268="","",Inicio!$E$5+(A268-1)*Inicio!$B$6)</f>
        <v/>
      </c>
      <c r="C268" s="11" t="str">
        <f>IF(A268="","",INDEX(Calculos!$B$11:$B$28,IF(A268&gt;Calculos!$B$4,IF(MOD(IF(A268&lt;=Calculos!$B$4,A268,A268-Calculos!$B$4)+MOD(264-1,Calculos!$B$6)+1,2)=0,INDEX(Calculos!$B$36:$S$52,IF(A268&lt;=Calculos!$B$4,A268,A268-Calculos!$B$4),MOD(264-1,Calculos!$B$6)+1),INDEX(Calculos!$B$36:$S$52,IF(A268&lt;=Calculos!$B$4,A268,A268-Calculos!$B$4),Calculos!$B$2+1-MOD(264-1,Calculos!$B$6)+1)),IF(MOD(IF(A268&lt;=Calculos!$B$4,A268,A268-Calculos!$B$4)+MOD(264-1,Calculos!$B$6)+1,2)=0,INDEX(Calculos!$B$36:$S$52,IF(A268&lt;=Calculos!$B$4,A268,A268-Calculos!$B$4),Calculos!$B$2+1-MOD(264-1,Calculos!$B$6)+1),INDEX(Calculos!$B$36:$S$52,IF(A268&lt;=Calculos!$B$4,A268,A268-Calculos!$B$4),MOD(264-1,Calculos!$B$6)+1)))))</f>
        <v/>
      </c>
      <c r="D268" s="4"/>
      <c r="E268" s="4"/>
      <c r="F268" s="11" t="str">
        <f>IF(A268="","",INDEX(Calculos!$B$11:$B$28,IF(A268&gt;Calculos!$B$4,IF(MOD(IF(A268&lt;=Calculos!$B$4,A268,A268-Calculos!$B$4)+MOD(264-1,Calculos!$B$6)+1,2)=0,INDEX(Calculos!$B$36:$S$52,IF(A268&lt;=Calculos!$B$4,A268,A268-Calculos!$B$4),Calculos!$B$2+1-MOD(264-1,Calculos!$B$6)+1),INDEX(Calculos!$B$36:$S$52,IF(A268&lt;=Calculos!$B$4,A268,A268-Calculos!$B$4),MOD(264-1,Calculos!$B$6)+1)),IF(MOD(IF(A268&lt;=Calculos!$B$4,A268,A268-Calculos!$B$4)+MOD(264-1,Calculos!$B$6)+1,2)=0,INDEX(Calculos!$B$36:$S$52,IF(A268&lt;=Calculos!$B$4,A268,A268-Calculos!$B$4),MOD(264-1,Calculos!$B$6)+1),INDEX(Calculos!$B$36:$S$52,IF(A268&lt;=Calculos!$B$4,A268,A268-Calculos!$B$4),Calculos!$B$2+1-MOD(264-1,Calculos!$B$6)+1)))))</f>
        <v/>
      </c>
      <c r="G268" s="9" t="str">
        <f t="shared" si="28"/>
        <v/>
      </c>
      <c r="H268" s="9" t="str">
        <f>IF(OR(C268="",F268=""),"",IF(AND(ISNUMBER(D268),ISNUMBER(E268)),IF(D268&gt;E268,Inicio!$E$6,IF(D268=E268,Inicio!$F$6,Inicio!$G$6)),""))</f>
        <v/>
      </c>
      <c r="I268" s="9" t="str">
        <f>IF(OR(C268="",F268=""),"",IF(AND(ISNUMBER(D268),ISNUMBER(E268)),IF(D268&lt;E268,Inicio!$E$6,IF(D268=E268,Inicio!$F$6,Inicio!$G$6)),""))</f>
        <v/>
      </c>
      <c r="J268" s="9">
        <f t="shared" si="29"/>
        <v>0</v>
      </c>
      <c r="K268" s="9">
        <f t="shared" si="30"/>
        <v>0</v>
      </c>
      <c r="L268" s="9">
        <f t="shared" si="31"/>
        <v>0</v>
      </c>
      <c r="M268" s="9">
        <f t="shared" si="32"/>
        <v>0</v>
      </c>
      <c r="N268" s="9">
        <f t="shared" si="33"/>
        <v>0</v>
      </c>
      <c r="O268" s="9">
        <f t="shared" si="34"/>
        <v>0</v>
      </c>
    </row>
    <row r="269" spans="1:15" x14ac:dyDescent="0.25">
      <c r="A269" s="9" t="str">
        <f>IF(OR(Calculos!$B$7=0,265&gt;Calculos!$B$7),"",INT((265-1)/Calculos!$B$6)+1)</f>
        <v/>
      </c>
      <c r="B269" s="10" t="str">
        <f>IF(A269="","",Inicio!$E$5+(A269-1)*Inicio!$B$6)</f>
        <v/>
      </c>
      <c r="C269" s="11" t="str">
        <f>IF(A269="","",INDEX(Calculos!$B$11:$B$28,IF(A269&gt;Calculos!$B$4,IF(MOD(IF(A269&lt;=Calculos!$B$4,A269,A269-Calculos!$B$4)+MOD(265-1,Calculos!$B$6)+1,2)=0,INDEX(Calculos!$B$36:$S$52,IF(A269&lt;=Calculos!$B$4,A269,A269-Calculos!$B$4),MOD(265-1,Calculos!$B$6)+1),INDEX(Calculos!$B$36:$S$52,IF(A269&lt;=Calculos!$B$4,A269,A269-Calculos!$B$4),Calculos!$B$2+1-MOD(265-1,Calculos!$B$6)+1)),IF(MOD(IF(A269&lt;=Calculos!$B$4,A269,A269-Calculos!$B$4)+MOD(265-1,Calculos!$B$6)+1,2)=0,INDEX(Calculos!$B$36:$S$52,IF(A269&lt;=Calculos!$B$4,A269,A269-Calculos!$B$4),Calculos!$B$2+1-MOD(265-1,Calculos!$B$6)+1),INDEX(Calculos!$B$36:$S$52,IF(A269&lt;=Calculos!$B$4,A269,A269-Calculos!$B$4),MOD(265-1,Calculos!$B$6)+1)))))</f>
        <v/>
      </c>
      <c r="D269" s="4"/>
      <c r="E269" s="4"/>
      <c r="F269" s="11" t="str">
        <f>IF(A269="","",INDEX(Calculos!$B$11:$B$28,IF(A269&gt;Calculos!$B$4,IF(MOD(IF(A269&lt;=Calculos!$B$4,A269,A269-Calculos!$B$4)+MOD(265-1,Calculos!$B$6)+1,2)=0,INDEX(Calculos!$B$36:$S$52,IF(A269&lt;=Calculos!$B$4,A269,A269-Calculos!$B$4),Calculos!$B$2+1-MOD(265-1,Calculos!$B$6)+1),INDEX(Calculos!$B$36:$S$52,IF(A269&lt;=Calculos!$B$4,A269,A269-Calculos!$B$4),MOD(265-1,Calculos!$B$6)+1)),IF(MOD(IF(A269&lt;=Calculos!$B$4,A269,A269-Calculos!$B$4)+MOD(265-1,Calculos!$B$6)+1,2)=0,INDEX(Calculos!$B$36:$S$52,IF(A269&lt;=Calculos!$B$4,A269,A269-Calculos!$B$4),MOD(265-1,Calculos!$B$6)+1),INDEX(Calculos!$B$36:$S$52,IF(A269&lt;=Calculos!$B$4,A269,A269-Calculos!$B$4),Calculos!$B$2+1-MOD(265-1,Calculos!$B$6)+1)))))</f>
        <v/>
      </c>
      <c r="G269" s="9" t="str">
        <f t="shared" si="28"/>
        <v/>
      </c>
      <c r="H269" s="9" t="str">
        <f>IF(OR(C269="",F269=""),"",IF(AND(ISNUMBER(D269),ISNUMBER(E269)),IF(D269&gt;E269,Inicio!$E$6,IF(D269=E269,Inicio!$F$6,Inicio!$G$6)),""))</f>
        <v/>
      </c>
      <c r="I269" s="9" t="str">
        <f>IF(OR(C269="",F269=""),"",IF(AND(ISNUMBER(D269),ISNUMBER(E269)),IF(D269&lt;E269,Inicio!$E$6,IF(D269=E269,Inicio!$F$6,Inicio!$G$6)),""))</f>
        <v/>
      </c>
      <c r="J269" s="9">
        <f t="shared" si="29"/>
        <v>0</v>
      </c>
      <c r="K269" s="9">
        <f t="shared" si="30"/>
        <v>0</v>
      </c>
      <c r="L269" s="9">
        <f t="shared" si="31"/>
        <v>0</v>
      </c>
      <c r="M269" s="9">
        <f t="shared" si="32"/>
        <v>0</v>
      </c>
      <c r="N269" s="9">
        <f t="shared" si="33"/>
        <v>0</v>
      </c>
      <c r="O269" s="9">
        <f t="shared" si="34"/>
        <v>0</v>
      </c>
    </row>
    <row r="270" spans="1:15" x14ac:dyDescent="0.25">
      <c r="A270" s="9" t="str">
        <f>IF(OR(Calculos!$B$7=0,266&gt;Calculos!$B$7),"",INT((266-1)/Calculos!$B$6)+1)</f>
        <v/>
      </c>
      <c r="B270" s="10" t="str">
        <f>IF(A270="","",Inicio!$E$5+(A270-1)*Inicio!$B$6)</f>
        <v/>
      </c>
      <c r="C270" s="11" t="str">
        <f>IF(A270="","",INDEX(Calculos!$B$11:$B$28,IF(A270&gt;Calculos!$B$4,IF(MOD(IF(A270&lt;=Calculos!$B$4,A270,A270-Calculos!$B$4)+MOD(266-1,Calculos!$B$6)+1,2)=0,INDEX(Calculos!$B$36:$S$52,IF(A270&lt;=Calculos!$B$4,A270,A270-Calculos!$B$4),MOD(266-1,Calculos!$B$6)+1),INDEX(Calculos!$B$36:$S$52,IF(A270&lt;=Calculos!$B$4,A270,A270-Calculos!$B$4),Calculos!$B$2+1-MOD(266-1,Calculos!$B$6)+1)),IF(MOD(IF(A270&lt;=Calculos!$B$4,A270,A270-Calculos!$B$4)+MOD(266-1,Calculos!$B$6)+1,2)=0,INDEX(Calculos!$B$36:$S$52,IF(A270&lt;=Calculos!$B$4,A270,A270-Calculos!$B$4),Calculos!$B$2+1-MOD(266-1,Calculos!$B$6)+1),INDEX(Calculos!$B$36:$S$52,IF(A270&lt;=Calculos!$B$4,A270,A270-Calculos!$B$4),MOD(266-1,Calculos!$B$6)+1)))))</f>
        <v/>
      </c>
      <c r="D270" s="4"/>
      <c r="E270" s="4"/>
      <c r="F270" s="11" t="str">
        <f>IF(A270="","",INDEX(Calculos!$B$11:$B$28,IF(A270&gt;Calculos!$B$4,IF(MOD(IF(A270&lt;=Calculos!$B$4,A270,A270-Calculos!$B$4)+MOD(266-1,Calculos!$B$6)+1,2)=0,INDEX(Calculos!$B$36:$S$52,IF(A270&lt;=Calculos!$B$4,A270,A270-Calculos!$B$4),Calculos!$B$2+1-MOD(266-1,Calculos!$B$6)+1),INDEX(Calculos!$B$36:$S$52,IF(A270&lt;=Calculos!$B$4,A270,A270-Calculos!$B$4),MOD(266-1,Calculos!$B$6)+1)),IF(MOD(IF(A270&lt;=Calculos!$B$4,A270,A270-Calculos!$B$4)+MOD(266-1,Calculos!$B$6)+1,2)=0,INDEX(Calculos!$B$36:$S$52,IF(A270&lt;=Calculos!$B$4,A270,A270-Calculos!$B$4),MOD(266-1,Calculos!$B$6)+1),INDEX(Calculos!$B$36:$S$52,IF(A270&lt;=Calculos!$B$4,A270,A270-Calculos!$B$4),Calculos!$B$2+1-MOD(266-1,Calculos!$B$6)+1)))))</f>
        <v/>
      </c>
      <c r="G270" s="9" t="str">
        <f t="shared" si="28"/>
        <v/>
      </c>
      <c r="H270" s="9" t="str">
        <f>IF(OR(C270="",F270=""),"",IF(AND(ISNUMBER(D270),ISNUMBER(E270)),IF(D270&gt;E270,Inicio!$E$6,IF(D270=E270,Inicio!$F$6,Inicio!$G$6)),""))</f>
        <v/>
      </c>
      <c r="I270" s="9" t="str">
        <f>IF(OR(C270="",F270=""),"",IF(AND(ISNUMBER(D270),ISNUMBER(E270)),IF(D270&lt;E270,Inicio!$E$6,IF(D270=E270,Inicio!$F$6,Inicio!$G$6)),""))</f>
        <v/>
      </c>
      <c r="J270" s="9">
        <f t="shared" si="29"/>
        <v>0</v>
      </c>
      <c r="K270" s="9">
        <f t="shared" si="30"/>
        <v>0</v>
      </c>
      <c r="L270" s="9">
        <f t="shared" si="31"/>
        <v>0</v>
      </c>
      <c r="M270" s="9">
        <f t="shared" si="32"/>
        <v>0</v>
      </c>
      <c r="N270" s="9">
        <f t="shared" si="33"/>
        <v>0</v>
      </c>
      <c r="O270" s="9">
        <f t="shared" si="34"/>
        <v>0</v>
      </c>
    </row>
    <row r="271" spans="1:15" x14ac:dyDescent="0.25">
      <c r="A271" s="9" t="str">
        <f>IF(OR(Calculos!$B$7=0,267&gt;Calculos!$B$7),"",INT((267-1)/Calculos!$B$6)+1)</f>
        <v/>
      </c>
      <c r="B271" s="10" t="str">
        <f>IF(A271="","",Inicio!$E$5+(A271-1)*Inicio!$B$6)</f>
        <v/>
      </c>
      <c r="C271" s="11" t="str">
        <f>IF(A271="","",INDEX(Calculos!$B$11:$B$28,IF(A271&gt;Calculos!$B$4,IF(MOD(IF(A271&lt;=Calculos!$B$4,A271,A271-Calculos!$B$4)+MOD(267-1,Calculos!$B$6)+1,2)=0,INDEX(Calculos!$B$36:$S$52,IF(A271&lt;=Calculos!$B$4,A271,A271-Calculos!$B$4),MOD(267-1,Calculos!$B$6)+1),INDEX(Calculos!$B$36:$S$52,IF(A271&lt;=Calculos!$B$4,A271,A271-Calculos!$B$4),Calculos!$B$2+1-MOD(267-1,Calculos!$B$6)+1)),IF(MOD(IF(A271&lt;=Calculos!$B$4,A271,A271-Calculos!$B$4)+MOD(267-1,Calculos!$B$6)+1,2)=0,INDEX(Calculos!$B$36:$S$52,IF(A271&lt;=Calculos!$B$4,A271,A271-Calculos!$B$4),Calculos!$B$2+1-MOD(267-1,Calculos!$B$6)+1),INDEX(Calculos!$B$36:$S$52,IF(A271&lt;=Calculos!$B$4,A271,A271-Calculos!$B$4),MOD(267-1,Calculos!$B$6)+1)))))</f>
        <v/>
      </c>
      <c r="D271" s="4"/>
      <c r="E271" s="4"/>
      <c r="F271" s="11" t="str">
        <f>IF(A271="","",INDEX(Calculos!$B$11:$B$28,IF(A271&gt;Calculos!$B$4,IF(MOD(IF(A271&lt;=Calculos!$B$4,A271,A271-Calculos!$B$4)+MOD(267-1,Calculos!$B$6)+1,2)=0,INDEX(Calculos!$B$36:$S$52,IF(A271&lt;=Calculos!$B$4,A271,A271-Calculos!$B$4),Calculos!$B$2+1-MOD(267-1,Calculos!$B$6)+1),INDEX(Calculos!$B$36:$S$52,IF(A271&lt;=Calculos!$B$4,A271,A271-Calculos!$B$4),MOD(267-1,Calculos!$B$6)+1)),IF(MOD(IF(A271&lt;=Calculos!$B$4,A271,A271-Calculos!$B$4)+MOD(267-1,Calculos!$B$6)+1,2)=0,INDEX(Calculos!$B$36:$S$52,IF(A271&lt;=Calculos!$B$4,A271,A271-Calculos!$B$4),MOD(267-1,Calculos!$B$6)+1),INDEX(Calculos!$B$36:$S$52,IF(A271&lt;=Calculos!$B$4,A271,A271-Calculos!$B$4),Calculos!$B$2+1-MOD(267-1,Calculos!$B$6)+1)))))</f>
        <v/>
      </c>
      <c r="G271" s="9" t="str">
        <f t="shared" si="28"/>
        <v/>
      </c>
      <c r="H271" s="9" t="str">
        <f>IF(OR(C271="",F271=""),"",IF(AND(ISNUMBER(D271),ISNUMBER(E271)),IF(D271&gt;E271,Inicio!$E$6,IF(D271=E271,Inicio!$F$6,Inicio!$G$6)),""))</f>
        <v/>
      </c>
      <c r="I271" s="9" t="str">
        <f>IF(OR(C271="",F271=""),"",IF(AND(ISNUMBER(D271),ISNUMBER(E271)),IF(D271&lt;E271,Inicio!$E$6,IF(D271=E271,Inicio!$F$6,Inicio!$G$6)),""))</f>
        <v/>
      </c>
      <c r="J271" s="9">
        <f t="shared" si="29"/>
        <v>0</v>
      </c>
      <c r="K271" s="9">
        <f t="shared" si="30"/>
        <v>0</v>
      </c>
      <c r="L271" s="9">
        <f t="shared" si="31"/>
        <v>0</v>
      </c>
      <c r="M271" s="9">
        <f t="shared" si="32"/>
        <v>0</v>
      </c>
      <c r="N271" s="9">
        <f t="shared" si="33"/>
        <v>0</v>
      </c>
      <c r="O271" s="9">
        <f t="shared" si="34"/>
        <v>0</v>
      </c>
    </row>
    <row r="272" spans="1:15" x14ac:dyDescent="0.25">
      <c r="A272" s="9" t="str">
        <f>IF(OR(Calculos!$B$7=0,268&gt;Calculos!$B$7),"",INT((268-1)/Calculos!$B$6)+1)</f>
        <v/>
      </c>
      <c r="B272" s="10" t="str">
        <f>IF(A272="","",Inicio!$E$5+(A272-1)*Inicio!$B$6)</f>
        <v/>
      </c>
      <c r="C272" s="11" t="str">
        <f>IF(A272="","",INDEX(Calculos!$B$11:$B$28,IF(A272&gt;Calculos!$B$4,IF(MOD(IF(A272&lt;=Calculos!$B$4,A272,A272-Calculos!$B$4)+MOD(268-1,Calculos!$B$6)+1,2)=0,INDEX(Calculos!$B$36:$S$52,IF(A272&lt;=Calculos!$B$4,A272,A272-Calculos!$B$4),MOD(268-1,Calculos!$B$6)+1),INDEX(Calculos!$B$36:$S$52,IF(A272&lt;=Calculos!$B$4,A272,A272-Calculos!$B$4),Calculos!$B$2+1-MOD(268-1,Calculos!$B$6)+1)),IF(MOD(IF(A272&lt;=Calculos!$B$4,A272,A272-Calculos!$B$4)+MOD(268-1,Calculos!$B$6)+1,2)=0,INDEX(Calculos!$B$36:$S$52,IF(A272&lt;=Calculos!$B$4,A272,A272-Calculos!$B$4),Calculos!$B$2+1-MOD(268-1,Calculos!$B$6)+1),INDEX(Calculos!$B$36:$S$52,IF(A272&lt;=Calculos!$B$4,A272,A272-Calculos!$B$4),MOD(268-1,Calculos!$B$6)+1)))))</f>
        <v/>
      </c>
      <c r="D272" s="4"/>
      <c r="E272" s="4"/>
      <c r="F272" s="11" t="str">
        <f>IF(A272="","",INDEX(Calculos!$B$11:$B$28,IF(A272&gt;Calculos!$B$4,IF(MOD(IF(A272&lt;=Calculos!$B$4,A272,A272-Calculos!$B$4)+MOD(268-1,Calculos!$B$6)+1,2)=0,INDEX(Calculos!$B$36:$S$52,IF(A272&lt;=Calculos!$B$4,A272,A272-Calculos!$B$4),Calculos!$B$2+1-MOD(268-1,Calculos!$B$6)+1),INDEX(Calculos!$B$36:$S$52,IF(A272&lt;=Calculos!$B$4,A272,A272-Calculos!$B$4),MOD(268-1,Calculos!$B$6)+1)),IF(MOD(IF(A272&lt;=Calculos!$B$4,A272,A272-Calculos!$B$4)+MOD(268-1,Calculos!$B$6)+1,2)=0,INDEX(Calculos!$B$36:$S$52,IF(A272&lt;=Calculos!$B$4,A272,A272-Calculos!$B$4),MOD(268-1,Calculos!$B$6)+1),INDEX(Calculos!$B$36:$S$52,IF(A272&lt;=Calculos!$B$4,A272,A272-Calculos!$B$4),Calculos!$B$2+1-MOD(268-1,Calculos!$B$6)+1)))))</f>
        <v/>
      </c>
      <c r="G272" s="9" t="str">
        <f t="shared" si="28"/>
        <v/>
      </c>
      <c r="H272" s="9" t="str">
        <f>IF(OR(C272="",F272=""),"",IF(AND(ISNUMBER(D272),ISNUMBER(E272)),IF(D272&gt;E272,Inicio!$E$6,IF(D272=E272,Inicio!$F$6,Inicio!$G$6)),""))</f>
        <v/>
      </c>
      <c r="I272" s="9" t="str">
        <f>IF(OR(C272="",F272=""),"",IF(AND(ISNUMBER(D272),ISNUMBER(E272)),IF(D272&lt;E272,Inicio!$E$6,IF(D272=E272,Inicio!$F$6,Inicio!$G$6)),""))</f>
        <v/>
      </c>
      <c r="J272" s="9">
        <f t="shared" si="29"/>
        <v>0</v>
      </c>
      <c r="K272" s="9">
        <f t="shared" si="30"/>
        <v>0</v>
      </c>
      <c r="L272" s="9">
        <f t="shared" si="31"/>
        <v>0</v>
      </c>
      <c r="M272" s="9">
        <f t="shared" si="32"/>
        <v>0</v>
      </c>
      <c r="N272" s="9">
        <f t="shared" si="33"/>
        <v>0</v>
      </c>
      <c r="O272" s="9">
        <f t="shared" si="34"/>
        <v>0</v>
      </c>
    </row>
    <row r="273" spans="1:15" x14ac:dyDescent="0.25">
      <c r="A273" s="9" t="str">
        <f>IF(OR(Calculos!$B$7=0,269&gt;Calculos!$B$7),"",INT((269-1)/Calculos!$B$6)+1)</f>
        <v/>
      </c>
      <c r="B273" s="10" t="str">
        <f>IF(A273="","",Inicio!$E$5+(A273-1)*Inicio!$B$6)</f>
        <v/>
      </c>
      <c r="C273" s="11" t="str">
        <f>IF(A273="","",INDEX(Calculos!$B$11:$B$28,IF(A273&gt;Calculos!$B$4,IF(MOD(IF(A273&lt;=Calculos!$B$4,A273,A273-Calculos!$B$4)+MOD(269-1,Calculos!$B$6)+1,2)=0,INDEX(Calculos!$B$36:$S$52,IF(A273&lt;=Calculos!$B$4,A273,A273-Calculos!$B$4),MOD(269-1,Calculos!$B$6)+1),INDEX(Calculos!$B$36:$S$52,IF(A273&lt;=Calculos!$B$4,A273,A273-Calculos!$B$4),Calculos!$B$2+1-MOD(269-1,Calculos!$B$6)+1)),IF(MOD(IF(A273&lt;=Calculos!$B$4,A273,A273-Calculos!$B$4)+MOD(269-1,Calculos!$B$6)+1,2)=0,INDEX(Calculos!$B$36:$S$52,IF(A273&lt;=Calculos!$B$4,A273,A273-Calculos!$B$4),Calculos!$B$2+1-MOD(269-1,Calculos!$B$6)+1),INDEX(Calculos!$B$36:$S$52,IF(A273&lt;=Calculos!$B$4,A273,A273-Calculos!$B$4),MOD(269-1,Calculos!$B$6)+1)))))</f>
        <v/>
      </c>
      <c r="D273" s="4"/>
      <c r="E273" s="4"/>
      <c r="F273" s="11" t="str">
        <f>IF(A273="","",INDEX(Calculos!$B$11:$B$28,IF(A273&gt;Calculos!$B$4,IF(MOD(IF(A273&lt;=Calculos!$B$4,A273,A273-Calculos!$B$4)+MOD(269-1,Calculos!$B$6)+1,2)=0,INDEX(Calculos!$B$36:$S$52,IF(A273&lt;=Calculos!$B$4,A273,A273-Calculos!$B$4),Calculos!$B$2+1-MOD(269-1,Calculos!$B$6)+1),INDEX(Calculos!$B$36:$S$52,IF(A273&lt;=Calculos!$B$4,A273,A273-Calculos!$B$4),MOD(269-1,Calculos!$B$6)+1)),IF(MOD(IF(A273&lt;=Calculos!$B$4,A273,A273-Calculos!$B$4)+MOD(269-1,Calculos!$B$6)+1,2)=0,INDEX(Calculos!$B$36:$S$52,IF(A273&lt;=Calculos!$B$4,A273,A273-Calculos!$B$4),MOD(269-1,Calculos!$B$6)+1),INDEX(Calculos!$B$36:$S$52,IF(A273&lt;=Calculos!$B$4,A273,A273-Calculos!$B$4),Calculos!$B$2+1-MOD(269-1,Calculos!$B$6)+1)))))</f>
        <v/>
      </c>
      <c r="G273" s="9" t="str">
        <f t="shared" si="28"/>
        <v/>
      </c>
      <c r="H273" s="9" t="str">
        <f>IF(OR(C273="",F273=""),"",IF(AND(ISNUMBER(D273),ISNUMBER(E273)),IF(D273&gt;E273,Inicio!$E$6,IF(D273=E273,Inicio!$F$6,Inicio!$G$6)),""))</f>
        <v/>
      </c>
      <c r="I273" s="9" t="str">
        <f>IF(OR(C273="",F273=""),"",IF(AND(ISNUMBER(D273),ISNUMBER(E273)),IF(D273&lt;E273,Inicio!$E$6,IF(D273=E273,Inicio!$F$6,Inicio!$G$6)),""))</f>
        <v/>
      </c>
      <c r="J273" s="9">
        <f t="shared" si="29"/>
        <v>0</v>
      </c>
      <c r="K273" s="9">
        <f t="shared" si="30"/>
        <v>0</v>
      </c>
      <c r="L273" s="9">
        <f t="shared" si="31"/>
        <v>0</v>
      </c>
      <c r="M273" s="9">
        <f t="shared" si="32"/>
        <v>0</v>
      </c>
      <c r="N273" s="9">
        <f t="shared" si="33"/>
        <v>0</v>
      </c>
      <c r="O273" s="9">
        <f t="shared" si="34"/>
        <v>0</v>
      </c>
    </row>
    <row r="274" spans="1:15" x14ac:dyDescent="0.25">
      <c r="A274" s="9" t="str">
        <f>IF(OR(Calculos!$B$7=0,270&gt;Calculos!$B$7),"",INT((270-1)/Calculos!$B$6)+1)</f>
        <v/>
      </c>
      <c r="B274" s="10" t="str">
        <f>IF(A274="","",Inicio!$E$5+(A274-1)*Inicio!$B$6)</f>
        <v/>
      </c>
      <c r="C274" s="11" t="str">
        <f>IF(A274="","",INDEX(Calculos!$B$11:$B$28,IF(A274&gt;Calculos!$B$4,IF(MOD(IF(A274&lt;=Calculos!$B$4,A274,A274-Calculos!$B$4)+MOD(270-1,Calculos!$B$6)+1,2)=0,INDEX(Calculos!$B$36:$S$52,IF(A274&lt;=Calculos!$B$4,A274,A274-Calculos!$B$4),MOD(270-1,Calculos!$B$6)+1),INDEX(Calculos!$B$36:$S$52,IF(A274&lt;=Calculos!$B$4,A274,A274-Calculos!$B$4),Calculos!$B$2+1-MOD(270-1,Calculos!$B$6)+1)),IF(MOD(IF(A274&lt;=Calculos!$B$4,A274,A274-Calculos!$B$4)+MOD(270-1,Calculos!$B$6)+1,2)=0,INDEX(Calculos!$B$36:$S$52,IF(A274&lt;=Calculos!$B$4,A274,A274-Calculos!$B$4),Calculos!$B$2+1-MOD(270-1,Calculos!$B$6)+1),INDEX(Calculos!$B$36:$S$52,IF(A274&lt;=Calculos!$B$4,A274,A274-Calculos!$B$4),MOD(270-1,Calculos!$B$6)+1)))))</f>
        <v/>
      </c>
      <c r="D274" s="4"/>
      <c r="E274" s="4"/>
      <c r="F274" s="11" t="str">
        <f>IF(A274="","",INDEX(Calculos!$B$11:$B$28,IF(A274&gt;Calculos!$B$4,IF(MOD(IF(A274&lt;=Calculos!$B$4,A274,A274-Calculos!$B$4)+MOD(270-1,Calculos!$B$6)+1,2)=0,INDEX(Calculos!$B$36:$S$52,IF(A274&lt;=Calculos!$B$4,A274,A274-Calculos!$B$4),Calculos!$B$2+1-MOD(270-1,Calculos!$B$6)+1),INDEX(Calculos!$B$36:$S$52,IF(A274&lt;=Calculos!$B$4,A274,A274-Calculos!$B$4),MOD(270-1,Calculos!$B$6)+1)),IF(MOD(IF(A274&lt;=Calculos!$B$4,A274,A274-Calculos!$B$4)+MOD(270-1,Calculos!$B$6)+1,2)=0,INDEX(Calculos!$B$36:$S$52,IF(A274&lt;=Calculos!$B$4,A274,A274-Calculos!$B$4),MOD(270-1,Calculos!$B$6)+1),INDEX(Calculos!$B$36:$S$52,IF(A274&lt;=Calculos!$B$4,A274,A274-Calculos!$B$4),Calculos!$B$2+1-MOD(270-1,Calculos!$B$6)+1)))))</f>
        <v/>
      </c>
      <c r="G274" s="9" t="str">
        <f t="shared" si="28"/>
        <v/>
      </c>
      <c r="H274" s="9" t="str">
        <f>IF(OR(C274="",F274=""),"",IF(AND(ISNUMBER(D274),ISNUMBER(E274)),IF(D274&gt;E274,Inicio!$E$6,IF(D274=E274,Inicio!$F$6,Inicio!$G$6)),""))</f>
        <v/>
      </c>
      <c r="I274" s="9" t="str">
        <f>IF(OR(C274="",F274=""),"",IF(AND(ISNUMBER(D274),ISNUMBER(E274)),IF(D274&lt;E274,Inicio!$E$6,IF(D274=E274,Inicio!$F$6,Inicio!$G$6)),""))</f>
        <v/>
      </c>
      <c r="J274" s="9">
        <f t="shared" si="29"/>
        <v>0</v>
      </c>
      <c r="K274" s="9">
        <f t="shared" si="30"/>
        <v>0</v>
      </c>
      <c r="L274" s="9">
        <f t="shared" si="31"/>
        <v>0</v>
      </c>
      <c r="M274" s="9">
        <f t="shared" si="32"/>
        <v>0</v>
      </c>
      <c r="N274" s="9">
        <f t="shared" si="33"/>
        <v>0</v>
      </c>
      <c r="O274" s="9">
        <f t="shared" si="34"/>
        <v>0</v>
      </c>
    </row>
    <row r="275" spans="1:15" x14ac:dyDescent="0.25">
      <c r="A275" s="9" t="str">
        <f>IF(OR(Calculos!$B$7=0,271&gt;Calculos!$B$7),"",INT((271-1)/Calculos!$B$6)+1)</f>
        <v/>
      </c>
      <c r="B275" s="10" t="str">
        <f>IF(A275="","",Inicio!$E$5+(A275-1)*Inicio!$B$6)</f>
        <v/>
      </c>
      <c r="C275" s="11" t="str">
        <f>IF(A275="","",INDEX(Calculos!$B$11:$B$28,IF(A275&gt;Calculos!$B$4,IF(MOD(IF(A275&lt;=Calculos!$B$4,A275,A275-Calculos!$B$4)+MOD(271-1,Calculos!$B$6)+1,2)=0,INDEX(Calculos!$B$36:$S$52,IF(A275&lt;=Calculos!$B$4,A275,A275-Calculos!$B$4),MOD(271-1,Calculos!$B$6)+1),INDEX(Calculos!$B$36:$S$52,IF(A275&lt;=Calculos!$B$4,A275,A275-Calculos!$B$4),Calculos!$B$2+1-MOD(271-1,Calculos!$B$6)+1)),IF(MOD(IF(A275&lt;=Calculos!$B$4,A275,A275-Calculos!$B$4)+MOD(271-1,Calculos!$B$6)+1,2)=0,INDEX(Calculos!$B$36:$S$52,IF(A275&lt;=Calculos!$B$4,A275,A275-Calculos!$B$4),Calculos!$B$2+1-MOD(271-1,Calculos!$B$6)+1),INDEX(Calculos!$B$36:$S$52,IF(A275&lt;=Calculos!$B$4,A275,A275-Calculos!$B$4),MOD(271-1,Calculos!$B$6)+1)))))</f>
        <v/>
      </c>
      <c r="D275" s="4"/>
      <c r="E275" s="4"/>
      <c r="F275" s="11" t="str">
        <f>IF(A275="","",INDEX(Calculos!$B$11:$B$28,IF(A275&gt;Calculos!$B$4,IF(MOD(IF(A275&lt;=Calculos!$B$4,A275,A275-Calculos!$B$4)+MOD(271-1,Calculos!$B$6)+1,2)=0,INDEX(Calculos!$B$36:$S$52,IF(A275&lt;=Calculos!$B$4,A275,A275-Calculos!$B$4),Calculos!$B$2+1-MOD(271-1,Calculos!$B$6)+1),INDEX(Calculos!$B$36:$S$52,IF(A275&lt;=Calculos!$B$4,A275,A275-Calculos!$B$4),MOD(271-1,Calculos!$B$6)+1)),IF(MOD(IF(A275&lt;=Calculos!$B$4,A275,A275-Calculos!$B$4)+MOD(271-1,Calculos!$B$6)+1,2)=0,INDEX(Calculos!$B$36:$S$52,IF(A275&lt;=Calculos!$B$4,A275,A275-Calculos!$B$4),MOD(271-1,Calculos!$B$6)+1),INDEX(Calculos!$B$36:$S$52,IF(A275&lt;=Calculos!$B$4,A275,A275-Calculos!$B$4),Calculos!$B$2+1-MOD(271-1,Calculos!$B$6)+1)))))</f>
        <v/>
      </c>
      <c r="G275" s="9" t="str">
        <f t="shared" si="28"/>
        <v/>
      </c>
      <c r="H275" s="9" t="str">
        <f>IF(OR(C275="",F275=""),"",IF(AND(ISNUMBER(D275),ISNUMBER(E275)),IF(D275&gt;E275,Inicio!$E$6,IF(D275=E275,Inicio!$F$6,Inicio!$G$6)),""))</f>
        <v/>
      </c>
      <c r="I275" s="9" t="str">
        <f>IF(OR(C275="",F275=""),"",IF(AND(ISNUMBER(D275),ISNUMBER(E275)),IF(D275&lt;E275,Inicio!$E$6,IF(D275=E275,Inicio!$F$6,Inicio!$G$6)),""))</f>
        <v/>
      </c>
      <c r="J275" s="9">
        <f t="shared" si="29"/>
        <v>0</v>
      </c>
      <c r="K275" s="9">
        <f t="shared" si="30"/>
        <v>0</v>
      </c>
      <c r="L275" s="9">
        <f t="shared" si="31"/>
        <v>0</v>
      </c>
      <c r="M275" s="9">
        <f t="shared" si="32"/>
        <v>0</v>
      </c>
      <c r="N275" s="9">
        <f t="shared" si="33"/>
        <v>0</v>
      </c>
      <c r="O275" s="9">
        <f t="shared" si="34"/>
        <v>0</v>
      </c>
    </row>
    <row r="276" spans="1:15" x14ac:dyDescent="0.25">
      <c r="A276" s="9" t="str">
        <f>IF(OR(Calculos!$B$7=0,272&gt;Calculos!$B$7),"",INT((272-1)/Calculos!$B$6)+1)</f>
        <v/>
      </c>
      <c r="B276" s="10" t="str">
        <f>IF(A276="","",Inicio!$E$5+(A276-1)*Inicio!$B$6)</f>
        <v/>
      </c>
      <c r="C276" s="11" t="str">
        <f>IF(A276="","",INDEX(Calculos!$B$11:$B$28,IF(A276&gt;Calculos!$B$4,IF(MOD(IF(A276&lt;=Calculos!$B$4,A276,A276-Calculos!$B$4)+MOD(272-1,Calculos!$B$6)+1,2)=0,INDEX(Calculos!$B$36:$S$52,IF(A276&lt;=Calculos!$B$4,A276,A276-Calculos!$B$4),MOD(272-1,Calculos!$B$6)+1),INDEX(Calculos!$B$36:$S$52,IF(A276&lt;=Calculos!$B$4,A276,A276-Calculos!$B$4),Calculos!$B$2+1-MOD(272-1,Calculos!$B$6)+1)),IF(MOD(IF(A276&lt;=Calculos!$B$4,A276,A276-Calculos!$B$4)+MOD(272-1,Calculos!$B$6)+1,2)=0,INDEX(Calculos!$B$36:$S$52,IF(A276&lt;=Calculos!$B$4,A276,A276-Calculos!$B$4),Calculos!$B$2+1-MOD(272-1,Calculos!$B$6)+1),INDEX(Calculos!$B$36:$S$52,IF(A276&lt;=Calculos!$B$4,A276,A276-Calculos!$B$4),MOD(272-1,Calculos!$B$6)+1)))))</f>
        <v/>
      </c>
      <c r="D276" s="4"/>
      <c r="E276" s="4"/>
      <c r="F276" s="11" t="str">
        <f>IF(A276="","",INDEX(Calculos!$B$11:$B$28,IF(A276&gt;Calculos!$B$4,IF(MOD(IF(A276&lt;=Calculos!$B$4,A276,A276-Calculos!$B$4)+MOD(272-1,Calculos!$B$6)+1,2)=0,INDEX(Calculos!$B$36:$S$52,IF(A276&lt;=Calculos!$B$4,A276,A276-Calculos!$B$4),Calculos!$B$2+1-MOD(272-1,Calculos!$B$6)+1),INDEX(Calculos!$B$36:$S$52,IF(A276&lt;=Calculos!$B$4,A276,A276-Calculos!$B$4),MOD(272-1,Calculos!$B$6)+1)),IF(MOD(IF(A276&lt;=Calculos!$B$4,A276,A276-Calculos!$B$4)+MOD(272-1,Calculos!$B$6)+1,2)=0,INDEX(Calculos!$B$36:$S$52,IF(A276&lt;=Calculos!$B$4,A276,A276-Calculos!$B$4),MOD(272-1,Calculos!$B$6)+1),INDEX(Calculos!$B$36:$S$52,IF(A276&lt;=Calculos!$B$4,A276,A276-Calculos!$B$4),Calculos!$B$2+1-MOD(272-1,Calculos!$B$6)+1)))))</f>
        <v/>
      </c>
      <c r="G276" s="9" t="str">
        <f t="shared" si="28"/>
        <v/>
      </c>
      <c r="H276" s="9" t="str">
        <f>IF(OR(C276="",F276=""),"",IF(AND(ISNUMBER(D276),ISNUMBER(E276)),IF(D276&gt;E276,Inicio!$E$6,IF(D276=E276,Inicio!$F$6,Inicio!$G$6)),""))</f>
        <v/>
      </c>
      <c r="I276" s="9" t="str">
        <f>IF(OR(C276="",F276=""),"",IF(AND(ISNUMBER(D276),ISNUMBER(E276)),IF(D276&lt;E276,Inicio!$E$6,IF(D276=E276,Inicio!$F$6,Inicio!$G$6)),""))</f>
        <v/>
      </c>
      <c r="J276" s="9">
        <f t="shared" si="29"/>
        <v>0</v>
      </c>
      <c r="K276" s="9">
        <f t="shared" si="30"/>
        <v>0</v>
      </c>
      <c r="L276" s="9">
        <f t="shared" si="31"/>
        <v>0</v>
      </c>
      <c r="M276" s="9">
        <f t="shared" si="32"/>
        <v>0</v>
      </c>
      <c r="N276" s="9">
        <f t="shared" si="33"/>
        <v>0</v>
      </c>
      <c r="O276" s="9">
        <f t="shared" si="34"/>
        <v>0</v>
      </c>
    </row>
    <row r="277" spans="1:15" x14ac:dyDescent="0.25">
      <c r="A277" s="9" t="str">
        <f>IF(OR(Calculos!$B$7=0,273&gt;Calculos!$B$7),"",INT((273-1)/Calculos!$B$6)+1)</f>
        <v/>
      </c>
      <c r="B277" s="10" t="str">
        <f>IF(A277="","",Inicio!$E$5+(A277-1)*Inicio!$B$6)</f>
        <v/>
      </c>
      <c r="C277" s="11" t="str">
        <f>IF(A277="","",INDEX(Calculos!$B$11:$B$28,IF(A277&gt;Calculos!$B$4,IF(MOD(IF(A277&lt;=Calculos!$B$4,A277,A277-Calculos!$B$4)+MOD(273-1,Calculos!$B$6)+1,2)=0,INDEX(Calculos!$B$36:$S$52,IF(A277&lt;=Calculos!$B$4,A277,A277-Calculos!$B$4),MOD(273-1,Calculos!$B$6)+1),INDEX(Calculos!$B$36:$S$52,IF(A277&lt;=Calculos!$B$4,A277,A277-Calculos!$B$4),Calculos!$B$2+1-MOD(273-1,Calculos!$B$6)+1)),IF(MOD(IF(A277&lt;=Calculos!$B$4,A277,A277-Calculos!$B$4)+MOD(273-1,Calculos!$B$6)+1,2)=0,INDEX(Calculos!$B$36:$S$52,IF(A277&lt;=Calculos!$B$4,A277,A277-Calculos!$B$4),Calculos!$B$2+1-MOD(273-1,Calculos!$B$6)+1),INDEX(Calculos!$B$36:$S$52,IF(A277&lt;=Calculos!$B$4,A277,A277-Calculos!$B$4),MOD(273-1,Calculos!$B$6)+1)))))</f>
        <v/>
      </c>
      <c r="D277" s="4"/>
      <c r="E277" s="4"/>
      <c r="F277" s="11" t="str">
        <f>IF(A277="","",INDEX(Calculos!$B$11:$B$28,IF(A277&gt;Calculos!$B$4,IF(MOD(IF(A277&lt;=Calculos!$B$4,A277,A277-Calculos!$B$4)+MOD(273-1,Calculos!$B$6)+1,2)=0,INDEX(Calculos!$B$36:$S$52,IF(A277&lt;=Calculos!$B$4,A277,A277-Calculos!$B$4),Calculos!$B$2+1-MOD(273-1,Calculos!$B$6)+1),INDEX(Calculos!$B$36:$S$52,IF(A277&lt;=Calculos!$B$4,A277,A277-Calculos!$B$4),MOD(273-1,Calculos!$B$6)+1)),IF(MOD(IF(A277&lt;=Calculos!$B$4,A277,A277-Calculos!$B$4)+MOD(273-1,Calculos!$B$6)+1,2)=0,INDEX(Calculos!$B$36:$S$52,IF(A277&lt;=Calculos!$B$4,A277,A277-Calculos!$B$4),MOD(273-1,Calculos!$B$6)+1),INDEX(Calculos!$B$36:$S$52,IF(A277&lt;=Calculos!$B$4,A277,A277-Calculos!$B$4),Calculos!$B$2+1-MOD(273-1,Calculos!$B$6)+1)))))</f>
        <v/>
      </c>
      <c r="G277" s="9" t="str">
        <f t="shared" si="28"/>
        <v/>
      </c>
      <c r="H277" s="9" t="str">
        <f>IF(OR(C277="",F277=""),"",IF(AND(ISNUMBER(D277),ISNUMBER(E277)),IF(D277&gt;E277,Inicio!$E$6,IF(D277=E277,Inicio!$F$6,Inicio!$G$6)),""))</f>
        <v/>
      </c>
      <c r="I277" s="9" t="str">
        <f>IF(OR(C277="",F277=""),"",IF(AND(ISNUMBER(D277),ISNUMBER(E277)),IF(D277&lt;E277,Inicio!$E$6,IF(D277=E277,Inicio!$F$6,Inicio!$G$6)),""))</f>
        <v/>
      </c>
      <c r="J277" s="9">
        <f t="shared" si="29"/>
        <v>0</v>
      </c>
      <c r="K277" s="9">
        <f t="shared" si="30"/>
        <v>0</v>
      </c>
      <c r="L277" s="9">
        <f t="shared" si="31"/>
        <v>0</v>
      </c>
      <c r="M277" s="9">
        <f t="shared" si="32"/>
        <v>0</v>
      </c>
      <c r="N277" s="9">
        <f t="shared" si="33"/>
        <v>0</v>
      </c>
      <c r="O277" s="9">
        <f t="shared" si="34"/>
        <v>0</v>
      </c>
    </row>
    <row r="278" spans="1:15" x14ac:dyDescent="0.25">
      <c r="A278" s="9" t="str">
        <f>IF(OR(Calculos!$B$7=0,274&gt;Calculos!$B$7),"",INT((274-1)/Calculos!$B$6)+1)</f>
        <v/>
      </c>
      <c r="B278" s="10" t="str">
        <f>IF(A278="","",Inicio!$E$5+(A278-1)*Inicio!$B$6)</f>
        <v/>
      </c>
      <c r="C278" s="11" t="str">
        <f>IF(A278="","",INDEX(Calculos!$B$11:$B$28,IF(A278&gt;Calculos!$B$4,IF(MOD(IF(A278&lt;=Calculos!$B$4,A278,A278-Calculos!$B$4)+MOD(274-1,Calculos!$B$6)+1,2)=0,INDEX(Calculos!$B$36:$S$52,IF(A278&lt;=Calculos!$B$4,A278,A278-Calculos!$B$4),MOD(274-1,Calculos!$B$6)+1),INDEX(Calculos!$B$36:$S$52,IF(A278&lt;=Calculos!$B$4,A278,A278-Calculos!$B$4),Calculos!$B$2+1-MOD(274-1,Calculos!$B$6)+1)),IF(MOD(IF(A278&lt;=Calculos!$B$4,A278,A278-Calculos!$B$4)+MOD(274-1,Calculos!$B$6)+1,2)=0,INDEX(Calculos!$B$36:$S$52,IF(A278&lt;=Calculos!$B$4,A278,A278-Calculos!$B$4),Calculos!$B$2+1-MOD(274-1,Calculos!$B$6)+1),INDEX(Calculos!$B$36:$S$52,IF(A278&lt;=Calculos!$B$4,A278,A278-Calculos!$B$4),MOD(274-1,Calculos!$B$6)+1)))))</f>
        <v/>
      </c>
      <c r="D278" s="4"/>
      <c r="E278" s="4"/>
      <c r="F278" s="11" t="str">
        <f>IF(A278="","",INDEX(Calculos!$B$11:$B$28,IF(A278&gt;Calculos!$B$4,IF(MOD(IF(A278&lt;=Calculos!$B$4,A278,A278-Calculos!$B$4)+MOD(274-1,Calculos!$B$6)+1,2)=0,INDEX(Calculos!$B$36:$S$52,IF(A278&lt;=Calculos!$B$4,A278,A278-Calculos!$B$4),Calculos!$B$2+1-MOD(274-1,Calculos!$B$6)+1),INDEX(Calculos!$B$36:$S$52,IF(A278&lt;=Calculos!$B$4,A278,A278-Calculos!$B$4),MOD(274-1,Calculos!$B$6)+1)),IF(MOD(IF(A278&lt;=Calculos!$B$4,A278,A278-Calculos!$B$4)+MOD(274-1,Calculos!$B$6)+1,2)=0,INDEX(Calculos!$B$36:$S$52,IF(A278&lt;=Calculos!$B$4,A278,A278-Calculos!$B$4),MOD(274-1,Calculos!$B$6)+1),INDEX(Calculos!$B$36:$S$52,IF(A278&lt;=Calculos!$B$4,A278,A278-Calculos!$B$4),Calculos!$B$2+1-MOD(274-1,Calculos!$B$6)+1)))))</f>
        <v/>
      </c>
      <c r="G278" s="9" t="str">
        <f t="shared" si="28"/>
        <v/>
      </c>
      <c r="H278" s="9" t="str">
        <f>IF(OR(C278="",F278=""),"",IF(AND(ISNUMBER(D278),ISNUMBER(E278)),IF(D278&gt;E278,Inicio!$E$6,IF(D278=E278,Inicio!$F$6,Inicio!$G$6)),""))</f>
        <v/>
      </c>
      <c r="I278" s="9" t="str">
        <f>IF(OR(C278="",F278=""),"",IF(AND(ISNUMBER(D278),ISNUMBER(E278)),IF(D278&lt;E278,Inicio!$E$6,IF(D278=E278,Inicio!$F$6,Inicio!$G$6)),""))</f>
        <v/>
      </c>
      <c r="J278" s="9">
        <f t="shared" si="29"/>
        <v>0</v>
      </c>
      <c r="K278" s="9">
        <f t="shared" si="30"/>
        <v>0</v>
      </c>
      <c r="L278" s="9">
        <f t="shared" si="31"/>
        <v>0</v>
      </c>
      <c r="M278" s="9">
        <f t="shared" si="32"/>
        <v>0</v>
      </c>
      <c r="N278" s="9">
        <f t="shared" si="33"/>
        <v>0</v>
      </c>
      <c r="O278" s="9">
        <f t="shared" si="34"/>
        <v>0</v>
      </c>
    </row>
    <row r="279" spans="1:15" x14ac:dyDescent="0.25">
      <c r="A279" s="9" t="str">
        <f>IF(OR(Calculos!$B$7=0,275&gt;Calculos!$B$7),"",INT((275-1)/Calculos!$B$6)+1)</f>
        <v/>
      </c>
      <c r="B279" s="10" t="str">
        <f>IF(A279="","",Inicio!$E$5+(A279-1)*Inicio!$B$6)</f>
        <v/>
      </c>
      <c r="C279" s="11" t="str">
        <f>IF(A279="","",INDEX(Calculos!$B$11:$B$28,IF(A279&gt;Calculos!$B$4,IF(MOD(IF(A279&lt;=Calculos!$B$4,A279,A279-Calculos!$B$4)+MOD(275-1,Calculos!$B$6)+1,2)=0,INDEX(Calculos!$B$36:$S$52,IF(A279&lt;=Calculos!$B$4,A279,A279-Calculos!$B$4),MOD(275-1,Calculos!$B$6)+1),INDEX(Calculos!$B$36:$S$52,IF(A279&lt;=Calculos!$B$4,A279,A279-Calculos!$B$4),Calculos!$B$2+1-MOD(275-1,Calculos!$B$6)+1)),IF(MOD(IF(A279&lt;=Calculos!$B$4,A279,A279-Calculos!$B$4)+MOD(275-1,Calculos!$B$6)+1,2)=0,INDEX(Calculos!$B$36:$S$52,IF(A279&lt;=Calculos!$B$4,A279,A279-Calculos!$B$4),Calculos!$B$2+1-MOD(275-1,Calculos!$B$6)+1),INDEX(Calculos!$B$36:$S$52,IF(A279&lt;=Calculos!$B$4,A279,A279-Calculos!$B$4),MOD(275-1,Calculos!$B$6)+1)))))</f>
        <v/>
      </c>
      <c r="D279" s="4"/>
      <c r="E279" s="4"/>
      <c r="F279" s="11" t="str">
        <f>IF(A279="","",INDEX(Calculos!$B$11:$B$28,IF(A279&gt;Calculos!$B$4,IF(MOD(IF(A279&lt;=Calculos!$B$4,A279,A279-Calculos!$B$4)+MOD(275-1,Calculos!$B$6)+1,2)=0,INDEX(Calculos!$B$36:$S$52,IF(A279&lt;=Calculos!$B$4,A279,A279-Calculos!$B$4),Calculos!$B$2+1-MOD(275-1,Calculos!$B$6)+1),INDEX(Calculos!$B$36:$S$52,IF(A279&lt;=Calculos!$B$4,A279,A279-Calculos!$B$4),MOD(275-1,Calculos!$B$6)+1)),IF(MOD(IF(A279&lt;=Calculos!$B$4,A279,A279-Calculos!$B$4)+MOD(275-1,Calculos!$B$6)+1,2)=0,INDEX(Calculos!$B$36:$S$52,IF(A279&lt;=Calculos!$B$4,A279,A279-Calculos!$B$4),MOD(275-1,Calculos!$B$6)+1),INDEX(Calculos!$B$36:$S$52,IF(A279&lt;=Calculos!$B$4,A279,A279-Calculos!$B$4),Calculos!$B$2+1-MOD(275-1,Calculos!$B$6)+1)))))</f>
        <v/>
      </c>
      <c r="G279" s="9" t="str">
        <f t="shared" si="28"/>
        <v/>
      </c>
      <c r="H279" s="9" t="str">
        <f>IF(OR(C279="",F279=""),"",IF(AND(ISNUMBER(D279),ISNUMBER(E279)),IF(D279&gt;E279,Inicio!$E$6,IF(D279=E279,Inicio!$F$6,Inicio!$G$6)),""))</f>
        <v/>
      </c>
      <c r="I279" s="9" t="str">
        <f>IF(OR(C279="",F279=""),"",IF(AND(ISNUMBER(D279),ISNUMBER(E279)),IF(D279&lt;E279,Inicio!$E$6,IF(D279=E279,Inicio!$F$6,Inicio!$G$6)),""))</f>
        <v/>
      </c>
      <c r="J279" s="9">
        <f t="shared" si="29"/>
        <v>0</v>
      </c>
      <c r="K279" s="9">
        <f t="shared" si="30"/>
        <v>0</v>
      </c>
      <c r="L279" s="9">
        <f t="shared" si="31"/>
        <v>0</v>
      </c>
      <c r="M279" s="9">
        <f t="shared" si="32"/>
        <v>0</v>
      </c>
      <c r="N279" s="9">
        <f t="shared" si="33"/>
        <v>0</v>
      </c>
      <c r="O279" s="9">
        <f t="shared" si="34"/>
        <v>0</v>
      </c>
    </row>
    <row r="280" spans="1:15" x14ac:dyDescent="0.25">
      <c r="A280" s="9" t="str">
        <f>IF(OR(Calculos!$B$7=0,276&gt;Calculos!$B$7),"",INT((276-1)/Calculos!$B$6)+1)</f>
        <v/>
      </c>
      <c r="B280" s="10" t="str">
        <f>IF(A280="","",Inicio!$E$5+(A280-1)*Inicio!$B$6)</f>
        <v/>
      </c>
      <c r="C280" s="11" t="str">
        <f>IF(A280="","",INDEX(Calculos!$B$11:$B$28,IF(A280&gt;Calculos!$B$4,IF(MOD(IF(A280&lt;=Calculos!$B$4,A280,A280-Calculos!$B$4)+MOD(276-1,Calculos!$B$6)+1,2)=0,INDEX(Calculos!$B$36:$S$52,IF(A280&lt;=Calculos!$B$4,A280,A280-Calculos!$B$4),MOD(276-1,Calculos!$B$6)+1),INDEX(Calculos!$B$36:$S$52,IF(A280&lt;=Calculos!$B$4,A280,A280-Calculos!$B$4),Calculos!$B$2+1-MOD(276-1,Calculos!$B$6)+1)),IF(MOD(IF(A280&lt;=Calculos!$B$4,A280,A280-Calculos!$B$4)+MOD(276-1,Calculos!$B$6)+1,2)=0,INDEX(Calculos!$B$36:$S$52,IF(A280&lt;=Calculos!$B$4,A280,A280-Calculos!$B$4),Calculos!$B$2+1-MOD(276-1,Calculos!$B$6)+1),INDEX(Calculos!$B$36:$S$52,IF(A280&lt;=Calculos!$B$4,A280,A280-Calculos!$B$4),MOD(276-1,Calculos!$B$6)+1)))))</f>
        <v/>
      </c>
      <c r="D280" s="4"/>
      <c r="E280" s="4"/>
      <c r="F280" s="11" t="str">
        <f>IF(A280="","",INDEX(Calculos!$B$11:$B$28,IF(A280&gt;Calculos!$B$4,IF(MOD(IF(A280&lt;=Calculos!$B$4,A280,A280-Calculos!$B$4)+MOD(276-1,Calculos!$B$6)+1,2)=0,INDEX(Calculos!$B$36:$S$52,IF(A280&lt;=Calculos!$B$4,A280,A280-Calculos!$B$4),Calculos!$B$2+1-MOD(276-1,Calculos!$B$6)+1),INDEX(Calculos!$B$36:$S$52,IF(A280&lt;=Calculos!$B$4,A280,A280-Calculos!$B$4),MOD(276-1,Calculos!$B$6)+1)),IF(MOD(IF(A280&lt;=Calculos!$B$4,A280,A280-Calculos!$B$4)+MOD(276-1,Calculos!$B$6)+1,2)=0,INDEX(Calculos!$B$36:$S$52,IF(A280&lt;=Calculos!$B$4,A280,A280-Calculos!$B$4),MOD(276-1,Calculos!$B$6)+1),INDEX(Calculos!$B$36:$S$52,IF(A280&lt;=Calculos!$B$4,A280,A280-Calculos!$B$4),Calculos!$B$2+1-MOD(276-1,Calculos!$B$6)+1)))))</f>
        <v/>
      </c>
      <c r="G280" s="9" t="str">
        <f t="shared" si="28"/>
        <v/>
      </c>
      <c r="H280" s="9" t="str">
        <f>IF(OR(C280="",F280=""),"",IF(AND(ISNUMBER(D280),ISNUMBER(E280)),IF(D280&gt;E280,Inicio!$E$6,IF(D280=E280,Inicio!$F$6,Inicio!$G$6)),""))</f>
        <v/>
      </c>
      <c r="I280" s="9" t="str">
        <f>IF(OR(C280="",F280=""),"",IF(AND(ISNUMBER(D280),ISNUMBER(E280)),IF(D280&lt;E280,Inicio!$E$6,IF(D280=E280,Inicio!$F$6,Inicio!$G$6)),""))</f>
        <v/>
      </c>
      <c r="J280" s="9">
        <f t="shared" si="29"/>
        <v>0</v>
      </c>
      <c r="K280" s="9">
        <f t="shared" si="30"/>
        <v>0</v>
      </c>
      <c r="L280" s="9">
        <f t="shared" si="31"/>
        <v>0</v>
      </c>
      <c r="M280" s="9">
        <f t="shared" si="32"/>
        <v>0</v>
      </c>
      <c r="N280" s="9">
        <f t="shared" si="33"/>
        <v>0</v>
      </c>
      <c r="O280" s="9">
        <f t="shared" si="34"/>
        <v>0</v>
      </c>
    </row>
    <row r="281" spans="1:15" x14ac:dyDescent="0.25">
      <c r="A281" s="9" t="str">
        <f>IF(OR(Calculos!$B$7=0,277&gt;Calculos!$B$7),"",INT((277-1)/Calculos!$B$6)+1)</f>
        <v/>
      </c>
      <c r="B281" s="10" t="str">
        <f>IF(A281="","",Inicio!$E$5+(A281-1)*Inicio!$B$6)</f>
        <v/>
      </c>
      <c r="C281" s="11" t="str">
        <f>IF(A281="","",INDEX(Calculos!$B$11:$B$28,IF(A281&gt;Calculos!$B$4,IF(MOD(IF(A281&lt;=Calculos!$B$4,A281,A281-Calculos!$B$4)+MOD(277-1,Calculos!$B$6)+1,2)=0,INDEX(Calculos!$B$36:$S$52,IF(A281&lt;=Calculos!$B$4,A281,A281-Calculos!$B$4),MOD(277-1,Calculos!$B$6)+1),INDEX(Calculos!$B$36:$S$52,IF(A281&lt;=Calculos!$B$4,A281,A281-Calculos!$B$4),Calculos!$B$2+1-MOD(277-1,Calculos!$B$6)+1)),IF(MOD(IF(A281&lt;=Calculos!$B$4,A281,A281-Calculos!$B$4)+MOD(277-1,Calculos!$B$6)+1,2)=0,INDEX(Calculos!$B$36:$S$52,IF(A281&lt;=Calculos!$B$4,A281,A281-Calculos!$B$4),Calculos!$B$2+1-MOD(277-1,Calculos!$B$6)+1),INDEX(Calculos!$B$36:$S$52,IF(A281&lt;=Calculos!$B$4,A281,A281-Calculos!$B$4),MOD(277-1,Calculos!$B$6)+1)))))</f>
        <v/>
      </c>
      <c r="D281" s="4"/>
      <c r="E281" s="4"/>
      <c r="F281" s="11" t="str">
        <f>IF(A281="","",INDEX(Calculos!$B$11:$B$28,IF(A281&gt;Calculos!$B$4,IF(MOD(IF(A281&lt;=Calculos!$B$4,A281,A281-Calculos!$B$4)+MOD(277-1,Calculos!$B$6)+1,2)=0,INDEX(Calculos!$B$36:$S$52,IF(A281&lt;=Calculos!$B$4,A281,A281-Calculos!$B$4),Calculos!$B$2+1-MOD(277-1,Calculos!$B$6)+1),INDEX(Calculos!$B$36:$S$52,IF(A281&lt;=Calculos!$B$4,A281,A281-Calculos!$B$4),MOD(277-1,Calculos!$B$6)+1)),IF(MOD(IF(A281&lt;=Calculos!$B$4,A281,A281-Calculos!$B$4)+MOD(277-1,Calculos!$B$6)+1,2)=0,INDEX(Calculos!$B$36:$S$52,IF(A281&lt;=Calculos!$B$4,A281,A281-Calculos!$B$4),MOD(277-1,Calculos!$B$6)+1),INDEX(Calculos!$B$36:$S$52,IF(A281&lt;=Calculos!$B$4,A281,A281-Calculos!$B$4),Calculos!$B$2+1-MOD(277-1,Calculos!$B$6)+1)))))</f>
        <v/>
      </c>
      <c r="G281" s="9" t="str">
        <f t="shared" si="28"/>
        <v/>
      </c>
      <c r="H281" s="9" t="str">
        <f>IF(OR(C281="",F281=""),"",IF(AND(ISNUMBER(D281),ISNUMBER(E281)),IF(D281&gt;E281,Inicio!$E$6,IF(D281=E281,Inicio!$F$6,Inicio!$G$6)),""))</f>
        <v/>
      </c>
      <c r="I281" s="9" t="str">
        <f>IF(OR(C281="",F281=""),"",IF(AND(ISNUMBER(D281),ISNUMBER(E281)),IF(D281&lt;E281,Inicio!$E$6,IF(D281=E281,Inicio!$F$6,Inicio!$G$6)),""))</f>
        <v/>
      </c>
      <c r="J281" s="9">
        <f t="shared" si="29"/>
        <v>0</v>
      </c>
      <c r="K281" s="9">
        <f t="shared" si="30"/>
        <v>0</v>
      </c>
      <c r="L281" s="9">
        <f t="shared" si="31"/>
        <v>0</v>
      </c>
      <c r="M281" s="9">
        <f t="shared" si="32"/>
        <v>0</v>
      </c>
      <c r="N281" s="9">
        <f t="shared" si="33"/>
        <v>0</v>
      </c>
      <c r="O281" s="9">
        <f t="shared" si="34"/>
        <v>0</v>
      </c>
    </row>
    <row r="282" spans="1:15" x14ac:dyDescent="0.25">
      <c r="A282" s="9" t="str">
        <f>IF(OR(Calculos!$B$7=0,278&gt;Calculos!$B$7),"",INT((278-1)/Calculos!$B$6)+1)</f>
        <v/>
      </c>
      <c r="B282" s="10" t="str">
        <f>IF(A282="","",Inicio!$E$5+(A282-1)*Inicio!$B$6)</f>
        <v/>
      </c>
      <c r="C282" s="11" t="str">
        <f>IF(A282="","",INDEX(Calculos!$B$11:$B$28,IF(A282&gt;Calculos!$B$4,IF(MOD(IF(A282&lt;=Calculos!$B$4,A282,A282-Calculos!$B$4)+MOD(278-1,Calculos!$B$6)+1,2)=0,INDEX(Calculos!$B$36:$S$52,IF(A282&lt;=Calculos!$B$4,A282,A282-Calculos!$B$4),MOD(278-1,Calculos!$B$6)+1),INDEX(Calculos!$B$36:$S$52,IF(A282&lt;=Calculos!$B$4,A282,A282-Calculos!$B$4),Calculos!$B$2+1-MOD(278-1,Calculos!$B$6)+1)),IF(MOD(IF(A282&lt;=Calculos!$B$4,A282,A282-Calculos!$B$4)+MOD(278-1,Calculos!$B$6)+1,2)=0,INDEX(Calculos!$B$36:$S$52,IF(A282&lt;=Calculos!$B$4,A282,A282-Calculos!$B$4),Calculos!$B$2+1-MOD(278-1,Calculos!$B$6)+1),INDEX(Calculos!$B$36:$S$52,IF(A282&lt;=Calculos!$B$4,A282,A282-Calculos!$B$4),MOD(278-1,Calculos!$B$6)+1)))))</f>
        <v/>
      </c>
      <c r="D282" s="4"/>
      <c r="E282" s="4"/>
      <c r="F282" s="11" t="str">
        <f>IF(A282="","",INDEX(Calculos!$B$11:$B$28,IF(A282&gt;Calculos!$B$4,IF(MOD(IF(A282&lt;=Calculos!$B$4,A282,A282-Calculos!$B$4)+MOD(278-1,Calculos!$B$6)+1,2)=0,INDEX(Calculos!$B$36:$S$52,IF(A282&lt;=Calculos!$B$4,A282,A282-Calculos!$B$4),Calculos!$B$2+1-MOD(278-1,Calculos!$B$6)+1),INDEX(Calculos!$B$36:$S$52,IF(A282&lt;=Calculos!$B$4,A282,A282-Calculos!$B$4),MOD(278-1,Calculos!$B$6)+1)),IF(MOD(IF(A282&lt;=Calculos!$B$4,A282,A282-Calculos!$B$4)+MOD(278-1,Calculos!$B$6)+1,2)=0,INDEX(Calculos!$B$36:$S$52,IF(A282&lt;=Calculos!$B$4,A282,A282-Calculos!$B$4),MOD(278-1,Calculos!$B$6)+1),INDEX(Calculos!$B$36:$S$52,IF(A282&lt;=Calculos!$B$4,A282,A282-Calculos!$B$4),Calculos!$B$2+1-MOD(278-1,Calculos!$B$6)+1)))))</f>
        <v/>
      </c>
      <c r="G282" s="9" t="str">
        <f t="shared" si="28"/>
        <v/>
      </c>
      <c r="H282" s="9" t="str">
        <f>IF(OR(C282="",F282=""),"",IF(AND(ISNUMBER(D282),ISNUMBER(E282)),IF(D282&gt;E282,Inicio!$E$6,IF(D282=E282,Inicio!$F$6,Inicio!$G$6)),""))</f>
        <v/>
      </c>
      <c r="I282" s="9" t="str">
        <f>IF(OR(C282="",F282=""),"",IF(AND(ISNUMBER(D282),ISNUMBER(E282)),IF(D282&lt;E282,Inicio!$E$6,IF(D282=E282,Inicio!$F$6,Inicio!$G$6)),""))</f>
        <v/>
      </c>
      <c r="J282" s="9">
        <f t="shared" si="29"/>
        <v>0</v>
      </c>
      <c r="K282" s="9">
        <f t="shared" si="30"/>
        <v>0</v>
      </c>
      <c r="L282" s="9">
        <f t="shared" si="31"/>
        <v>0</v>
      </c>
      <c r="M282" s="9">
        <f t="shared" si="32"/>
        <v>0</v>
      </c>
      <c r="N282" s="9">
        <f t="shared" si="33"/>
        <v>0</v>
      </c>
      <c r="O282" s="9">
        <f t="shared" si="34"/>
        <v>0</v>
      </c>
    </row>
    <row r="283" spans="1:15" x14ac:dyDescent="0.25">
      <c r="A283" s="9" t="str">
        <f>IF(OR(Calculos!$B$7=0,279&gt;Calculos!$B$7),"",INT((279-1)/Calculos!$B$6)+1)</f>
        <v/>
      </c>
      <c r="B283" s="10" t="str">
        <f>IF(A283="","",Inicio!$E$5+(A283-1)*Inicio!$B$6)</f>
        <v/>
      </c>
      <c r="C283" s="11" t="str">
        <f>IF(A283="","",INDEX(Calculos!$B$11:$B$28,IF(A283&gt;Calculos!$B$4,IF(MOD(IF(A283&lt;=Calculos!$B$4,A283,A283-Calculos!$B$4)+MOD(279-1,Calculos!$B$6)+1,2)=0,INDEX(Calculos!$B$36:$S$52,IF(A283&lt;=Calculos!$B$4,A283,A283-Calculos!$B$4),MOD(279-1,Calculos!$B$6)+1),INDEX(Calculos!$B$36:$S$52,IF(A283&lt;=Calculos!$B$4,A283,A283-Calculos!$B$4),Calculos!$B$2+1-MOD(279-1,Calculos!$B$6)+1)),IF(MOD(IF(A283&lt;=Calculos!$B$4,A283,A283-Calculos!$B$4)+MOD(279-1,Calculos!$B$6)+1,2)=0,INDEX(Calculos!$B$36:$S$52,IF(A283&lt;=Calculos!$B$4,A283,A283-Calculos!$B$4),Calculos!$B$2+1-MOD(279-1,Calculos!$B$6)+1),INDEX(Calculos!$B$36:$S$52,IF(A283&lt;=Calculos!$B$4,A283,A283-Calculos!$B$4),MOD(279-1,Calculos!$B$6)+1)))))</f>
        <v/>
      </c>
      <c r="D283" s="4"/>
      <c r="E283" s="4"/>
      <c r="F283" s="11" t="str">
        <f>IF(A283="","",INDEX(Calculos!$B$11:$B$28,IF(A283&gt;Calculos!$B$4,IF(MOD(IF(A283&lt;=Calculos!$B$4,A283,A283-Calculos!$B$4)+MOD(279-1,Calculos!$B$6)+1,2)=0,INDEX(Calculos!$B$36:$S$52,IF(A283&lt;=Calculos!$B$4,A283,A283-Calculos!$B$4),Calculos!$B$2+1-MOD(279-1,Calculos!$B$6)+1),INDEX(Calculos!$B$36:$S$52,IF(A283&lt;=Calculos!$B$4,A283,A283-Calculos!$B$4),MOD(279-1,Calculos!$B$6)+1)),IF(MOD(IF(A283&lt;=Calculos!$B$4,A283,A283-Calculos!$B$4)+MOD(279-1,Calculos!$B$6)+1,2)=0,INDEX(Calculos!$B$36:$S$52,IF(A283&lt;=Calculos!$B$4,A283,A283-Calculos!$B$4),MOD(279-1,Calculos!$B$6)+1),INDEX(Calculos!$B$36:$S$52,IF(A283&lt;=Calculos!$B$4,A283,A283-Calculos!$B$4),Calculos!$B$2+1-MOD(279-1,Calculos!$B$6)+1)))))</f>
        <v/>
      </c>
      <c r="G283" s="9" t="str">
        <f t="shared" si="28"/>
        <v/>
      </c>
      <c r="H283" s="9" t="str">
        <f>IF(OR(C283="",F283=""),"",IF(AND(ISNUMBER(D283),ISNUMBER(E283)),IF(D283&gt;E283,Inicio!$E$6,IF(D283=E283,Inicio!$F$6,Inicio!$G$6)),""))</f>
        <v/>
      </c>
      <c r="I283" s="9" t="str">
        <f>IF(OR(C283="",F283=""),"",IF(AND(ISNUMBER(D283),ISNUMBER(E283)),IF(D283&lt;E283,Inicio!$E$6,IF(D283=E283,Inicio!$F$6,Inicio!$G$6)),""))</f>
        <v/>
      </c>
      <c r="J283" s="9">
        <f t="shared" si="29"/>
        <v>0</v>
      </c>
      <c r="K283" s="9">
        <f t="shared" si="30"/>
        <v>0</v>
      </c>
      <c r="L283" s="9">
        <f t="shared" si="31"/>
        <v>0</v>
      </c>
      <c r="M283" s="9">
        <f t="shared" si="32"/>
        <v>0</v>
      </c>
      <c r="N283" s="9">
        <f t="shared" si="33"/>
        <v>0</v>
      </c>
      <c r="O283" s="9">
        <f t="shared" si="34"/>
        <v>0</v>
      </c>
    </row>
    <row r="284" spans="1:15" x14ac:dyDescent="0.25">
      <c r="A284" s="9" t="str">
        <f>IF(OR(Calculos!$B$7=0,280&gt;Calculos!$B$7),"",INT((280-1)/Calculos!$B$6)+1)</f>
        <v/>
      </c>
      <c r="B284" s="10" t="str">
        <f>IF(A284="","",Inicio!$E$5+(A284-1)*Inicio!$B$6)</f>
        <v/>
      </c>
      <c r="C284" s="11" t="str">
        <f>IF(A284="","",INDEX(Calculos!$B$11:$B$28,IF(A284&gt;Calculos!$B$4,IF(MOD(IF(A284&lt;=Calculos!$B$4,A284,A284-Calculos!$B$4)+MOD(280-1,Calculos!$B$6)+1,2)=0,INDEX(Calculos!$B$36:$S$52,IF(A284&lt;=Calculos!$B$4,A284,A284-Calculos!$B$4),MOD(280-1,Calculos!$B$6)+1),INDEX(Calculos!$B$36:$S$52,IF(A284&lt;=Calculos!$B$4,A284,A284-Calculos!$B$4),Calculos!$B$2+1-MOD(280-1,Calculos!$B$6)+1)),IF(MOD(IF(A284&lt;=Calculos!$B$4,A284,A284-Calculos!$B$4)+MOD(280-1,Calculos!$B$6)+1,2)=0,INDEX(Calculos!$B$36:$S$52,IF(A284&lt;=Calculos!$B$4,A284,A284-Calculos!$B$4),Calculos!$B$2+1-MOD(280-1,Calculos!$B$6)+1),INDEX(Calculos!$B$36:$S$52,IF(A284&lt;=Calculos!$B$4,A284,A284-Calculos!$B$4),MOD(280-1,Calculos!$B$6)+1)))))</f>
        <v/>
      </c>
      <c r="D284" s="4"/>
      <c r="E284" s="4"/>
      <c r="F284" s="11" t="str">
        <f>IF(A284="","",INDEX(Calculos!$B$11:$B$28,IF(A284&gt;Calculos!$B$4,IF(MOD(IF(A284&lt;=Calculos!$B$4,A284,A284-Calculos!$B$4)+MOD(280-1,Calculos!$B$6)+1,2)=0,INDEX(Calculos!$B$36:$S$52,IF(A284&lt;=Calculos!$B$4,A284,A284-Calculos!$B$4),Calculos!$B$2+1-MOD(280-1,Calculos!$B$6)+1),INDEX(Calculos!$B$36:$S$52,IF(A284&lt;=Calculos!$B$4,A284,A284-Calculos!$B$4),MOD(280-1,Calculos!$B$6)+1)),IF(MOD(IF(A284&lt;=Calculos!$B$4,A284,A284-Calculos!$B$4)+MOD(280-1,Calculos!$B$6)+1,2)=0,INDEX(Calculos!$B$36:$S$52,IF(A284&lt;=Calculos!$B$4,A284,A284-Calculos!$B$4),MOD(280-1,Calculos!$B$6)+1),INDEX(Calculos!$B$36:$S$52,IF(A284&lt;=Calculos!$B$4,A284,A284-Calculos!$B$4),Calculos!$B$2+1-MOD(280-1,Calculos!$B$6)+1)))))</f>
        <v/>
      </c>
      <c r="G284" s="9" t="str">
        <f t="shared" si="28"/>
        <v/>
      </c>
      <c r="H284" s="9" t="str">
        <f>IF(OR(C284="",F284=""),"",IF(AND(ISNUMBER(D284),ISNUMBER(E284)),IF(D284&gt;E284,Inicio!$E$6,IF(D284=E284,Inicio!$F$6,Inicio!$G$6)),""))</f>
        <v/>
      </c>
      <c r="I284" s="9" t="str">
        <f>IF(OR(C284="",F284=""),"",IF(AND(ISNUMBER(D284),ISNUMBER(E284)),IF(D284&lt;E284,Inicio!$E$6,IF(D284=E284,Inicio!$F$6,Inicio!$G$6)),""))</f>
        <v/>
      </c>
      <c r="J284" s="9">
        <f t="shared" si="29"/>
        <v>0</v>
      </c>
      <c r="K284" s="9">
        <f t="shared" si="30"/>
        <v>0</v>
      </c>
      <c r="L284" s="9">
        <f t="shared" si="31"/>
        <v>0</v>
      </c>
      <c r="M284" s="9">
        <f t="shared" si="32"/>
        <v>0</v>
      </c>
      <c r="N284" s="9">
        <f t="shared" si="33"/>
        <v>0</v>
      </c>
      <c r="O284" s="9">
        <f t="shared" si="34"/>
        <v>0</v>
      </c>
    </row>
    <row r="285" spans="1:15" x14ac:dyDescent="0.25">
      <c r="A285" s="9" t="str">
        <f>IF(OR(Calculos!$B$7=0,281&gt;Calculos!$B$7),"",INT((281-1)/Calculos!$B$6)+1)</f>
        <v/>
      </c>
      <c r="B285" s="10" t="str">
        <f>IF(A285="","",Inicio!$E$5+(A285-1)*Inicio!$B$6)</f>
        <v/>
      </c>
      <c r="C285" s="11" t="str">
        <f>IF(A285="","",INDEX(Calculos!$B$11:$B$28,IF(A285&gt;Calculos!$B$4,IF(MOD(IF(A285&lt;=Calculos!$B$4,A285,A285-Calculos!$B$4)+MOD(281-1,Calculos!$B$6)+1,2)=0,INDEX(Calculos!$B$36:$S$52,IF(A285&lt;=Calculos!$B$4,A285,A285-Calculos!$B$4),MOD(281-1,Calculos!$B$6)+1),INDEX(Calculos!$B$36:$S$52,IF(A285&lt;=Calculos!$B$4,A285,A285-Calculos!$B$4),Calculos!$B$2+1-MOD(281-1,Calculos!$B$6)+1)),IF(MOD(IF(A285&lt;=Calculos!$B$4,A285,A285-Calculos!$B$4)+MOD(281-1,Calculos!$B$6)+1,2)=0,INDEX(Calculos!$B$36:$S$52,IF(A285&lt;=Calculos!$B$4,A285,A285-Calculos!$B$4),Calculos!$B$2+1-MOD(281-1,Calculos!$B$6)+1),INDEX(Calculos!$B$36:$S$52,IF(A285&lt;=Calculos!$B$4,A285,A285-Calculos!$B$4),MOD(281-1,Calculos!$B$6)+1)))))</f>
        <v/>
      </c>
      <c r="D285" s="4"/>
      <c r="E285" s="4"/>
      <c r="F285" s="11" t="str">
        <f>IF(A285="","",INDEX(Calculos!$B$11:$B$28,IF(A285&gt;Calculos!$B$4,IF(MOD(IF(A285&lt;=Calculos!$B$4,A285,A285-Calculos!$B$4)+MOD(281-1,Calculos!$B$6)+1,2)=0,INDEX(Calculos!$B$36:$S$52,IF(A285&lt;=Calculos!$B$4,A285,A285-Calculos!$B$4),Calculos!$B$2+1-MOD(281-1,Calculos!$B$6)+1),INDEX(Calculos!$B$36:$S$52,IF(A285&lt;=Calculos!$B$4,A285,A285-Calculos!$B$4),MOD(281-1,Calculos!$B$6)+1)),IF(MOD(IF(A285&lt;=Calculos!$B$4,A285,A285-Calculos!$B$4)+MOD(281-1,Calculos!$B$6)+1,2)=0,INDEX(Calculos!$B$36:$S$52,IF(A285&lt;=Calculos!$B$4,A285,A285-Calculos!$B$4),MOD(281-1,Calculos!$B$6)+1),INDEX(Calculos!$B$36:$S$52,IF(A285&lt;=Calculos!$B$4,A285,A285-Calculos!$B$4),Calculos!$B$2+1-MOD(281-1,Calculos!$B$6)+1)))))</f>
        <v/>
      </c>
      <c r="G285" s="9" t="str">
        <f t="shared" si="28"/>
        <v/>
      </c>
      <c r="H285" s="9" t="str">
        <f>IF(OR(C285="",F285=""),"",IF(AND(ISNUMBER(D285),ISNUMBER(E285)),IF(D285&gt;E285,Inicio!$E$6,IF(D285=E285,Inicio!$F$6,Inicio!$G$6)),""))</f>
        <v/>
      </c>
      <c r="I285" s="9" t="str">
        <f>IF(OR(C285="",F285=""),"",IF(AND(ISNUMBER(D285),ISNUMBER(E285)),IF(D285&lt;E285,Inicio!$E$6,IF(D285=E285,Inicio!$F$6,Inicio!$G$6)),""))</f>
        <v/>
      </c>
      <c r="J285" s="9">
        <f t="shared" si="29"/>
        <v>0</v>
      </c>
      <c r="K285" s="9">
        <f t="shared" si="30"/>
        <v>0</v>
      </c>
      <c r="L285" s="9">
        <f t="shared" si="31"/>
        <v>0</v>
      </c>
      <c r="M285" s="9">
        <f t="shared" si="32"/>
        <v>0</v>
      </c>
      <c r="N285" s="9">
        <f t="shared" si="33"/>
        <v>0</v>
      </c>
      <c r="O285" s="9">
        <f t="shared" si="34"/>
        <v>0</v>
      </c>
    </row>
    <row r="286" spans="1:15" x14ac:dyDescent="0.25">
      <c r="A286" s="9" t="str">
        <f>IF(OR(Calculos!$B$7=0,282&gt;Calculos!$B$7),"",INT((282-1)/Calculos!$B$6)+1)</f>
        <v/>
      </c>
      <c r="B286" s="10" t="str">
        <f>IF(A286="","",Inicio!$E$5+(A286-1)*Inicio!$B$6)</f>
        <v/>
      </c>
      <c r="C286" s="11" t="str">
        <f>IF(A286="","",INDEX(Calculos!$B$11:$B$28,IF(A286&gt;Calculos!$B$4,IF(MOD(IF(A286&lt;=Calculos!$B$4,A286,A286-Calculos!$B$4)+MOD(282-1,Calculos!$B$6)+1,2)=0,INDEX(Calculos!$B$36:$S$52,IF(A286&lt;=Calculos!$B$4,A286,A286-Calculos!$B$4),MOD(282-1,Calculos!$B$6)+1),INDEX(Calculos!$B$36:$S$52,IF(A286&lt;=Calculos!$B$4,A286,A286-Calculos!$B$4),Calculos!$B$2+1-MOD(282-1,Calculos!$B$6)+1)),IF(MOD(IF(A286&lt;=Calculos!$B$4,A286,A286-Calculos!$B$4)+MOD(282-1,Calculos!$B$6)+1,2)=0,INDEX(Calculos!$B$36:$S$52,IF(A286&lt;=Calculos!$B$4,A286,A286-Calculos!$B$4),Calculos!$B$2+1-MOD(282-1,Calculos!$B$6)+1),INDEX(Calculos!$B$36:$S$52,IF(A286&lt;=Calculos!$B$4,A286,A286-Calculos!$B$4),MOD(282-1,Calculos!$B$6)+1)))))</f>
        <v/>
      </c>
      <c r="D286" s="4"/>
      <c r="E286" s="4"/>
      <c r="F286" s="11" t="str">
        <f>IF(A286="","",INDEX(Calculos!$B$11:$B$28,IF(A286&gt;Calculos!$B$4,IF(MOD(IF(A286&lt;=Calculos!$B$4,A286,A286-Calculos!$B$4)+MOD(282-1,Calculos!$B$6)+1,2)=0,INDEX(Calculos!$B$36:$S$52,IF(A286&lt;=Calculos!$B$4,A286,A286-Calculos!$B$4),Calculos!$B$2+1-MOD(282-1,Calculos!$B$6)+1),INDEX(Calculos!$B$36:$S$52,IF(A286&lt;=Calculos!$B$4,A286,A286-Calculos!$B$4),MOD(282-1,Calculos!$B$6)+1)),IF(MOD(IF(A286&lt;=Calculos!$B$4,A286,A286-Calculos!$B$4)+MOD(282-1,Calculos!$B$6)+1,2)=0,INDEX(Calculos!$B$36:$S$52,IF(A286&lt;=Calculos!$B$4,A286,A286-Calculos!$B$4),MOD(282-1,Calculos!$B$6)+1),INDEX(Calculos!$B$36:$S$52,IF(A286&lt;=Calculos!$B$4,A286,A286-Calculos!$B$4),Calculos!$B$2+1-MOD(282-1,Calculos!$B$6)+1)))))</f>
        <v/>
      </c>
      <c r="G286" s="9" t="str">
        <f t="shared" si="28"/>
        <v/>
      </c>
      <c r="H286" s="9" t="str">
        <f>IF(OR(C286="",F286=""),"",IF(AND(ISNUMBER(D286),ISNUMBER(E286)),IF(D286&gt;E286,Inicio!$E$6,IF(D286=E286,Inicio!$F$6,Inicio!$G$6)),""))</f>
        <v/>
      </c>
      <c r="I286" s="9" t="str">
        <f>IF(OR(C286="",F286=""),"",IF(AND(ISNUMBER(D286),ISNUMBER(E286)),IF(D286&lt;E286,Inicio!$E$6,IF(D286=E286,Inicio!$F$6,Inicio!$G$6)),""))</f>
        <v/>
      </c>
      <c r="J286" s="9">
        <f t="shared" si="29"/>
        <v>0</v>
      </c>
      <c r="K286" s="9">
        <f t="shared" si="30"/>
        <v>0</v>
      </c>
      <c r="L286" s="9">
        <f t="shared" si="31"/>
        <v>0</v>
      </c>
      <c r="M286" s="9">
        <f t="shared" si="32"/>
        <v>0</v>
      </c>
      <c r="N286" s="9">
        <f t="shared" si="33"/>
        <v>0</v>
      </c>
      <c r="O286" s="9">
        <f t="shared" si="34"/>
        <v>0</v>
      </c>
    </row>
    <row r="287" spans="1:15" x14ac:dyDescent="0.25">
      <c r="A287" s="9" t="str">
        <f>IF(OR(Calculos!$B$7=0,283&gt;Calculos!$B$7),"",INT((283-1)/Calculos!$B$6)+1)</f>
        <v/>
      </c>
      <c r="B287" s="10" t="str">
        <f>IF(A287="","",Inicio!$E$5+(A287-1)*Inicio!$B$6)</f>
        <v/>
      </c>
      <c r="C287" s="11" t="str">
        <f>IF(A287="","",INDEX(Calculos!$B$11:$B$28,IF(A287&gt;Calculos!$B$4,IF(MOD(IF(A287&lt;=Calculos!$B$4,A287,A287-Calculos!$B$4)+MOD(283-1,Calculos!$B$6)+1,2)=0,INDEX(Calculos!$B$36:$S$52,IF(A287&lt;=Calculos!$B$4,A287,A287-Calculos!$B$4),MOD(283-1,Calculos!$B$6)+1),INDEX(Calculos!$B$36:$S$52,IF(A287&lt;=Calculos!$B$4,A287,A287-Calculos!$B$4),Calculos!$B$2+1-MOD(283-1,Calculos!$B$6)+1)),IF(MOD(IF(A287&lt;=Calculos!$B$4,A287,A287-Calculos!$B$4)+MOD(283-1,Calculos!$B$6)+1,2)=0,INDEX(Calculos!$B$36:$S$52,IF(A287&lt;=Calculos!$B$4,A287,A287-Calculos!$B$4),Calculos!$B$2+1-MOD(283-1,Calculos!$B$6)+1),INDEX(Calculos!$B$36:$S$52,IF(A287&lt;=Calculos!$B$4,A287,A287-Calculos!$B$4),MOD(283-1,Calculos!$B$6)+1)))))</f>
        <v/>
      </c>
      <c r="D287" s="4"/>
      <c r="E287" s="4"/>
      <c r="F287" s="11" t="str">
        <f>IF(A287="","",INDEX(Calculos!$B$11:$B$28,IF(A287&gt;Calculos!$B$4,IF(MOD(IF(A287&lt;=Calculos!$B$4,A287,A287-Calculos!$B$4)+MOD(283-1,Calculos!$B$6)+1,2)=0,INDEX(Calculos!$B$36:$S$52,IF(A287&lt;=Calculos!$B$4,A287,A287-Calculos!$B$4),Calculos!$B$2+1-MOD(283-1,Calculos!$B$6)+1),INDEX(Calculos!$B$36:$S$52,IF(A287&lt;=Calculos!$B$4,A287,A287-Calculos!$B$4),MOD(283-1,Calculos!$B$6)+1)),IF(MOD(IF(A287&lt;=Calculos!$B$4,A287,A287-Calculos!$B$4)+MOD(283-1,Calculos!$B$6)+1,2)=0,INDEX(Calculos!$B$36:$S$52,IF(A287&lt;=Calculos!$B$4,A287,A287-Calculos!$B$4),MOD(283-1,Calculos!$B$6)+1),INDEX(Calculos!$B$36:$S$52,IF(A287&lt;=Calculos!$B$4,A287,A287-Calculos!$B$4),Calculos!$B$2+1-MOD(283-1,Calculos!$B$6)+1)))))</f>
        <v/>
      </c>
      <c r="G287" s="9" t="str">
        <f t="shared" si="28"/>
        <v/>
      </c>
      <c r="H287" s="9" t="str">
        <f>IF(OR(C287="",F287=""),"",IF(AND(ISNUMBER(D287),ISNUMBER(E287)),IF(D287&gt;E287,Inicio!$E$6,IF(D287=E287,Inicio!$F$6,Inicio!$G$6)),""))</f>
        <v/>
      </c>
      <c r="I287" s="9" t="str">
        <f>IF(OR(C287="",F287=""),"",IF(AND(ISNUMBER(D287),ISNUMBER(E287)),IF(D287&lt;E287,Inicio!$E$6,IF(D287=E287,Inicio!$F$6,Inicio!$G$6)),""))</f>
        <v/>
      </c>
      <c r="J287" s="9">
        <f t="shared" si="29"/>
        <v>0</v>
      </c>
      <c r="K287" s="9">
        <f t="shared" si="30"/>
        <v>0</v>
      </c>
      <c r="L287" s="9">
        <f t="shared" si="31"/>
        <v>0</v>
      </c>
      <c r="M287" s="9">
        <f t="shared" si="32"/>
        <v>0</v>
      </c>
      <c r="N287" s="9">
        <f t="shared" si="33"/>
        <v>0</v>
      </c>
      <c r="O287" s="9">
        <f t="shared" si="34"/>
        <v>0</v>
      </c>
    </row>
    <row r="288" spans="1:15" x14ac:dyDescent="0.25">
      <c r="A288" s="9" t="str">
        <f>IF(OR(Calculos!$B$7=0,284&gt;Calculos!$B$7),"",INT((284-1)/Calculos!$B$6)+1)</f>
        <v/>
      </c>
      <c r="B288" s="10" t="str">
        <f>IF(A288="","",Inicio!$E$5+(A288-1)*Inicio!$B$6)</f>
        <v/>
      </c>
      <c r="C288" s="11" t="str">
        <f>IF(A288="","",INDEX(Calculos!$B$11:$B$28,IF(A288&gt;Calculos!$B$4,IF(MOD(IF(A288&lt;=Calculos!$B$4,A288,A288-Calculos!$B$4)+MOD(284-1,Calculos!$B$6)+1,2)=0,INDEX(Calculos!$B$36:$S$52,IF(A288&lt;=Calculos!$B$4,A288,A288-Calculos!$B$4),MOD(284-1,Calculos!$B$6)+1),INDEX(Calculos!$B$36:$S$52,IF(A288&lt;=Calculos!$B$4,A288,A288-Calculos!$B$4),Calculos!$B$2+1-MOD(284-1,Calculos!$B$6)+1)),IF(MOD(IF(A288&lt;=Calculos!$B$4,A288,A288-Calculos!$B$4)+MOD(284-1,Calculos!$B$6)+1,2)=0,INDEX(Calculos!$B$36:$S$52,IF(A288&lt;=Calculos!$B$4,A288,A288-Calculos!$B$4),Calculos!$B$2+1-MOD(284-1,Calculos!$B$6)+1),INDEX(Calculos!$B$36:$S$52,IF(A288&lt;=Calculos!$B$4,A288,A288-Calculos!$B$4),MOD(284-1,Calculos!$B$6)+1)))))</f>
        <v/>
      </c>
      <c r="D288" s="4"/>
      <c r="E288" s="4"/>
      <c r="F288" s="11" t="str">
        <f>IF(A288="","",INDEX(Calculos!$B$11:$B$28,IF(A288&gt;Calculos!$B$4,IF(MOD(IF(A288&lt;=Calculos!$B$4,A288,A288-Calculos!$B$4)+MOD(284-1,Calculos!$B$6)+1,2)=0,INDEX(Calculos!$B$36:$S$52,IF(A288&lt;=Calculos!$B$4,A288,A288-Calculos!$B$4),Calculos!$B$2+1-MOD(284-1,Calculos!$B$6)+1),INDEX(Calculos!$B$36:$S$52,IF(A288&lt;=Calculos!$B$4,A288,A288-Calculos!$B$4),MOD(284-1,Calculos!$B$6)+1)),IF(MOD(IF(A288&lt;=Calculos!$B$4,A288,A288-Calculos!$B$4)+MOD(284-1,Calculos!$B$6)+1,2)=0,INDEX(Calculos!$B$36:$S$52,IF(A288&lt;=Calculos!$B$4,A288,A288-Calculos!$B$4),MOD(284-1,Calculos!$B$6)+1),INDEX(Calculos!$B$36:$S$52,IF(A288&lt;=Calculos!$B$4,A288,A288-Calculos!$B$4),Calculos!$B$2+1-MOD(284-1,Calculos!$B$6)+1)))))</f>
        <v/>
      </c>
      <c r="G288" s="9" t="str">
        <f t="shared" si="28"/>
        <v/>
      </c>
      <c r="H288" s="9" t="str">
        <f>IF(OR(C288="",F288=""),"",IF(AND(ISNUMBER(D288),ISNUMBER(E288)),IF(D288&gt;E288,Inicio!$E$6,IF(D288=E288,Inicio!$F$6,Inicio!$G$6)),""))</f>
        <v/>
      </c>
      <c r="I288" s="9" t="str">
        <f>IF(OR(C288="",F288=""),"",IF(AND(ISNUMBER(D288),ISNUMBER(E288)),IF(D288&lt;E288,Inicio!$E$6,IF(D288=E288,Inicio!$F$6,Inicio!$G$6)),""))</f>
        <v/>
      </c>
      <c r="J288" s="9">
        <f t="shared" si="29"/>
        <v>0</v>
      </c>
      <c r="K288" s="9">
        <f t="shared" si="30"/>
        <v>0</v>
      </c>
      <c r="L288" s="9">
        <f t="shared" si="31"/>
        <v>0</v>
      </c>
      <c r="M288" s="9">
        <f t="shared" si="32"/>
        <v>0</v>
      </c>
      <c r="N288" s="9">
        <f t="shared" si="33"/>
        <v>0</v>
      </c>
      <c r="O288" s="9">
        <f t="shared" si="34"/>
        <v>0</v>
      </c>
    </row>
    <row r="289" spans="1:15" x14ac:dyDescent="0.25">
      <c r="A289" s="9" t="str">
        <f>IF(OR(Calculos!$B$7=0,285&gt;Calculos!$B$7),"",INT((285-1)/Calculos!$B$6)+1)</f>
        <v/>
      </c>
      <c r="B289" s="10" t="str">
        <f>IF(A289="","",Inicio!$E$5+(A289-1)*Inicio!$B$6)</f>
        <v/>
      </c>
      <c r="C289" s="11" t="str">
        <f>IF(A289="","",INDEX(Calculos!$B$11:$B$28,IF(A289&gt;Calculos!$B$4,IF(MOD(IF(A289&lt;=Calculos!$B$4,A289,A289-Calculos!$B$4)+MOD(285-1,Calculos!$B$6)+1,2)=0,INDEX(Calculos!$B$36:$S$52,IF(A289&lt;=Calculos!$B$4,A289,A289-Calculos!$B$4),MOD(285-1,Calculos!$B$6)+1),INDEX(Calculos!$B$36:$S$52,IF(A289&lt;=Calculos!$B$4,A289,A289-Calculos!$B$4),Calculos!$B$2+1-MOD(285-1,Calculos!$B$6)+1)),IF(MOD(IF(A289&lt;=Calculos!$B$4,A289,A289-Calculos!$B$4)+MOD(285-1,Calculos!$B$6)+1,2)=0,INDEX(Calculos!$B$36:$S$52,IF(A289&lt;=Calculos!$B$4,A289,A289-Calculos!$B$4),Calculos!$B$2+1-MOD(285-1,Calculos!$B$6)+1),INDEX(Calculos!$B$36:$S$52,IF(A289&lt;=Calculos!$B$4,A289,A289-Calculos!$B$4),MOD(285-1,Calculos!$B$6)+1)))))</f>
        <v/>
      </c>
      <c r="D289" s="4"/>
      <c r="E289" s="4"/>
      <c r="F289" s="11" t="str">
        <f>IF(A289="","",INDEX(Calculos!$B$11:$B$28,IF(A289&gt;Calculos!$B$4,IF(MOD(IF(A289&lt;=Calculos!$B$4,A289,A289-Calculos!$B$4)+MOD(285-1,Calculos!$B$6)+1,2)=0,INDEX(Calculos!$B$36:$S$52,IF(A289&lt;=Calculos!$B$4,A289,A289-Calculos!$B$4),Calculos!$B$2+1-MOD(285-1,Calculos!$B$6)+1),INDEX(Calculos!$B$36:$S$52,IF(A289&lt;=Calculos!$B$4,A289,A289-Calculos!$B$4),MOD(285-1,Calculos!$B$6)+1)),IF(MOD(IF(A289&lt;=Calculos!$B$4,A289,A289-Calculos!$B$4)+MOD(285-1,Calculos!$B$6)+1,2)=0,INDEX(Calculos!$B$36:$S$52,IF(A289&lt;=Calculos!$B$4,A289,A289-Calculos!$B$4),MOD(285-1,Calculos!$B$6)+1),INDEX(Calculos!$B$36:$S$52,IF(A289&lt;=Calculos!$B$4,A289,A289-Calculos!$B$4),Calculos!$B$2+1-MOD(285-1,Calculos!$B$6)+1)))))</f>
        <v/>
      </c>
      <c r="G289" s="9" t="str">
        <f t="shared" si="28"/>
        <v/>
      </c>
      <c r="H289" s="9" t="str">
        <f>IF(OR(C289="",F289=""),"",IF(AND(ISNUMBER(D289),ISNUMBER(E289)),IF(D289&gt;E289,Inicio!$E$6,IF(D289=E289,Inicio!$F$6,Inicio!$G$6)),""))</f>
        <v/>
      </c>
      <c r="I289" s="9" t="str">
        <f>IF(OR(C289="",F289=""),"",IF(AND(ISNUMBER(D289),ISNUMBER(E289)),IF(D289&lt;E289,Inicio!$E$6,IF(D289=E289,Inicio!$F$6,Inicio!$G$6)),""))</f>
        <v/>
      </c>
      <c r="J289" s="9">
        <f t="shared" si="29"/>
        <v>0</v>
      </c>
      <c r="K289" s="9">
        <f t="shared" si="30"/>
        <v>0</v>
      </c>
      <c r="L289" s="9">
        <f t="shared" si="31"/>
        <v>0</v>
      </c>
      <c r="M289" s="9">
        <f t="shared" si="32"/>
        <v>0</v>
      </c>
      <c r="N289" s="9">
        <f t="shared" si="33"/>
        <v>0</v>
      </c>
      <c r="O289" s="9">
        <f t="shared" si="34"/>
        <v>0</v>
      </c>
    </row>
    <row r="290" spans="1:15" x14ac:dyDescent="0.25">
      <c r="A290" s="9" t="str">
        <f>IF(OR(Calculos!$B$7=0,286&gt;Calculos!$B$7),"",INT((286-1)/Calculos!$B$6)+1)</f>
        <v/>
      </c>
      <c r="B290" s="10" t="str">
        <f>IF(A290="","",Inicio!$E$5+(A290-1)*Inicio!$B$6)</f>
        <v/>
      </c>
      <c r="C290" s="11" t="str">
        <f>IF(A290="","",INDEX(Calculos!$B$11:$B$28,IF(A290&gt;Calculos!$B$4,IF(MOD(IF(A290&lt;=Calculos!$B$4,A290,A290-Calculos!$B$4)+MOD(286-1,Calculos!$B$6)+1,2)=0,INDEX(Calculos!$B$36:$S$52,IF(A290&lt;=Calculos!$B$4,A290,A290-Calculos!$B$4),MOD(286-1,Calculos!$B$6)+1),INDEX(Calculos!$B$36:$S$52,IF(A290&lt;=Calculos!$B$4,A290,A290-Calculos!$B$4),Calculos!$B$2+1-MOD(286-1,Calculos!$B$6)+1)),IF(MOD(IF(A290&lt;=Calculos!$B$4,A290,A290-Calculos!$B$4)+MOD(286-1,Calculos!$B$6)+1,2)=0,INDEX(Calculos!$B$36:$S$52,IF(A290&lt;=Calculos!$B$4,A290,A290-Calculos!$B$4),Calculos!$B$2+1-MOD(286-1,Calculos!$B$6)+1),INDEX(Calculos!$B$36:$S$52,IF(A290&lt;=Calculos!$B$4,A290,A290-Calculos!$B$4),MOD(286-1,Calculos!$B$6)+1)))))</f>
        <v/>
      </c>
      <c r="D290" s="4"/>
      <c r="E290" s="4"/>
      <c r="F290" s="11" t="str">
        <f>IF(A290="","",INDEX(Calculos!$B$11:$B$28,IF(A290&gt;Calculos!$B$4,IF(MOD(IF(A290&lt;=Calculos!$B$4,A290,A290-Calculos!$B$4)+MOD(286-1,Calculos!$B$6)+1,2)=0,INDEX(Calculos!$B$36:$S$52,IF(A290&lt;=Calculos!$B$4,A290,A290-Calculos!$B$4),Calculos!$B$2+1-MOD(286-1,Calculos!$B$6)+1),INDEX(Calculos!$B$36:$S$52,IF(A290&lt;=Calculos!$B$4,A290,A290-Calculos!$B$4),MOD(286-1,Calculos!$B$6)+1)),IF(MOD(IF(A290&lt;=Calculos!$B$4,A290,A290-Calculos!$B$4)+MOD(286-1,Calculos!$B$6)+1,2)=0,INDEX(Calculos!$B$36:$S$52,IF(A290&lt;=Calculos!$B$4,A290,A290-Calculos!$B$4),MOD(286-1,Calculos!$B$6)+1),INDEX(Calculos!$B$36:$S$52,IF(A290&lt;=Calculos!$B$4,A290,A290-Calculos!$B$4),Calculos!$B$2+1-MOD(286-1,Calculos!$B$6)+1)))))</f>
        <v/>
      </c>
      <c r="G290" s="9" t="str">
        <f t="shared" si="28"/>
        <v/>
      </c>
      <c r="H290" s="9" t="str">
        <f>IF(OR(C290="",F290=""),"",IF(AND(ISNUMBER(D290),ISNUMBER(E290)),IF(D290&gt;E290,Inicio!$E$6,IF(D290=E290,Inicio!$F$6,Inicio!$G$6)),""))</f>
        <v/>
      </c>
      <c r="I290" s="9" t="str">
        <f>IF(OR(C290="",F290=""),"",IF(AND(ISNUMBER(D290),ISNUMBER(E290)),IF(D290&lt;E290,Inicio!$E$6,IF(D290=E290,Inicio!$F$6,Inicio!$G$6)),""))</f>
        <v/>
      </c>
      <c r="J290" s="9">
        <f t="shared" si="29"/>
        <v>0</v>
      </c>
      <c r="K290" s="9">
        <f t="shared" si="30"/>
        <v>0</v>
      </c>
      <c r="L290" s="9">
        <f t="shared" si="31"/>
        <v>0</v>
      </c>
      <c r="M290" s="9">
        <f t="shared" si="32"/>
        <v>0</v>
      </c>
      <c r="N290" s="9">
        <f t="shared" si="33"/>
        <v>0</v>
      </c>
      <c r="O290" s="9">
        <f t="shared" si="34"/>
        <v>0</v>
      </c>
    </row>
    <row r="291" spans="1:15" x14ac:dyDescent="0.25">
      <c r="A291" s="9" t="str">
        <f>IF(OR(Calculos!$B$7=0,287&gt;Calculos!$B$7),"",INT((287-1)/Calculos!$B$6)+1)</f>
        <v/>
      </c>
      <c r="B291" s="10" t="str">
        <f>IF(A291="","",Inicio!$E$5+(A291-1)*Inicio!$B$6)</f>
        <v/>
      </c>
      <c r="C291" s="11" t="str">
        <f>IF(A291="","",INDEX(Calculos!$B$11:$B$28,IF(A291&gt;Calculos!$B$4,IF(MOD(IF(A291&lt;=Calculos!$B$4,A291,A291-Calculos!$B$4)+MOD(287-1,Calculos!$B$6)+1,2)=0,INDEX(Calculos!$B$36:$S$52,IF(A291&lt;=Calculos!$B$4,A291,A291-Calculos!$B$4),MOD(287-1,Calculos!$B$6)+1),INDEX(Calculos!$B$36:$S$52,IF(A291&lt;=Calculos!$B$4,A291,A291-Calculos!$B$4),Calculos!$B$2+1-MOD(287-1,Calculos!$B$6)+1)),IF(MOD(IF(A291&lt;=Calculos!$B$4,A291,A291-Calculos!$B$4)+MOD(287-1,Calculos!$B$6)+1,2)=0,INDEX(Calculos!$B$36:$S$52,IF(A291&lt;=Calculos!$B$4,A291,A291-Calculos!$B$4),Calculos!$B$2+1-MOD(287-1,Calculos!$B$6)+1),INDEX(Calculos!$B$36:$S$52,IF(A291&lt;=Calculos!$B$4,A291,A291-Calculos!$B$4),MOD(287-1,Calculos!$B$6)+1)))))</f>
        <v/>
      </c>
      <c r="D291" s="4"/>
      <c r="E291" s="4"/>
      <c r="F291" s="11" t="str">
        <f>IF(A291="","",INDEX(Calculos!$B$11:$B$28,IF(A291&gt;Calculos!$B$4,IF(MOD(IF(A291&lt;=Calculos!$B$4,A291,A291-Calculos!$B$4)+MOD(287-1,Calculos!$B$6)+1,2)=0,INDEX(Calculos!$B$36:$S$52,IF(A291&lt;=Calculos!$B$4,A291,A291-Calculos!$B$4),Calculos!$B$2+1-MOD(287-1,Calculos!$B$6)+1),INDEX(Calculos!$B$36:$S$52,IF(A291&lt;=Calculos!$B$4,A291,A291-Calculos!$B$4),MOD(287-1,Calculos!$B$6)+1)),IF(MOD(IF(A291&lt;=Calculos!$B$4,A291,A291-Calculos!$B$4)+MOD(287-1,Calculos!$B$6)+1,2)=0,INDEX(Calculos!$B$36:$S$52,IF(A291&lt;=Calculos!$B$4,A291,A291-Calculos!$B$4),MOD(287-1,Calculos!$B$6)+1),INDEX(Calculos!$B$36:$S$52,IF(A291&lt;=Calculos!$B$4,A291,A291-Calculos!$B$4),Calculos!$B$2+1-MOD(287-1,Calculos!$B$6)+1)))))</f>
        <v/>
      </c>
      <c r="G291" s="9" t="str">
        <f t="shared" si="28"/>
        <v/>
      </c>
      <c r="H291" s="9" t="str">
        <f>IF(OR(C291="",F291=""),"",IF(AND(ISNUMBER(D291),ISNUMBER(E291)),IF(D291&gt;E291,Inicio!$E$6,IF(D291=E291,Inicio!$F$6,Inicio!$G$6)),""))</f>
        <v/>
      </c>
      <c r="I291" s="9" t="str">
        <f>IF(OR(C291="",F291=""),"",IF(AND(ISNUMBER(D291),ISNUMBER(E291)),IF(D291&lt;E291,Inicio!$E$6,IF(D291=E291,Inicio!$F$6,Inicio!$G$6)),""))</f>
        <v/>
      </c>
      <c r="J291" s="9">
        <f t="shared" si="29"/>
        <v>0</v>
      </c>
      <c r="K291" s="9">
        <f t="shared" si="30"/>
        <v>0</v>
      </c>
      <c r="L291" s="9">
        <f t="shared" si="31"/>
        <v>0</v>
      </c>
      <c r="M291" s="9">
        <f t="shared" si="32"/>
        <v>0</v>
      </c>
      <c r="N291" s="9">
        <f t="shared" si="33"/>
        <v>0</v>
      </c>
      <c r="O291" s="9">
        <f t="shared" si="34"/>
        <v>0</v>
      </c>
    </row>
    <row r="292" spans="1:15" x14ac:dyDescent="0.25">
      <c r="A292" s="9" t="str">
        <f>IF(OR(Calculos!$B$7=0,288&gt;Calculos!$B$7),"",INT((288-1)/Calculos!$B$6)+1)</f>
        <v/>
      </c>
      <c r="B292" s="10" t="str">
        <f>IF(A292="","",Inicio!$E$5+(A292-1)*Inicio!$B$6)</f>
        <v/>
      </c>
      <c r="C292" s="11" t="str">
        <f>IF(A292="","",INDEX(Calculos!$B$11:$B$28,IF(A292&gt;Calculos!$B$4,IF(MOD(IF(A292&lt;=Calculos!$B$4,A292,A292-Calculos!$B$4)+MOD(288-1,Calculos!$B$6)+1,2)=0,INDEX(Calculos!$B$36:$S$52,IF(A292&lt;=Calculos!$B$4,A292,A292-Calculos!$B$4),MOD(288-1,Calculos!$B$6)+1),INDEX(Calculos!$B$36:$S$52,IF(A292&lt;=Calculos!$B$4,A292,A292-Calculos!$B$4),Calculos!$B$2+1-MOD(288-1,Calculos!$B$6)+1)),IF(MOD(IF(A292&lt;=Calculos!$B$4,A292,A292-Calculos!$B$4)+MOD(288-1,Calculos!$B$6)+1,2)=0,INDEX(Calculos!$B$36:$S$52,IF(A292&lt;=Calculos!$B$4,A292,A292-Calculos!$B$4),Calculos!$B$2+1-MOD(288-1,Calculos!$B$6)+1),INDEX(Calculos!$B$36:$S$52,IF(A292&lt;=Calculos!$B$4,A292,A292-Calculos!$B$4),MOD(288-1,Calculos!$B$6)+1)))))</f>
        <v/>
      </c>
      <c r="D292" s="4"/>
      <c r="E292" s="4"/>
      <c r="F292" s="11" t="str">
        <f>IF(A292="","",INDEX(Calculos!$B$11:$B$28,IF(A292&gt;Calculos!$B$4,IF(MOD(IF(A292&lt;=Calculos!$B$4,A292,A292-Calculos!$B$4)+MOD(288-1,Calculos!$B$6)+1,2)=0,INDEX(Calculos!$B$36:$S$52,IF(A292&lt;=Calculos!$B$4,A292,A292-Calculos!$B$4),Calculos!$B$2+1-MOD(288-1,Calculos!$B$6)+1),INDEX(Calculos!$B$36:$S$52,IF(A292&lt;=Calculos!$B$4,A292,A292-Calculos!$B$4),MOD(288-1,Calculos!$B$6)+1)),IF(MOD(IF(A292&lt;=Calculos!$B$4,A292,A292-Calculos!$B$4)+MOD(288-1,Calculos!$B$6)+1,2)=0,INDEX(Calculos!$B$36:$S$52,IF(A292&lt;=Calculos!$B$4,A292,A292-Calculos!$B$4),MOD(288-1,Calculos!$B$6)+1),INDEX(Calculos!$B$36:$S$52,IF(A292&lt;=Calculos!$B$4,A292,A292-Calculos!$B$4),Calculos!$B$2+1-MOD(288-1,Calculos!$B$6)+1)))))</f>
        <v/>
      </c>
      <c r="G292" s="9" t="str">
        <f t="shared" si="28"/>
        <v/>
      </c>
      <c r="H292" s="9" t="str">
        <f>IF(OR(C292="",F292=""),"",IF(AND(ISNUMBER(D292),ISNUMBER(E292)),IF(D292&gt;E292,Inicio!$E$6,IF(D292=E292,Inicio!$F$6,Inicio!$G$6)),""))</f>
        <v/>
      </c>
      <c r="I292" s="9" t="str">
        <f>IF(OR(C292="",F292=""),"",IF(AND(ISNUMBER(D292),ISNUMBER(E292)),IF(D292&lt;E292,Inicio!$E$6,IF(D292=E292,Inicio!$F$6,Inicio!$G$6)),""))</f>
        <v/>
      </c>
      <c r="J292" s="9">
        <f t="shared" si="29"/>
        <v>0</v>
      </c>
      <c r="K292" s="9">
        <f t="shared" si="30"/>
        <v>0</v>
      </c>
      <c r="L292" s="9">
        <f t="shared" si="31"/>
        <v>0</v>
      </c>
      <c r="M292" s="9">
        <f t="shared" si="32"/>
        <v>0</v>
      </c>
      <c r="N292" s="9">
        <f t="shared" si="33"/>
        <v>0</v>
      </c>
      <c r="O292" s="9">
        <f t="shared" si="34"/>
        <v>0</v>
      </c>
    </row>
    <row r="293" spans="1:15" x14ac:dyDescent="0.25">
      <c r="A293" s="9" t="str">
        <f>IF(OR(Calculos!$B$7=0,289&gt;Calculos!$B$7),"",INT((289-1)/Calculos!$B$6)+1)</f>
        <v/>
      </c>
      <c r="B293" s="10" t="str">
        <f>IF(A293="","",Inicio!$E$5+(A293-1)*Inicio!$B$6)</f>
        <v/>
      </c>
      <c r="C293" s="11" t="str">
        <f>IF(A293="","",INDEX(Calculos!$B$11:$B$28,IF(A293&gt;Calculos!$B$4,IF(MOD(IF(A293&lt;=Calculos!$B$4,A293,A293-Calculos!$B$4)+MOD(289-1,Calculos!$B$6)+1,2)=0,INDEX(Calculos!$B$36:$S$52,IF(A293&lt;=Calculos!$B$4,A293,A293-Calculos!$B$4),MOD(289-1,Calculos!$B$6)+1),INDEX(Calculos!$B$36:$S$52,IF(A293&lt;=Calculos!$B$4,A293,A293-Calculos!$B$4),Calculos!$B$2+1-MOD(289-1,Calculos!$B$6)+1)),IF(MOD(IF(A293&lt;=Calculos!$B$4,A293,A293-Calculos!$B$4)+MOD(289-1,Calculos!$B$6)+1,2)=0,INDEX(Calculos!$B$36:$S$52,IF(A293&lt;=Calculos!$B$4,A293,A293-Calculos!$B$4),Calculos!$B$2+1-MOD(289-1,Calculos!$B$6)+1),INDEX(Calculos!$B$36:$S$52,IF(A293&lt;=Calculos!$B$4,A293,A293-Calculos!$B$4),MOD(289-1,Calculos!$B$6)+1)))))</f>
        <v/>
      </c>
      <c r="D293" s="4"/>
      <c r="E293" s="4"/>
      <c r="F293" s="11" t="str">
        <f>IF(A293="","",INDEX(Calculos!$B$11:$B$28,IF(A293&gt;Calculos!$B$4,IF(MOD(IF(A293&lt;=Calculos!$B$4,A293,A293-Calculos!$B$4)+MOD(289-1,Calculos!$B$6)+1,2)=0,INDEX(Calculos!$B$36:$S$52,IF(A293&lt;=Calculos!$B$4,A293,A293-Calculos!$B$4),Calculos!$B$2+1-MOD(289-1,Calculos!$B$6)+1),INDEX(Calculos!$B$36:$S$52,IF(A293&lt;=Calculos!$B$4,A293,A293-Calculos!$B$4),MOD(289-1,Calculos!$B$6)+1)),IF(MOD(IF(A293&lt;=Calculos!$B$4,A293,A293-Calculos!$B$4)+MOD(289-1,Calculos!$B$6)+1,2)=0,INDEX(Calculos!$B$36:$S$52,IF(A293&lt;=Calculos!$B$4,A293,A293-Calculos!$B$4),MOD(289-1,Calculos!$B$6)+1),INDEX(Calculos!$B$36:$S$52,IF(A293&lt;=Calculos!$B$4,A293,A293-Calculos!$B$4),Calculos!$B$2+1-MOD(289-1,Calculos!$B$6)+1)))))</f>
        <v/>
      </c>
      <c r="G293" s="9" t="str">
        <f t="shared" si="28"/>
        <v/>
      </c>
      <c r="H293" s="9" t="str">
        <f>IF(OR(C293="",F293=""),"",IF(AND(ISNUMBER(D293),ISNUMBER(E293)),IF(D293&gt;E293,Inicio!$E$6,IF(D293=E293,Inicio!$F$6,Inicio!$G$6)),""))</f>
        <v/>
      </c>
      <c r="I293" s="9" t="str">
        <f>IF(OR(C293="",F293=""),"",IF(AND(ISNUMBER(D293),ISNUMBER(E293)),IF(D293&lt;E293,Inicio!$E$6,IF(D293=E293,Inicio!$F$6,Inicio!$G$6)),""))</f>
        <v/>
      </c>
      <c r="J293" s="9">
        <f t="shared" si="29"/>
        <v>0</v>
      </c>
      <c r="K293" s="9">
        <f t="shared" si="30"/>
        <v>0</v>
      </c>
      <c r="L293" s="9">
        <f t="shared" si="31"/>
        <v>0</v>
      </c>
      <c r="M293" s="9">
        <f t="shared" si="32"/>
        <v>0</v>
      </c>
      <c r="N293" s="9">
        <f t="shared" si="33"/>
        <v>0</v>
      </c>
      <c r="O293" s="9">
        <f t="shared" si="34"/>
        <v>0</v>
      </c>
    </row>
    <row r="294" spans="1:15" x14ac:dyDescent="0.25">
      <c r="A294" s="9" t="str">
        <f>IF(OR(Calculos!$B$7=0,290&gt;Calculos!$B$7),"",INT((290-1)/Calculos!$B$6)+1)</f>
        <v/>
      </c>
      <c r="B294" s="10" t="str">
        <f>IF(A294="","",Inicio!$E$5+(A294-1)*Inicio!$B$6)</f>
        <v/>
      </c>
      <c r="C294" s="11" t="str">
        <f>IF(A294="","",INDEX(Calculos!$B$11:$B$28,IF(A294&gt;Calculos!$B$4,IF(MOD(IF(A294&lt;=Calculos!$B$4,A294,A294-Calculos!$B$4)+MOD(290-1,Calculos!$B$6)+1,2)=0,INDEX(Calculos!$B$36:$S$52,IF(A294&lt;=Calculos!$B$4,A294,A294-Calculos!$B$4),MOD(290-1,Calculos!$B$6)+1),INDEX(Calculos!$B$36:$S$52,IF(A294&lt;=Calculos!$B$4,A294,A294-Calculos!$B$4),Calculos!$B$2+1-MOD(290-1,Calculos!$B$6)+1)),IF(MOD(IF(A294&lt;=Calculos!$B$4,A294,A294-Calculos!$B$4)+MOD(290-1,Calculos!$B$6)+1,2)=0,INDEX(Calculos!$B$36:$S$52,IF(A294&lt;=Calculos!$B$4,A294,A294-Calculos!$B$4),Calculos!$B$2+1-MOD(290-1,Calculos!$B$6)+1),INDEX(Calculos!$B$36:$S$52,IF(A294&lt;=Calculos!$B$4,A294,A294-Calculos!$B$4),MOD(290-1,Calculos!$B$6)+1)))))</f>
        <v/>
      </c>
      <c r="D294" s="4"/>
      <c r="E294" s="4"/>
      <c r="F294" s="11" t="str">
        <f>IF(A294="","",INDEX(Calculos!$B$11:$B$28,IF(A294&gt;Calculos!$B$4,IF(MOD(IF(A294&lt;=Calculos!$B$4,A294,A294-Calculos!$B$4)+MOD(290-1,Calculos!$B$6)+1,2)=0,INDEX(Calculos!$B$36:$S$52,IF(A294&lt;=Calculos!$B$4,A294,A294-Calculos!$B$4),Calculos!$B$2+1-MOD(290-1,Calculos!$B$6)+1),INDEX(Calculos!$B$36:$S$52,IF(A294&lt;=Calculos!$B$4,A294,A294-Calculos!$B$4),MOD(290-1,Calculos!$B$6)+1)),IF(MOD(IF(A294&lt;=Calculos!$B$4,A294,A294-Calculos!$B$4)+MOD(290-1,Calculos!$B$6)+1,2)=0,INDEX(Calculos!$B$36:$S$52,IF(A294&lt;=Calculos!$B$4,A294,A294-Calculos!$B$4),MOD(290-1,Calculos!$B$6)+1),INDEX(Calculos!$B$36:$S$52,IF(A294&lt;=Calculos!$B$4,A294,A294-Calculos!$B$4),Calculos!$B$2+1-MOD(290-1,Calculos!$B$6)+1)))))</f>
        <v/>
      </c>
      <c r="G294" s="9" t="str">
        <f t="shared" si="28"/>
        <v/>
      </c>
      <c r="H294" s="9" t="str">
        <f>IF(OR(C294="",F294=""),"",IF(AND(ISNUMBER(D294),ISNUMBER(E294)),IF(D294&gt;E294,Inicio!$E$6,IF(D294=E294,Inicio!$F$6,Inicio!$G$6)),""))</f>
        <v/>
      </c>
      <c r="I294" s="9" t="str">
        <f>IF(OR(C294="",F294=""),"",IF(AND(ISNUMBER(D294),ISNUMBER(E294)),IF(D294&lt;E294,Inicio!$E$6,IF(D294=E294,Inicio!$F$6,Inicio!$G$6)),""))</f>
        <v/>
      </c>
      <c r="J294" s="9">
        <f t="shared" si="29"/>
        <v>0</v>
      </c>
      <c r="K294" s="9">
        <f t="shared" si="30"/>
        <v>0</v>
      </c>
      <c r="L294" s="9">
        <f t="shared" si="31"/>
        <v>0</v>
      </c>
      <c r="M294" s="9">
        <f t="shared" si="32"/>
        <v>0</v>
      </c>
      <c r="N294" s="9">
        <f t="shared" si="33"/>
        <v>0</v>
      </c>
      <c r="O294" s="9">
        <f t="shared" si="34"/>
        <v>0</v>
      </c>
    </row>
    <row r="295" spans="1:15" x14ac:dyDescent="0.25">
      <c r="A295" s="9" t="str">
        <f>IF(OR(Calculos!$B$7=0,291&gt;Calculos!$B$7),"",INT((291-1)/Calculos!$B$6)+1)</f>
        <v/>
      </c>
      <c r="B295" s="10" t="str">
        <f>IF(A295="","",Inicio!$E$5+(A295-1)*Inicio!$B$6)</f>
        <v/>
      </c>
      <c r="C295" s="11" t="str">
        <f>IF(A295="","",INDEX(Calculos!$B$11:$B$28,IF(A295&gt;Calculos!$B$4,IF(MOD(IF(A295&lt;=Calculos!$B$4,A295,A295-Calculos!$B$4)+MOD(291-1,Calculos!$B$6)+1,2)=0,INDEX(Calculos!$B$36:$S$52,IF(A295&lt;=Calculos!$B$4,A295,A295-Calculos!$B$4),MOD(291-1,Calculos!$B$6)+1),INDEX(Calculos!$B$36:$S$52,IF(A295&lt;=Calculos!$B$4,A295,A295-Calculos!$B$4),Calculos!$B$2+1-MOD(291-1,Calculos!$B$6)+1)),IF(MOD(IF(A295&lt;=Calculos!$B$4,A295,A295-Calculos!$B$4)+MOD(291-1,Calculos!$B$6)+1,2)=0,INDEX(Calculos!$B$36:$S$52,IF(A295&lt;=Calculos!$B$4,A295,A295-Calculos!$B$4),Calculos!$B$2+1-MOD(291-1,Calculos!$B$6)+1),INDEX(Calculos!$B$36:$S$52,IF(A295&lt;=Calculos!$B$4,A295,A295-Calculos!$B$4),MOD(291-1,Calculos!$B$6)+1)))))</f>
        <v/>
      </c>
      <c r="D295" s="4"/>
      <c r="E295" s="4"/>
      <c r="F295" s="11" t="str">
        <f>IF(A295="","",INDEX(Calculos!$B$11:$B$28,IF(A295&gt;Calculos!$B$4,IF(MOD(IF(A295&lt;=Calculos!$B$4,A295,A295-Calculos!$B$4)+MOD(291-1,Calculos!$B$6)+1,2)=0,INDEX(Calculos!$B$36:$S$52,IF(A295&lt;=Calculos!$B$4,A295,A295-Calculos!$B$4),Calculos!$B$2+1-MOD(291-1,Calculos!$B$6)+1),INDEX(Calculos!$B$36:$S$52,IF(A295&lt;=Calculos!$B$4,A295,A295-Calculos!$B$4),MOD(291-1,Calculos!$B$6)+1)),IF(MOD(IF(A295&lt;=Calculos!$B$4,A295,A295-Calculos!$B$4)+MOD(291-1,Calculos!$B$6)+1,2)=0,INDEX(Calculos!$B$36:$S$52,IF(A295&lt;=Calculos!$B$4,A295,A295-Calculos!$B$4),MOD(291-1,Calculos!$B$6)+1),INDEX(Calculos!$B$36:$S$52,IF(A295&lt;=Calculos!$B$4,A295,A295-Calculos!$B$4),Calculos!$B$2+1-MOD(291-1,Calculos!$B$6)+1)))))</f>
        <v/>
      </c>
      <c r="G295" s="9" t="str">
        <f t="shared" si="28"/>
        <v/>
      </c>
      <c r="H295" s="9" t="str">
        <f>IF(OR(C295="",F295=""),"",IF(AND(ISNUMBER(D295),ISNUMBER(E295)),IF(D295&gt;E295,Inicio!$E$6,IF(D295=E295,Inicio!$F$6,Inicio!$G$6)),""))</f>
        <v/>
      </c>
      <c r="I295" s="9" t="str">
        <f>IF(OR(C295="",F295=""),"",IF(AND(ISNUMBER(D295),ISNUMBER(E295)),IF(D295&lt;E295,Inicio!$E$6,IF(D295=E295,Inicio!$F$6,Inicio!$G$6)),""))</f>
        <v/>
      </c>
      <c r="J295" s="9">
        <f t="shared" si="29"/>
        <v>0</v>
      </c>
      <c r="K295" s="9">
        <f t="shared" si="30"/>
        <v>0</v>
      </c>
      <c r="L295" s="9">
        <f t="shared" si="31"/>
        <v>0</v>
      </c>
      <c r="M295" s="9">
        <f t="shared" si="32"/>
        <v>0</v>
      </c>
      <c r="N295" s="9">
        <f t="shared" si="33"/>
        <v>0</v>
      </c>
      <c r="O295" s="9">
        <f t="shared" si="34"/>
        <v>0</v>
      </c>
    </row>
    <row r="296" spans="1:15" x14ac:dyDescent="0.25">
      <c r="A296" s="9" t="str">
        <f>IF(OR(Calculos!$B$7=0,292&gt;Calculos!$B$7),"",INT((292-1)/Calculos!$B$6)+1)</f>
        <v/>
      </c>
      <c r="B296" s="10" t="str">
        <f>IF(A296="","",Inicio!$E$5+(A296-1)*Inicio!$B$6)</f>
        <v/>
      </c>
      <c r="C296" s="11" t="str">
        <f>IF(A296="","",INDEX(Calculos!$B$11:$B$28,IF(A296&gt;Calculos!$B$4,IF(MOD(IF(A296&lt;=Calculos!$B$4,A296,A296-Calculos!$B$4)+MOD(292-1,Calculos!$B$6)+1,2)=0,INDEX(Calculos!$B$36:$S$52,IF(A296&lt;=Calculos!$B$4,A296,A296-Calculos!$B$4),MOD(292-1,Calculos!$B$6)+1),INDEX(Calculos!$B$36:$S$52,IF(A296&lt;=Calculos!$B$4,A296,A296-Calculos!$B$4),Calculos!$B$2+1-MOD(292-1,Calculos!$B$6)+1)),IF(MOD(IF(A296&lt;=Calculos!$B$4,A296,A296-Calculos!$B$4)+MOD(292-1,Calculos!$B$6)+1,2)=0,INDEX(Calculos!$B$36:$S$52,IF(A296&lt;=Calculos!$B$4,A296,A296-Calculos!$B$4),Calculos!$B$2+1-MOD(292-1,Calculos!$B$6)+1),INDEX(Calculos!$B$36:$S$52,IF(A296&lt;=Calculos!$B$4,A296,A296-Calculos!$B$4),MOD(292-1,Calculos!$B$6)+1)))))</f>
        <v/>
      </c>
      <c r="D296" s="4"/>
      <c r="E296" s="4"/>
      <c r="F296" s="11" t="str">
        <f>IF(A296="","",INDEX(Calculos!$B$11:$B$28,IF(A296&gt;Calculos!$B$4,IF(MOD(IF(A296&lt;=Calculos!$B$4,A296,A296-Calculos!$B$4)+MOD(292-1,Calculos!$B$6)+1,2)=0,INDEX(Calculos!$B$36:$S$52,IF(A296&lt;=Calculos!$B$4,A296,A296-Calculos!$B$4),Calculos!$B$2+1-MOD(292-1,Calculos!$B$6)+1),INDEX(Calculos!$B$36:$S$52,IF(A296&lt;=Calculos!$B$4,A296,A296-Calculos!$B$4),MOD(292-1,Calculos!$B$6)+1)),IF(MOD(IF(A296&lt;=Calculos!$B$4,A296,A296-Calculos!$B$4)+MOD(292-1,Calculos!$B$6)+1,2)=0,INDEX(Calculos!$B$36:$S$52,IF(A296&lt;=Calculos!$B$4,A296,A296-Calculos!$B$4),MOD(292-1,Calculos!$B$6)+1),INDEX(Calculos!$B$36:$S$52,IF(A296&lt;=Calculos!$B$4,A296,A296-Calculos!$B$4),Calculos!$B$2+1-MOD(292-1,Calculos!$B$6)+1)))))</f>
        <v/>
      </c>
      <c r="G296" s="9" t="str">
        <f t="shared" si="28"/>
        <v/>
      </c>
      <c r="H296" s="9" t="str">
        <f>IF(OR(C296="",F296=""),"",IF(AND(ISNUMBER(D296),ISNUMBER(E296)),IF(D296&gt;E296,Inicio!$E$6,IF(D296=E296,Inicio!$F$6,Inicio!$G$6)),""))</f>
        <v/>
      </c>
      <c r="I296" s="9" t="str">
        <f>IF(OR(C296="",F296=""),"",IF(AND(ISNUMBER(D296),ISNUMBER(E296)),IF(D296&lt;E296,Inicio!$E$6,IF(D296=E296,Inicio!$F$6,Inicio!$G$6)),""))</f>
        <v/>
      </c>
      <c r="J296" s="9">
        <f t="shared" si="29"/>
        <v>0</v>
      </c>
      <c r="K296" s="9">
        <f t="shared" si="30"/>
        <v>0</v>
      </c>
      <c r="L296" s="9">
        <f t="shared" si="31"/>
        <v>0</v>
      </c>
      <c r="M296" s="9">
        <f t="shared" si="32"/>
        <v>0</v>
      </c>
      <c r="N296" s="9">
        <f t="shared" si="33"/>
        <v>0</v>
      </c>
      <c r="O296" s="9">
        <f t="shared" si="34"/>
        <v>0</v>
      </c>
    </row>
    <row r="297" spans="1:15" x14ac:dyDescent="0.25">
      <c r="A297" s="9" t="str">
        <f>IF(OR(Calculos!$B$7=0,293&gt;Calculos!$B$7),"",INT((293-1)/Calculos!$B$6)+1)</f>
        <v/>
      </c>
      <c r="B297" s="10" t="str">
        <f>IF(A297="","",Inicio!$E$5+(A297-1)*Inicio!$B$6)</f>
        <v/>
      </c>
      <c r="C297" s="11" t="str">
        <f>IF(A297="","",INDEX(Calculos!$B$11:$B$28,IF(A297&gt;Calculos!$B$4,IF(MOD(IF(A297&lt;=Calculos!$B$4,A297,A297-Calculos!$B$4)+MOD(293-1,Calculos!$B$6)+1,2)=0,INDEX(Calculos!$B$36:$S$52,IF(A297&lt;=Calculos!$B$4,A297,A297-Calculos!$B$4),MOD(293-1,Calculos!$B$6)+1),INDEX(Calculos!$B$36:$S$52,IF(A297&lt;=Calculos!$B$4,A297,A297-Calculos!$B$4),Calculos!$B$2+1-MOD(293-1,Calculos!$B$6)+1)),IF(MOD(IF(A297&lt;=Calculos!$B$4,A297,A297-Calculos!$B$4)+MOD(293-1,Calculos!$B$6)+1,2)=0,INDEX(Calculos!$B$36:$S$52,IF(A297&lt;=Calculos!$B$4,A297,A297-Calculos!$B$4),Calculos!$B$2+1-MOD(293-1,Calculos!$B$6)+1),INDEX(Calculos!$B$36:$S$52,IF(A297&lt;=Calculos!$B$4,A297,A297-Calculos!$B$4),MOD(293-1,Calculos!$B$6)+1)))))</f>
        <v/>
      </c>
      <c r="D297" s="4"/>
      <c r="E297" s="4"/>
      <c r="F297" s="11" t="str">
        <f>IF(A297="","",INDEX(Calculos!$B$11:$B$28,IF(A297&gt;Calculos!$B$4,IF(MOD(IF(A297&lt;=Calculos!$B$4,A297,A297-Calculos!$B$4)+MOD(293-1,Calculos!$B$6)+1,2)=0,INDEX(Calculos!$B$36:$S$52,IF(A297&lt;=Calculos!$B$4,A297,A297-Calculos!$B$4),Calculos!$B$2+1-MOD(293-1,Calculos!$B$6)+1),INDEX(Calculos!$B$36:$S$52,IF(A297&lt;=Calculos!$B$4,A297,A297-Calculos!$B$4),MOD(293-1,Calculos!$B$6)+1)),IF(MOD(IF(A297&lt;=Calculos!$B$4,A297,A297-Calculos!$B$4)+MOD(293-1,Calculos!$B$6)+1,2)=0,INDEX(Calculos!$B$36:$S$52,IF(A297&lt;=Calculos!$B$4,A297,A297-Calculos!$B$4),MOD(293-1,Calculos!$B$6)+1),INDEX(Calculos!$B$36:$S$52,IF(A297&lt;=Calculos!$B$4,A297,A297-Calculos!$B$4),Calculos!$B$2+1-MOD(293-1,Calculos!$B$6)+1)))))</f>
        <v/>
      </c>
      <c r="G297" s="9" t="str">
        <f t="shared" si="28"/>
        <v/>
      </c>
      <c r="H297" s="9" t="str">
        <f>IF(OR(C297="",F297=""),"",IF(AND(ISNUMBER(D297),ISNUMBER(E297)),IF(D297&gt;E297,Inicio!$E$6,IF(D297=E297,Inicio!$F$6,Inicio!$G$6)),""))</f>
        <v/>
      </c>
      <c r="I297" s="9" t="str">
        <f>IF(OR(C297="",F297=""),"",IF(AND(ISNUMBER(D297),ISNUMBER(E297)),IF(D297&lt;E297,Inicio!$E$6,IF(D297=E297,Inicio!$F$6,Inicio!$G$6)),""))</f>
        <v/>
      </c>
      <c r="J297" s="9">
        <f t="shared" si="29"/>
        <v>0</v>
      </c>
      <c r="K297" s="9">
        <f t="shared" si="30"/>
        <v>0</v>
      </c>
      <c r="L297" s="9">
        <f t="shared" si="31"/>
        <v>0</v>
      </c>
      <c r="M297" s="9">
        <f t="shared" si="32"/>
        <v>0</v>
      </c>
      <c r="N297" s="9">
        <f t="shared" si="33"/>
        <v>0</v>
      </c>
      <c r="O297" s="9">
        <f t="shared" si="34"/>
        <v>0</v>
      </c>
    </row>
    <row r="298" spans="1:15" x14ac:dyDescent="0.25">
      <c r="A298" s="9" t="str">
        <f>IF(OR(Calculos!$B$7=0,294&gt;Calculos!$B$7),"",INT((294-1)/Calculos!$B$6)+1)</f>
        <v/>
      </c>
      <c r="B298" s="10" t="str">
        <f>IF(A298="","",Inicio!$E$5+(A298-1)*Inicio!$B$6)</f>
        <v/>
      </c>
      <c r="C298" s="11" t="str">
        <f>IF(A298="","",INDEX(Calculos!$B$11:$B$28,IF(A298&gt;Calculos!$B$4,IF(MOD(IF(A298&lt;=Calculos!$B$4,A298,A298-Calculos!$B$4)+MOD(294-1,Calculos!$B$6)+1,2)=0,INDEX(Calculos!$B$36:$S$52,IF(A298&lt;=Calculos!$B$4,A298,A298-Calculos!$B$4),MOD(294-1,Calculos!$B$6)+1),INDEX(Calculos!$B$36:$S$52,IF(A298&lt;=Calculos!$B$4,A298,A298-Calculos!$B$4),Calculos!$B$2+1-MOD(294-1,Calculos!$B$6)+1)),IF(MOD(IF(A298&lt;=Calculos!$B$4,A298,A298-Calculos!$B$4)+MOD(294-1,Calculos!$B$6)+1,2)=0,INDEX(Calculos!$B$36:$S$52,IF(A298&lt;=Calculos!$B$4,A298,A298-Calculos!$B$4),Calculos!$B$2+1-MOD(294-1,Calculos!$B$6)+1),INDEX(Calculos!$B$36:$S$52,IF(A298&lt;=Calculos!$B$4,A298,A298-Calculos!$B$4),MOD(294-1,Calculos!$B$6)+1)))))</f>
        <v/>
      </c>
      <c r="D298" s="4"/>
      <c r="E298" s="4"/>
      <c r="F298" s="11" t="str">
        <f>IF(A298="","",INDEX(Calculos!$B$11:$B$28,IF(A298&gt;Calculos!$B$4,IF(MOD(IF(A298&lt;=Calculos!$B$4,A298,A298-Calculos!$B$4)+MOD(294-1,Calculos!$B$6)+1,2)=0,INDEX(Calculos!$B$36:$S$52,IF(A298&lt;=Calculos!$B$4,A298,A298-Calculos!$B$4),Calculos!$B$2+1-MOD(294-1,Calculos!$B$6)+1),INDEX(Calculos!$B$36:$S$52,IF(A298&lt;=Calculos!$B$4,A298,A298-Calculos!$B$4),MOD(294-1,Calculos!$B$6)+1)),IF(MOD(IF(A298&lt;=Calculos!$B$4,A298,A298-Calculos!$B$4)+MOD(294-1,Calculos!$B$6)+1,2)=0,INDEX(Calculos!$B$36:$S$52,IF(A298&lt;=Calculos!$B$4,A298,A298-Calculos!$B$4),MOD(294-1,Calculos!$B$6)+1),INDEX(Calculos!$B$36:$S$52,IF(A298&lt;=Calculos!$B$4,A298,A298-Calculos!$B$4),Calculos!$B$2+1-MOD(294-1,Calculos!$B$6)+1)))))</f>
        <v/>
      </c>
      <c r="G298" s="9" t="str">
        <f t="shared" si="28"/>
        <v/>
      </c>
      <c r="H298" s="9" t="str">
        <f>IF(OR(C298="",F298=""),"",IF(AND(ISNUMBER(D298),ISNUMBER(E298)),IF(D298&gt;E298,Inicio!$E$6,IF(D298=E298,Inicio!$F$6,Inicio!$G$6)),""))</f>
        <v/>
      </c>
      <c r="I298" s="9" t="str">
        <f>IF(OR(C298="",F298=""),"",IF(AND(ISNUMBER(D298),ISNUMBER(E298)),IF(D298&lt;E298,Inicio!$E$6,IF(D298=E298,Inicio!$F$6,Inicio!$G$6)),""))</f>
        <v/>
      </c>
      <c r="J298" s="9">
        <f t="shared" si="29"/>
        <v>0</v>
      </c>
      <c r="K298" s="9">
        <f t="shared" si="30"/>
        <v>0</v>
      </c>
      <c r="L298" s="9">
        <f t="shared" si="31"/>
        <v>0</v>
      </c>
      <c r="M298" s="9">
        <f t="shared" si="32"/>
        <v>0</v>
      </c>
      <c r="N298" s="9">
        <f t="shared" si="33"/>
        <v>0</v>
      </c>
      <c r="O298" s="9">
        <f t="shared" si="34"/>
        <v>0</v>
      </c>
    </row>
    <row r="299" spans="1:15" x14ac:dyDescent="0.25">
      <c r="A299" s="9" t="str">
        <f>IF(OR(Calculos!$B$7=0,295&gt;Calculos!$B$7),"",INT((295-1)/Calculos!$B$6)+1)</f>
        <v/>
      </c>
      <c r="B299" s="10" t="str">
        <f>IF(A299="","",Inicio!$E$5+(A299-1)*Inicio!$B$6)</f>
        <v/>
      </c>
      <c r="C299" s="11" t="str">
        <f>IF(A299="","",INDEX(Calculos!$B$11:$B$28,IF(A299&gt;Calculos!$B$4,IF(MOD(IF(A299&lt;=Calculos!$B$4,A299,A299-Calculos!$B$4)+MOD(295-1,Calculos!$B$6)+1,2)=0,INDEX(Calculos!$B$36:$S$52,IF(A299&lt;=Calculos!$B$4,A299,A299-Calculos!$B$4),MOD(295-1,Calculos!$B$6)+1),INDEX(Calculos!$B$36:$S$52,IF(A299&lt;=Calculos!$B$4,A299,A299-Calculos!$B$4),Calculos!$B$2+1-MOD(295-1,Calculos!$B$6)+1)),IF(MOD(IF(A299&lt;=Calculos!$B$4,A299,A299-Calculos!$B$4)+MOD(295-1,Calculos!$B$6)+1,2)=0,INDEX(Calculos!$B$36:$S$52,IF(A299&lt;=Calculos!$B$4,A299,A299-Calculos!$B$4),Calculos!$B$2+1-MOD(295-1,Calculos!$B$6)+1),INDEX(Calculos!$B$36:$S$52,IF(A299&lt;=Calculos!$B$4,A299,A299-Calculos!$B$4),MOD(295-1,Calculos!$B$6)+1)))))</f>
        <v/>
      </c>
      <c r="D299" s="4"/>
      <c r="E299" s="4"/>
      <c r="F299" s="11" t="str">
        <f>IF(A299="","",INDEX(Calculos!$B$11:$B$28,IF(A299&gt;Calculos!$B$4,IF(MOD(IF(A299&lt;=Calculos!$B$4,A299,A299-Calculos!$B$4)+MOD(295-1,Calculos!$B$6)+1,2)=0,INDEX(Calculos!$B$36:$S$52,IF(A299&lt;=Calculos!$B$4,A299,A299-Calculos!$B$4),Calculos!$B$2+1-MOD(295-1,Calculos!$B$6)+1),INDEX(Calculos!$B$36:$S$52,IF(A299&lt;=Calculos!$B$4,A299,A299-Calculos!$B$4),MOD(295-1,Calculos!$B$6)+1)),IF(MOD(IF(A299&lt;=Calculos!$B$4,A299,A299-Calculos!$B$4)+MOD(295-1,Calculos!$B$6)+1,2)=0,INDEX(Calculos!$B$36:$S$52,IF(A299&lt;=Calculos!$B$4,A299,A299-Calculos!$B$4),MOD(295-1,Calculos!$B$6)+1),INDEX(Calculos!$B$36:$S$52,IF(A299&lt;=Calculos!$B$4,A299,A299-Calculos!$B$4),Calculos!$B$2+1-MOD(295-1,Calculos!$B$6)+1)))))</f>
        <v/>
      </c>
      <c r="G299" s="9" t="str">
        <f t="shared" si="28"/>
        <v/>
      </c>
      <c r="H299" s="9" t="str">
        <f>IF(OR(C299="",F299=""),"",IF(AND(ISNUMBER(D299),ISNUMBER(E299)),IF(D299&gt;E299,Inicio!$E$6,IF(D299=E299,Inicio!$F$6,Inicio!$G$6)),""))</f>
        <v/>
      </c>
      <c r="I299" s="9" t="str">
        <f>IF(OR(C299="",F299=""),"",IF(AND(ISNUMBER(D299),ISNUMBER(E299)),IF(D299&lt;E299,Inicio!$E$6,IF(D299=E299,Inicio!$F$6,Inicio!$G$6)),""))</f>
        <v/>
      </c>
      <c r="J299" s="9">
        <f t="shared" si="29"/>
        <v>0</v>
      </c>
      <c r="K299" s="9">
        <f t="shared" si="30"/>
        <v>0</v>
      </c>
      <c r="L299" s="9">
        <f t="shared" si="31"/>
        <v>0</v>
      </c>
      <c r="M299" s="9">
        <f t="shared" si="32"/>
        <v>0</v>
      </c>
      <c r="N299" s="9">
        <f t="shared" si="33"/>
        <v>0</v>
      </c>
      <c r="O299" s="9">
        <f t="shared" si="34"/>
        <v>0</v>
      </c>
    </row>
    <row r="300" spans="1:15" x14ac:dyDescent="0.25">
      <c r="A300" s="9" t="str">
        <f>IF(OR(Calculos!$B$7=0,296&gt;Calculos!$B$7),"",INT((296-1)/Calculos!$B$6)+1)</f>
        <v/>
      </c>
      <c r="B300" s="10" t="str">
        <f>IF(A300="","",Inicio!$E$5+(A300-1)*Inicio!$B$6)</f>
        <v/>
      </c>
      <c r="C300" s="11" t="str">
        <f>IF(A300="","",INDEX(Calculos!$B$11:$B$28,IF(A300&gt;Calculos!$B$4,IF(MOD(IF(A300&lt;=Calculos!$B$4,A300,A300-Calculos!$B$4)+MOD(296-1,Calculos!$B$6)+1,2)=0,INDEX(Calculos!$B$36:$S$52,IF(A300&lt;=Calculos!$B$4,A300,A300-Calculos!$B$4),MOD(296-1,Calculos!$B$6)+1),INDEX(Calculos!$B$36:$S$52,IF(A300&lt;=Calculos!$B$4,A300,A300-Calculos!$B$4),Calculos!$B$2+1-MOD(296-1,Calculos!$B$6)+1)),IF(MOD(IF(A300&lt;=Calculos!$B$4,A300,A300-Calculos!$B$4)+MOD(296-1,Calculos!$B$6)+1,2)=0,INDEX(Calculos!$B$36:$S$52,IF(A300&lt;=Calculos!$B$4,A300,A300-Calculos!$B$4),Calculos!$B$2+1-MOD(296-1,Calculos!$B$6)+1),INDEX(Calculos!$B$36:$S$52,IF(A300&lt;=Calculos!$B$4,A300,A300-Calculos!$B$4),MOD(296-1,Calculos!$B$6)+1)))))</f>
        <v/>
      </c>
      <c r="D300" s="4"/>
      <c r="E300" s="4"/>
      <c r="F300" s="11" t="str">
        <f>IF(A300="","",INDEX(Calculos!$B$11:$B$28,IF(A300&gt;Calculos!$B$4,IF(MOD(IF(A300&lt;=Calculos!$B$4,A300,A300-Calculos!$B$4)+MOD(296-1,Calculos!$B$6)+1,2)=0,INDEX(Calculos!$B$36:$S$52,IF(A300&lt;=Calculos!$B$4,A300,A300-Calculos!$B$4),Calculos!$B$2+1-MOD(296-1,Calculos!$B$6)+1),INDEX(Calculos!$B$36:$S$52,IF(A300&lt;=Calculos!$B$4,A300,A300-Calculos!$B$4),MOD(296-1,Calculos!$B$6)+1)),IF(MOD(IF(A300&lt;=Calculos!$B$4,A300,A300-Calculos!$B$4)+MOD(296-1,Calculos!$B$6)+1,2)=0,INDEX(Calculos!$B$36:$S$52,IF(A300&lt;=Calculos!$B$4,A300,A300-Calculos!$B$4),MOD(296-1,Calculos!$B$6)+1),INDEX(Calculos!$B$36:$S$52,IF(A300&lt;=Calculos!$B$4,A300,A300-Calculos!$B$4),Calculos!$B$2+1-MOD(296-1,Calculos!$B$6)+1)))))</f>
        <v/>
      </c>
      <c r="G300" s="9" t="str">
        <f t="shared" si="28"/>
        <v/>
      </c>
      <c r="H300" s="9" t="str">
        <f>IF(OR(C300="",F300=""),"",IF(AND(ISNUMBER(D300),ISNUMBER(E300)),IF(D300&gt;E300,Inicio!$E$6,IF(D300=E300,Inicio!$F$6,Inicio!$G$6)),""))</f>
        <v/>
      </c>
      <c r="I300" s="9" t="str">
        <f>IF(OR(C300="",F300=""),"",IF(AND(ISNUMBER(D300),ISNUMBER(E300)),IF(D300&lt;E300,Inicio!$E$6,IF(D300=E300,Inicio!$F$6,Inicio!$G$6)),""))</f>
        <v/>
      </c>
      <c r="J300" s="9">
        <f t="shared" si="29"/>
        <v>0</v>
      </c>
      <c r="K300" s="9">
        <f t="shared" si="30"/>
        <v>0</v>
      </c>
      <c r="L300" s="9">
        <f t="shared" si="31"/>
        <v>0</v>
      </c>
      <c r="M300" s="9">
        <f t="shared" si="32"/>
        <v>0</v>
      </c>
      <c r="N300" s="9">
        <f t="shared" si="33"/>
        <v>0</v>
      </c>
      <c r="O300" s="9">
        <f t="shared" si="34"/>
        <v>0</v>
      </c>
    </row>
    <row r="301" spans="1:15" x14ac:dyDescent="0.25">
      <c r="A301" s="9" t="str">
        <f>IF(OR(Calculos!$B$7=0,297&gt;Calculos!$B$7),"",INT((297-1)/Calculos!$B$6)+1)</f>
        <v/>
      </c>
      <c r="B301" s="10" t="str">
        <f>IF(A301="","",Inicio!$E$5+(A301-1)*Inicio!$B$6)</f>
        <v/>
      </c>
      <c r="C301" s="11" t="str">
        <f>IF(A301="","",INDEX(Calculos!$B$11:$B$28,IF(A301&gt;Calculos!$B$4,IF(MOD(IF(A301&lt;=Calculos!$B$4,A301,A301-Calculos!$B$4)+MOD(297-1,Calculos!$B$6)+1,2)=0,INDEX(Calculos!$B$36:$S$52,IF(A301&lt;=Calculos!$B$4,A301,A301-Calculos!$B$4),MOD(297-1,Calculos!$B$6)+1),INDEX(Calculos!$B$36:$S$52,IF(A301&lt;=Calculos!$B$4,A301,A301-Calculos!$B$4),Calculos!$B$2+1-MOD(297-1,Calculos!$B$6)+1)),IF(MOD(IF(A301&lt;=Calculos!$B$4,A301,A301-Calculos!$B$4)+MOD(297-1,Calculos!$B$6)+1,2)=0,INDEX(Calculos!$B$36:$S$52,IF(A301&lt;=Calculos!$B$4,A301,A301-Calculos!$B$4),Calculos!$B$2+1-MOD(297-1,Calculos!$B$6)+1),INDEX(Calculos!$B$36:$S$52,IF(A301&lt;=Calculos!$B$4,A301,A301-Calculos!$B$4),MOD(297-1,Calculos!$B$6)+1)))))</f>
        <v/>
      </c>
      <c r="D301" s="4"/>
      <c r="E301" s="4"/>
      <c r="F301" s="11" t="str">
        <f>IF(A301="","",INDEX(Calculos!$B$11:$B$28,IF(A301&gt;Calculos!$B$4,IF(MOD(IF(A301&lt;=Calculos!$B$4,A301,A301-Calculos!$B$4)+MOD(297-1,Calculos!$B$6)+1,2)=0,INDEX(Calculos!$B$36:$S$52,IF(A301&lt;=Calculos!$B$4,A301,A301-Calculos!$B$4),Calculos!$B$2+1-MOD(297-1,Calculos!$B$6)+1),INDEX(Calculos!$B$36:$S$52,IF(A301&lt;=Calculos!$B$4,A301,A301-Calculos!$B$4),MOD(297-1,Calculos!$B$6)+1)),IF(MOD(IF(A301&lt;=Calculos!$B$4,A301,A301-Calculos!$B$4)+MOD(297-1,Calculos!$B$6)+1,2)=0,INDEX(Calculos!$B$36:$S$52,IF(A301&lt;=Calculos!$B$4,A301,A301-Calculos!$B$4),MOD(297-1,Calculos!$B$6)+1),INDEX(Calculos!$B$36:$S$52,IF(A301&lt;=Calculos!$B$4,A301,A301-Calculos!$B$4),Calculos!$B$2+1-MOD(297-1,Calculos!$B$6)+1)))))</f>
        <v/>
      </c>
      <c r="G301" s="9" t="str">
        <f t="shared" si="28"/>
        <v/>
      </c>
      <c r="H301" s="9" t="str">
        <f>IF(OR(C301="",F301=""),"",IF(AND(ISNUMBER(D301),ISNUMBER(E301)),IF(D301&gt;E301,Inicio!$E$6,IF(D301=E301,Inicio!$F$6,Inicio!$G$6)),""))</f>
        <v/>
      </c>
      <c r="I301" s="9" t="str">
        <f>IF(OR(C301="",F301=""),"",IF(AND(ISNUMBER(D301),ISNUMBER(E301)),IF(D301&lt;E301,Inicio!$E$6,IF(D301=E301,Inicio!$F$6,Inicio!$G$6)),""))</f>
        <v/>
      </c>
      <c r="J301" s="9">
        <f t="shared" si="29"/>
        <v>0</v>
      </c>
      <c r="K301" s="9">
        <f t="shared" si="30"/>
        <v>0</v>
      </c>
      <c r="L301" s="9">
        <f t="shared" si="31"/>
        <v>0</v>
      </c>
      <c r="M301" s="9">
        <f t="shared" si="32"/>
        <v>0</v>
      </c>
      <c r="N301" s="9">
        <f t="shared" si="33"/>
        <v>0</v>
      </c>
      <c r="O301" s="9">
        <f t="shared" si="34"/>
        <v>0</v>
      </c>
    </row>
    <row r="302" spans="1:15" x14ac:dyDescent="0.25">
      <c r="A302" s="9" t="str">
        <f>IF(OR(Calculos!$B$7=0,298&gt;Calculos!$B$7),"",INT((298-1)/Calculos!$B$6)+1)</f>
        <v/>
      </c>
      <c r="B302" s="10" t="str">
        <f>IF(A302="","",Inicio!$E$5+(A302-1)*Inicio!$B$6)</f>
        <v/>
      </c>
      <c r="C302" s="11" t="str">
        <f>IF(A302="","",INDEX(Calculos!$B$11:$B$28,IF(A302&gt;Calculos!$B$4,IF(MOD(IF(A302&lt;=Calculos!$B$4,A302,A302-Calculos!$B$4)+MOD(298-1,Calculos!$B$6)+1,2)=0,INDEX(Calculos!$B$36:$S$52,IF(A302&lt;=Calculos!$B$4,A302,A302-Calculos!$B$4),MOD(298-1,Calculos!$B$6)+1),INDEX(Calculos!$B$36:$S$52,IF(A302&lt;=Calculos!$B$4,A302,A302-Calculos!$B$4),Calculos!$B$2+1-MOD(298-1,Calculos!$B$6)+1)),IF(MOD(IF(A302&lt;=Calculos!$B$4,A302,A302-Calculos!$B$4)+MOD(298-1,Calculos!$B$6)+1,2)=0,INDEX(Calculos!$B$36:$S$52,IF(A302&lt;=Calculos!$B$4,A302,A302-Calculos!$B$4),Calculos!$B$2+1-MOD(298-1,Calculos!$B$6)+1),INDEX(Calculos!$B$36:$S$52,IF(A302&lt;=Calculos!$B$4,A302,A302-Calculos!$B$4),MOD(298-1,Calculos!$B$6)+1)))))</f>
        <v/>
      </c>
      <c r="D302" s="4"/>
      <c r="E302" s="4"/>
      <c r="F302" s="11" t="str">
        <f>IF(A302="","",INDEX(Calculos!$B$11:$B$28,IF(A302&gt;Calculos!$B$4,IF(MOD(IF(A302&lt;=Calculos!$B$4,A302,A302-Calculos!$B$4)+MOD(298-1,Calculos!$B$6)+1,2)=0,INDEX(Calculos!$B$36:$S$52,IF(A302&lt;=Calculos!$B$4,A302,A302-Calculos!$B$4),Calculos!$B$2+1-MOD(298-1,Calculos!$B$6)+1),INDEX(Calculos!$B$36:$S$52,IF(A302&lt;=Calculos!$B$4,A302,A302-Calculos!$B$4),MOD(298-1,Calculos!$B$6)+1)),IF(MOD(IF(A302&lt;=Calculos!$B$4,A302,A302-Calculos!$B$4)+MOD(298-1,Calculos!$B$6)+1,2)=0,INDEX(Calculos!$B$36:$S$52,IF(A302&lt;=Calculos!$B$4,A302,A302-Calculos!$B$4),MOD(298-1,Calculos!$B$6)+1),INDEX(Calculos!$B$36:$S$52,IF(A302&lt;=Calculos!$B$4,A302,A302-Calculos!$B$4),Calculos!$B$2+1-MOD(298-1,Calculos!$B$6)+1)))))</f>
        <v/>
      </c>
      <c r="G302" s="9" t="str">
        <f t="shared" si="28"/>
        <v/>
      </c>
      <c r="H302" s="9" t="str">
        <f>IF(OR(C302="",F302=""),"",IF(AND(ISNUMBER(D302),ISNUMBER(E302)),IF(D302&gt;E302,Inicio!$E$6,IF(D302=E302,Inicio!$F$6,Inicio!$G$6)),""))</f>
        <v/>
      </c>
      <c r="I302" s="9" t="str">
        <f>IF(OR(C302="",F302=""),"",IF(AND(ISNUMBER(D302),ISNUMBER(E302)),IF(D302&lt;E302,Inicio!$E$6,IF(D302=E302,Inicio!$F$6,Inicio!$G$6)),""))</f>
        <v/>
      </c>
      <c r="J302" s="9">
        <f t="shared" si="29"/>
        <v>0</v>
      </c>
      <c r="K302" s="9">
        <f t="shared" si="30"/>
        <v>0</v>
      </c>
      <c r="L302" s="9">
        <f t="shared" si="31"/>
        <v>0</v>
      </c>
      <c r="M302" s="9">
        <f t="shared" si="32"/>
        <v>0</v>
      </c>
      <c r="N302" s="9">
        <f t="shared" si="33"/>
        <v>0</v>
      </c>
      <c r="O302" s="9">
        <f t="shared" si="34"/>
        <v>0</v>
      </c>
    </row>
    <row r="303" spans="1:15" x14ac:dyDescent="0.25">
      <c r="A303" s="9" t="str">
        <f>IF(OR(Calculos!$B$7=0,299&gt;Calculos!$B$7),"",INT((299-1)/Calculos!$B$6)+1)</f>
        <v/>
      </c>
      <c r="B303" s="10" t="str">
        <f>IF(A303="","",Inicio!$E$5+(A303-1)*Inicio!$B$6)</f>
        <v/>
      </c>
      <c r="C303" s="11" t="str">
        <f>IF(A303="","",INDEX(Calculos!$B$11:$B$28,IF(A303&gt;Calculos!$B$4,IF(MOD(IF(A303&lt;=Calculos!$B$4,A303,A303-Calculos!$B$4)+MOD(299-1,Calculos!$B$6)+1,2)=0,INDEX(Calculos!$B$36:$S$52,IF(A303&lt;=Calculos!$B$4,A303,A303-Calculos!$B$4),MOD(299-1,Calculos!$B$6)+1),INDEX(Calculos!$B$36:$S$52,IF(A303&lt;=Calculos!$B$4,A303,A303-Calculos!$B$4),Calculos!$B$2+1-MOD(299-1,Calculos!$B$6)+1)),IF(MOD(IF(A303&lt;=Calculos!$B$4,A303,A303-Calculos!$B$4)+MOD(299-1,Calculos!$B$6)+1,2)=0,INDEX(Calculos!$B$36:$S$52,IF(A303&lt;=Calculos!$B$4,A303,A303-Calculos!$B$4),Calculos!$B$2+1-MOD(299-1,Calculos!$B$6)+1),INDEX(Calculos!$B$36:$S$52,IF(A303&lt;=Calculos!$B$4,A303,A303-Calculos!$B$4),MOD(299-1,Calculos!$B$6)+1)))))</f>
        <v/>
      </c>
      <c r="D303" s="4"/>
      <c r="E303" s="4"/>
      <c r="F303" s="11" t="str">
        <f>IF(A303="","",INDEX(Calculos!$B$11:$B$28,IF(A303&gt;Calculos!$B$4,IF(MOD(IF(A303&lt;=Calculos!$B$4,A303,A303-Calculos!$B$4)+MOD(299-1,Calculos!$B$6)+1,2)=0,INDEX(Calculos!$B$36:$S$52,IF(A303&lt;=Calculos!$B$4,A303,A303-Calculos!$B$4),Calculos!$B$2+1-MOD(299-1,Calculos!$B$6)+1),INDEX(Calculos!$B$36:$S$52,IF(A303&lt;=Calculos!$B$4,A303,A303-Calculos!$B$4),MOD(299-1,Calculos!$B$6)+1)),IF(MOD(IF(A303&lt;=Calculos!$B$4,A303,A303-Calculos!$B$4)+MOD(299-1,Calculos!$B$6)+1,2)=0,INDEX(Calculos!$B$36:$S$52,IF(A303&lt;=Calculos!$B$4,A303,A303-Calculos!$B$4),MOD(299-1,Calculos!$B$6)+1),INDEX(Calculos!$B$36:$S$52,IF(A303&lt;=Calculos!$B$4,A303,A303-Calculos!$B$4),Calculos!$B$2+1-MOD(299-1,Calculos!$B$6)+1)))))</f>
        <v/>
      </c>
      <c r="G303" s="9" t="str">
        <f t="shared" si="28"/>
        <v/>
      </c>
      <c r="H303" s="9" t="str">
        <f>IF(OR(C303="",F303=""),"",IF(AND(ISNUMBER(D303),ISNUMBER(E303)),IF(D303&gt;E303,Inicio!$E$6,IF(D303=E303,Inicio!$F$6,Inicio!$G$6)),""))</f>
        <v/>
      </c>
      <c r="I303" s="9" t="str">
        <f>IF(OR(C303="",F303=""),"",IF(AND(ISNUMBER(D303),ISNUMBER(E303)),IF(D303&lt;E303,Inicio!$E$6,IF(D303=E303,Inicio!$F$6,Inicio!$G$6)),""))</f>
        <v/>
      </c>
      <c r="J303" s="9">
        <f t="shared" si="29"/>
        <v>0</v>
      </c>
      <c r="K303" s="9">
        <f t="shared" si="30"/>
        <v>0</v>
      </c>
      <c r="L303" s="9">
        <f t="shared" si="31"/>
        <v>0</v>
      </c>
      <c r="M303" s="9">
        <f t="shared" si="32"/>
        <v>0</v>
      </c>
      <c r="N303" s="9">
        <f t="shared" si="33"/>
        <v>0</v>
      </c>
      <c r="O303" s="9">
        <f t="shared" si="34"/>
        <v>0</v>
      </c>
    </row>
    <row r="304" spans="1:15" x14ac:dyDescent="0.25">
      <c r="A304" s="9" t="str">
        <f>IF(OR(Calculos!$B$7=0,300&gt;Calculos!$B$7),"",INT((300-1)/Calculos!$B$6)+1)</f>
        <v/>
      </c>
      <c r="B304" s="10" t="str">
        <f>IF(A304="","",Inicio!$E$5+(A304-1)*Inicio!$B$6)</f>
        <v/>
      </c>
      <c r="C304" s="11" t="str">
        <f>IF(A304="","",INDEX(Calculos!$B$11:$B$28,IF(A304&gt;Calculos!$B$4,IF(MOD(IF(A304&lt;=Calculos!$B$4,A304,A304-Calculos!$B$4)+MOD(300-1,Calculos!$B$6)+1,2)=0,INDEX(Calculos!$B$36:$S$52,IF(A304&lt;=Calculos!$B$4,A304,A304-Calculos!$B$4),MOD(300-1,Calculos!$B$6)+1),INDEX(Calculos!$B$36:$S$52,IF(A304&lt;=Calculos!$B$4,A304,A304-Calculos!$B$4),Calculos!$B$2+1-MOD(300-1,Calculos!$B$6)+1)),IF(MOD(IF(A304&lt;=Calculos!$B$4,A304,A304-Calculos!$B$4)+MOD(300-1,Calculos!$B$6)+1,2)=0,INDEX(Calculos!$B$36:$S$52,IF(A304&lt;=Calculos!$B$4,A304,A304-Calculos!$B$4),Calculos!$B$2+1-MOD(300-1,Calculos!$B$6)+1),INDEX(Calculos!$B$36:$S$52,IF(A304&lt;=Calculos!$B$4,A304,A304-Calculos!$B$4),MOD(300-1,Calculos!$B$6)+1)))))</f>
        <v/>
      </c>
      <c r="D304" s="4"/>
      <c r="E304" s="4"/>
      <c r="F304" s="11" t="str">
        <f>IF(A304="","",INDEX(Calculos!$B$11:$B$28,IF(A304&gt;Calculos!$B$4,IF(MOD(IF(A304&lt;=Calculos!$B$4,A304,A304-Calculos!$B$4)+MOD(300-1,Calculos!$B$6)+1,2)=0,INDEX(Calculos!$B$36:$S$52,IF(A304&lt;=Calculos!$B$4,A304,A304-Calculos!$B$4),Calculos!$B$2+1-MOD(300-1,Calculos!$B$6)+1),INDEX(Calculos!$B$36:$S$52,IF(A304&lt;=Calculos!$B$4,A304,A304-Calculos!$B$4),MOD(300-1,Calculos!$B$6)+1)),IF(MOD(IF(A304&lt;=Calculos!$B$4,A304,A304-Calculos!$B$4)+MOD(300-1,Calculos!$B$6)+1,2)=0,INDEX(Calculos!$B$36:$S$52,IF(A304&lt;=Calculos!$B$4,A304,A304-Calculos!$B$4),MOD(300-1,Calculos!$B$6)+1),INDEX(Calculos!$B$36:$S$52,IF(A304&lt;=Calculos!$B$4,A304,A304-Calculos!$B$4),Calculos!$B$2+1-MOD(300-1,Calculos!$B$6)+1)))))</f>
        <v/>
      </c>
      <c r="G304" s="9" t="str">
        <f t="shared" si="28"/>
        <v/>
      </c>
      <c r="H304" s="9" t="str">
        <f>IF(OR(C304="",F304=""),"",IF(AND(ISNUMBER(D304),ISNUMBER(E304)),IF(D304&gt;E304,Inicio!$E$6,IF(D304=E304,Inicio!$F$6,Inicio!$G$6)),""))</f>
        <v/>
      </c>
      <c r="I304" s="9" t="str">
        <f>IF(OR(C304="",F304=""),"",IF(AND(ISNUMBER(D304),ISNUMBER(E304)),IF(D304&lt;E304,Inicio!$E$6,IF(D304=E304,Inicio!$F$6,Inicio!$G$6)),""))</f>
        <v/>
      </c>
      <c r="J304" s="9">
        <f t="shared" si="29"/>
        <v>0</v>
      </c>
      <c r="K304" s="9">
        <f t="shared" si="30"/>
        <v>0</v>
      </c>
      <c r="L304" s="9">
        <f t="shared" si="31"/>
        <v>0</v>
      </c>
      <c r="M304" s="9">
        <f t="shared" si="32"/>
        <v>0</v>
      </c>
      <c r="N304" s="9">
        <f t="shared" si="33"/>
        <v>0</v>
      </c>
      <c r="O304" s="9">
        <f t="shared" si="34"/>
        <v>0</v>
      </c>
    </row>
    <row r="305" spans="1:15" x14ac:dyDescent="0.25">
      <c r="A305" s="9" t="str">
        <f>IF(OR(Calculos!$B$7=0,301&gt;Calculos!$B$7),"",INT((301-1)/Calculos!$B$6)+1)</f>
        <v/>
      </c>
      <c r="B305" s="10" t="str">
        <f>IF(A305="","",Inicio!$E$5+(A305-1)*Inicio!$B$6)</f>
        <v/>
      </c>
      <c r="C305" s="11" t="str">
        <f>IF(A305="","",INDEX(Calculos!$B$11:$B$28,IF(A305&gt;Calculos!$B$4,IF(MOD(IF(A305&lt;=Calculos!$B$4,A305,A305-Calculos!$B$4)+MOD(301-1,Calculos!$B$6)+1,2)=0,INDEX(Calculos!$B$36:$S$52,IF(A305&lt;=Calculos!$B$4,A305,A305-Calculos!$B$4),MOD(301-1,Calculos!$B$6)+1),INDEX(Calculos!$B$36:$S$52,IF(A305&lt;=Calculos!$B$4,A305,A305-Calculos!$B$4),Calculos!$B$2+1-MOD(301-1,Calculos!$B$6)+1)),IF(MOD(IF(A305&lt;=Calculos!$B$4,A305,A305-Calculos!$B$4)+MOD(301-1,Calculos!$B$6)+1,2)=0,INDEX(Calculos!$B$36:$S$52,IF(A305&lt;=Calculos!$B$4,A305,A305-Calculos!$B$4),Calculos!$B$2+1-MOD(301-1,Calculos!$B$6)+1),INDEX(Calculos!$B$36:$S$52,IF(A305&lt;=Calculos!$B$4,A305,A305-Calculos!$B$4),MOD(301-1,Calculos!$B$6)+1)))))</f>
        <v/>
      </c>
      <c r="D305" s="4"/>
      <c r="E305" s="4"/>
      <c r="F305" s="11" t="str">
        <f>IF(A305="","",INDEX(Calculos!$B$11:$B$28,IF(A305&gt;Calculos!$B$4,IF(MOD(IF(A305&lt;=Calculos!$B$4,A305,A305-Calculos!$B$4)+MOD(301-1,Calculos!$B$6)+1,2)=0,INDEX(Calculos!$B$36:$S$52,IF(A305&lt;=Calculos!$B$4,A305,A305-Calculos!$B$4),Calculos!$B$2+1-MOD(301-1,Calculos!$B$6)+1),INDEX(Calculos!$B$36:$S$52,IF(A305&lt;=Calculos!$B$4,A305,A305-Calculos!$B$4),MOD(301-1,Calculos!$B$6)+1)),IF(MOD(IF(A305&lt;=Calculos!$B$4,A305,A305-Calculos!$B$4)+MOD(301-1,Calculos!$B$6)+1,2)=0,INDEX(Calculos!$B$36:$S$52,IF(A305&lt;=Calculos!$B$4,A305,A305-Calculos!$B$4),MOD(301-1,Calculos!$B$6)+1),INDEX(Calculos!$B$36:$S$52,IF(A305&lt;=Calculos!$B$4,A305,A305-Calculos!$B$4),Calculos!$B$2+1-MOD(301-1,Calculos!$B$6)+1)))))</f>
        <v/>
      </c>
      <c r="G305" s="9" t="str">
        <f t="shared" si="28"/>
        <v/>
      </c>
      <c r="H305" s="9" t="str">
        <f>IF(OR(C305="",F305=""),"",IF(AND(ISNUMBER(D305),ISNUMBER(E305)),IF(D305&gt;E305,Inicio!$E$6,IF(D305=E305,Inicio!$F$6,Inicio!$G$6)),""))</f>
        <v/>
      </c>
      <c r="I305" s="9" t="str">
        <f>IF(OR(C305="",F305=""),"",IF(AND(ISNUMBER(D305),ISNUMBER(E305)),IF(D305&lt;E305,Inicio!$E$6,IF(D305=E305,Inicio!$F$6,Inicio!$G$6)),""))</f>
        <v/>
      </c>
      <c r="J305" s="9">
        <f t="shared" si="29"/>
        <v>0</v>
      </c>
      <c r="K305" s="9">
        <f t="shared" si="30"/>
        <v>0</v>
      </c>
      <c r="L305" s="9">
        <f t="shared" si="31"/>
        <v>0</v>
      </c>
      <c r="M305" s="9">
        <f t="shared" si="32"/>
        <v>0</v>
      </c>
      <c r="N305" s="9">
        <f t="shared" si="33"/>
        <v>0</v>
      </c>
      <c r="O305" s="9">
        <f t="shared" si="34"/>
        <v>0</v>
      </c>
    </row>
    <row r="306" spans="1:15" x14ac:dyDescent="0.25">
      <c r="A306" s="9" t="str">
        <f>IF(OR(Calculos!$B$7=0,302&gt;Calculos!$B$7),"",INT((302-1)/Calculos!$B$6)+1)</f>
        <v/>
      </c>
      <c r="B306" s="10" t="str">
        <f>IF(A306="","",Inicio!$E$5+(A306-1)*Inicio!$B$6)</f>
        <v/>
      </c>
      <c r="C306" s="11" t="str">
        <f>IF(A306="","",INDEX(Calculos!$B$11:$B$28,IF(A306&gt;Calculos!$B$4,IF(MOD(IF(A306&lt;=Calculos!$B$4,A306,A306-Calculos!$B$4)+MOD(302-1,Calculos!$B$6)+1,2)=0,INDEX(Calculos!$B$36:$S$52,IF(A306&lt;=Calculos!$B$4,A306,A306-Calculos!$B$4),MOD(302-1,Calculos!$B$6)+1),INDEX(Calculos!$B$36:$S$52,IF(A306&lt;=Calculos!$B$4,A306,A306-Calculos!$B$4),Calculos!$B$2+1-MOD(302-1,Calculos!$B$6)+1)),IF(MOD(IF(A306&lt;=Calculos!$B$4,A306,A306-Calculos!$B$4)+MOD(302-1,Calculos!$B$6)+1,2)=0,INDEX(Calculos!$B$36:$S$52,IF(A306&lt;=Calculos!$B$4,A306,A306-Calculos!$B$4),Calculos!$B$2+1-MOD(302-1,Calculos!$B$6)+1),INDEX(Calculos!$B$36:$S$52,IF(A306&lt;=Calculos!$B$4,A306,A306-Calculos!$B$4),MOD(302-1,Calculos!$B$6)+1)))))</f>
        <v/>
      </c>
      <c r="D306" s="4"/>
      <c r="E306" s="4"/>
      <c r="F306" s="11" t="str">
        <f>IF(A306="","",INDEX(Calculos!$B$11:$B$28,IF(A306&gt;Calculos!$B$4,IF(MOD(IF(A306&lt;=Calculos!$B$4,A306,A306-Calculos!$B$4)+MOD(302-1,Calculos!$B$6)+1,2)=0,INDEX(Calculos!$B$36:$S$52,IF(A306&lt;=Calculos!$B$4,A306,A306-Calculos!$B$4),Calculos!$B$2+1-MOD(302-1,Calculos!$B$6)+1),INDEX(Calculos!$B$36:$S$52,IF(A306&lt;=Calculos!$B$4,A306,A306-Calculos!$B$4),MOD(302-1,Calculos!$B$6)+1)),IF(MOD(IF(A306&lt;=Calculos!$B$4,A306,A306-Calculos!$B$4)+MOD(302-1,Calculos!$B$6)+1,2)=0,INDEX(Calculos!$B$36:$S$52,IF(A306&lt;=Calculos!$B$4,A306,A306-Calculos!$B$4),MOD(302-1,Calculos!$B$6)+1),INDEX(Calculos!$B$36:$S$52,IF(A306&lt;=Calculos!$B$4,A306,A306-Calculos!$B$4),Calculos!$B$2+1-MOD(302-1,Calculos!$B$6)+1)))))</f>
        <v/>
      </c>
      <c r="G306" s="9" t="str">
        <f t="shared" si="28"/>
        <v/>
      </c>
      <c r="H306" s="9" t="str">
        <f>IF(OR(C306="",F306=""),"",IF(AND(ISNUMBER(D306),ISNUMBER(E306)),IF(D306&gt;E306,Inicio!$E$6,IF(D306=E306,Inicio!$F$6,Inicio!$G$6)),""))</f>
        <v/>
      </c>
      <c r="I306" s="9" t="str">
        <f>IF(OR(C306="",F306=""),"",IF(AND(ISNUMBER(D306),ISNUMBER(E306)),IF(D306&lt;E306,Inicio!$E$6,IF(D306=E306,Inicio!$F$6,Inicio!$G$6)),""))</f>
        <v/>
      </c>
      <c r="J306" s="9">
        <f t="shared" si="29"/>
        <v>0</v>
      </c>
      <c r="K306" s="9">
        <f t="shared" si="30"/>
        <v>0</v>
      </c>
      <c r="L306" s="9">
        <f t="shared" si="31"/>
        <v>0</v>
      </c>
      <c r="M306" s="9">
        <f t="shared" si="32"/>
        <v>0</v>
      </c>
      <c r="N306" s="9">
        <f t="shared" si="33"/>
        <v>0</v>
      </c>
      <c r="O306" s="9">
        <f t="shared" si="34"/>
        <v>0</v>
      </c>
    </row>
    <row r="307" spans="1:15" x14ac:dyDescent="0.25">
      <c r="A307" s="9" t="str">
        <f>IF(OR(Calculos!$B$7=0,303&gt;Calculos!$B$7),"",INT((303-1)/Calculos!$B$6)+1)</f>
        <v/>
      </c>
      <c r="B307" s="10" t="str">
        <f>IF(A307="","",Inicio!$E$5+(A307-1)*Inicio!$B$6)</f>
        <v/>
      </c>
      <c r="C307" s="11" t="str">
        <f>IF(A307="","",INDEX(Calculos!$B$11:$B$28,IF(A307&gt;Calculos!$B$4,IF(MOD(IF(A307&lt;=Calculos!$B$4,A307,A307-Calculos!$B$4)+MOD(303-1,Calculos!$B$6)+1,2)=0,INDEX(Calculos!$B$36:$S$52,IF(A307&lt;=Calculos!$B$4,A307,A307-Calculos!$B$4),MOD(303-1,Calculos!$B$6)+1),INDEX(Calculos!$B$36:$S$52,IF(A307&lt;=Calculos!$B$4,A307,A307-Calculos!$B$4),Calculos!$B$2+1-MOD(303-1,Calculos!$B$6)+1)),IF(MOD(IF(A307&lt;=Calculos!$B$4,A307,A307-Calculos!$B$4)+MOD(303-1,Calculos!$B$6)+1,2)=0,INDEX(Calculos!$B$36:$S$52,IF(A307&lt;=Calculos!$B$4,A307,A307-Calculos!$B$4),Calculos!$B$2+1-MOD(303-1,Calculos!$B$6)+1),INDEX(Calculos!$B$36:$S$52,IF(A307&lt;=Calculos!$B$4,A307,A307-Calculos!$B$4),MOD(303-1,Calculos!$B$6)+1)))))</f>
        <v/>
      </c>
      <c r="D307" s="4"/>
      <c r="E307" s="4"/>
      <c r="F307" s="11" t="str">
        <f>IF(A307="","",INDEX(Calculos!$B$11:$B$28,IF(A307&gt;Calculos!$B$4,IF(MOD(IF(A307&lt;=Calculos!$B$4,A307,A307-Calculos!$B$4)+MOD(303-1,Calculos!$B$6)+1,2)=0,INDEX(Calculos!$B$36:$S$52,IF(A307&lt;=Calculos!$B$4,A307,A307-Calculos!$B$4),Calculos!$B$2+1-MOD(303-1,Calculos!$B$6)+1),INDEX(Calculos!$B$36:$S$52,IF(A307&lt;=Calculos!$B$4,A307,A307-Calculos!$B$4),MOD(303-1,Calculos!$B$6)+1)),IF(MOD(IF(A307&lt;=Calculos!$B$4,A307,A307-Calculos!$B$4)+MOD(303-1,Calculos!$B$6)+1,2)=0,INDEX(Calculos!$B$36:$S$52,IF(A307&lt;=Calculos!$B$4,A307,A307-Calculos!$B$4),MOD(303-1,Calculos!$B$6)+1),INDEX(Calculos!$B$36:$S$52,IF(A307&lt;=Calculos!$B$4,A307,A307-Calculos!$B$4),Calculos!$B$2+1-MOD(303-1,Calculos!$B$6)+1)))))</f>
        <v/>
      </c>
      <c r="G307" s="9" t="str">
        <f t="shared" si="28"/>
        <v/>
      </c>
      <c r="H307" s="9" t="str">
        <f>IF(OR(C307="",F307=""),"",IF(AND(ISNUMBER(D307),ISNUMBER(E307)),IF(D307&gt;E307,Inicio!$E$6,IF(D307=E307,Inicio!$F$6,Inicio!$G$6)),""))</f>
        <v/>
      </c>
      <c r="I307" s="9" t="str">
        <f>IF(OR(C307="",F307=""),"",IF(AND(ISNUMBER(D307),ISNUMBER(E307)),IF(D307&lt;E307,Inicio!$E$6,IF(D307=E307,Inicio!$F$6,Inicio!$G$6)),""))</f>
        <v/>
      </c>
      <c r="J307" s="9">
        <f t="shared" si="29"/>
        <v>0</v>
      </c>
      <c r="K307" s="9">
        <f t="shared" si="30"/>
        <v>0</v>
      </c>
      <c r="L307" s="9">
        <f t="shared" si="31"/>
        <v>0</v>
      </c>
      <c r="M307" s="9">
        <f t="shared" si="32"/>
        <v>0</v>
      </c>
      <c r="N307" s="9">
        <f t="shared" si="33"/>
        <v>0</v>
      </c>
      <c r="O307" s="9">
        <f t="shared" si="34"/>
        <v>0</v>
      </c>
    </row>
    <row r="308" spans="1:15" x14ac:dyDescent="0.25">
      <c r="A308" s="9" t="str">
        <f>IF(OR(Calculos!$B$7=0,304&gt;Calculos!$B$7),"",INT((304-1)/Calculos!$B$6)+1)</f>
        <v/>
      </c>
      <c r="B308" s="10" t="str">
        <f>IF(A308="","",Inicio!$E$5+(A308-1)*Inicio!$B$6)</f>
        <v/>
      </c>
      <c r="C308" s="11" t="str">
        <f>IF(A308="","",INDEX(Calculos!$B$11:$B$28,IF(A308&gt;Calculos!$B$4,IF(MOD(IF(A308&lt;=Calculos!$B$4,A308,A308-Calculos!$B$4)+MOD(304-1,Calculos!$B$6)+1,2)=0,INDEX(Calculos!$B$36:$S$52,IF(A308&lt;=Calculos!$B$4,A308,A308-Calculos!$B$4),MOD(304-1,Calculos!$B$6)+1),INDEX(Calculos!$B$36:$S$52,IF(A308&lt;=Calculos!$B$4,A308,A308-Calculos!$B$4),Calculos!$B$2+1-MOD(304-1,Calculos!$B$6)+1)),IF(MOD(IF(A308&lt;=Calculos!$B$4,A308,A308-Calculos!$B$4)+MOD(304-1,Calculos!$B$6)+1,2)=0,INDEX(Calculos!$B$36:$S$52,IF(A308&lt;=Calculos!$B$4,A308,A308-Calculos!$B$4),Calculos!$B$2+1-MOD(304-1,Calculos!$B$6)+1),INDEX(Calculos!$B$36:$S$52,IF(A308&lt;=Calculos!$B$4,A308,A308-Calculos!$B$4),MOD(304-1,Calculos!$B$6)+1)))))</f>
        <v/>
      </c>
      <c r="D308" s="4"/>
      <c r="E308" s="4"/>
      <c r="F308" s="11" t="str">
        <f>IF(A308="","",INDEX(Calculos!$B$11:$B$28,IF(A308&gt;Calculos!$B$4,IF(MOD(IF(A308&lt;=Calculos!$B$4,A308,A308-Calculos!$B$4)+MOD(304-1,Calculos!$B$6)+1,2)=0,INDEX(Calculos!$B$36:$S$52,IF(A308&lt;=Calculos!$B$4,A308,A308-Calculos!$B$4),Calculos!$B$2+1-MOD(304-1,Calculos!$B$6)+1),INDEX(Calculos!$B$36:$S$52,IF(A308&lt;=Calculos!$B$4,A308,A308-Calculos!$B$4),MOD(304-1,Calculos!$B$6)+1)),IF(MOD(IF(A308&lt;=Calculos!$B$4,A308,A308-Calculos!$B$4)+MOD(304-1,Calculos!$B$6)+1,2)=0,INDEX(Calculos!$B$36:$S$52,IF(A308&lt;=Calculos!$B$4,A308,A308-Calculos!$B$4),MOD(304-1,Calculos!$B$6)+1),INDEX(Calculos!$B$36:$S$52,IF(A308&lt;=Calculos!$B$4,A308,A308-Calculos!$B$4),Calculos!$B$2+1-MOD(304-1,Calculos!$B$6)+1)))))</f>
        <v/>
      </c>
      <c r="G308" s="9" t="str">
        <f t="shared" si="28"/>
        <v/>
      </c>
      <c r="H308" s="9" t="str">
        <f>IF(OR(C308="",F308=""),"",IF(AND(ISNUMBER(D308),ISNUMBER(E308)),IF(D308&gt;E308,Inicio!$E$6,IF(D308=E308,Inicio!$F$6,Inicio!$G$6)),""))</f>
        <v/>
      </c>
      <c r="I308" s="9" t="str">
        <f>IF(OR(C308="",F308=""),"",IF(AND(ISNUMBER(D308),ISNUMBER(E308)),IF(D308&lt;E308,Inicio!$E$6,IF(D308=E308,Inicio!$F$6,Inicio!$G$6)),""))</f>
        <v/>
      </c>
      <c r="J308" s="9">
        <f t="shared" si="29"/>
        <v>0</v>
      </c>
      <c r="K308" s="9">
        <f t="shared" si="30"/>
        <v>0</v>
      </c>
      <c r="L308" s="9">
        <f t="shared" si="31"/>
        <v>0</v>
      </c>
      <c r="M308" s="9">
        <f t="shared" si="32"/>
        <v>0</v>
      </c>
      <c r="N308" s="9">
        <f t="shared" si="33"/>
        <v>0</v>
      </c>
      <c r="O308" s="9">
        <f t="shared" si="34"/>
        <v>0</v>
      </c>
    </row>
    <row r="309" spans="1:15" x14ac:dyDescent="0.25">
      <c r="A309" s="9" t="str">
        <f>IF(OR(Calculos!$B$7=0,305&gt;Calculos!$B$7),"",INT((305-1)/Calculos!$B$6)+1)</f>
        <v/>
      </c>
      <c r="B309" s="10" t="str">
        <f>IF(A309="","",Inicio!$E$5+(A309-1)*Inicio!$B$6)</f>
        <v/>
      </c>
      <c r="C309" s="11" t="str">
        <f>IF(A309="","",INDEX(Calculos!$B$11:$B$28,IF(A309&gt;Calculos!$B$4,IF(MOD(IF(A309&lt;=Calculos!$B$4,A309,A309-Calculos!$B$4)+MOD(305-1,Calculos!$B$6)+1,2)=0,INDEX(Calculos!$B$36:$S$52,IF(A309&lt;=Calculos!$B$4,A309,A309-Calculos!$B$4),MOD(305-1,Calculos!$B$6)+1),INDEX(Calculos!$B$36:$S$52,IF(A309&lt;=Calculos!$B$4,A309,A309-Calculos!$B$4),Calculos!$B$2+1-MOD(305-1,Calculos!$B$6)+1)),IF(MOD(IF(A309&lt;=Calculos!$B$4,A309,A309-Calculos!$B$4)+MOD(305-1,Calculos!$B$6)+1,2)=0,INDEX(Calculos!$B$36:$S$52,IF(A309&lt;=Calculos!$B$4,A309,A309-Calculos!$B$4),Calculos!$B$2+1-MOD(305-1,Calculos!$B$6)+1),INDEX(Calculos!$B$36:$S$52,IF(A309&lt;=Calculos!$B$4,A309,A309-Calculos!$B$4),MOD(305-1,Calculos!$B$6)+1)))))</f>
        <v/>
      </c>
      <c r="D309" s="4"/>
      <c r="E309" s="4"/>
      <c r="F309" s="11" t="str">
        <f>IF(A309="","",INDEX(Calculos!$B$11:$B$28,IF(A309&gt;Calculos!$B$4,IF(MOD(IF(A309&lt;=Calculos!$B$4,A309,A309-Calculos!$B$4)+MOD(305-1,Calculos!$B$6)+1,2)=0,INDEX(Calculos!$B$36:$S$52,IF(A309&lt;=Calculos!$B$4,A309,A309-Calculos!$B$4),Calculos!$B$2+1-MOD(305-1,Calculos!$B$6)+1),INDEX(Calculos!$B$36:$S$52,IF(A309&lt;=Calculos!$B$4,A309,A309-Calculos!$B$4),MOD(305-1,Calculos!$B$6)+1)),IF(MOD(IF(A309&lt;=Calculos!$B$4,A309,A309-Calculos!$B$4)+MOD(305-1,Calculos!$B$6)+1,2)=0,INDEX(Calculos!$B$36:$S$52,IF(A309&lt;=Calculos!$B$4,A309,A309-Calculos!$B$4),MOD(305-1,Calculos!$B$6)+1),INDEX(Calculos!$B$36:$S$52,IF(A309&lt;=Calculos!$B$4,A309,A309-Calculos!$B$4),Calculos!$B$2+1-MOD(305-1,Calculos!$B$6)+1)))))</f>
        <v/>
      </c>
      <c r="G309" s="9" t="str">
        <f t="shared" si="28"/>
        <v/>
      </c>
      <c r="H309" s="9" t="str">
        <f>IF(OR(C309="",F309=""),"",IF(AND(ISNUMBER(D309),ISNUMBER(E309)),IF(D309&gt;E309,Inicio!$E$6,IF(D309=E309,Inicio!$F$6,Inicio!$G$6)),""))</f>
        <v/>
      </c>
      <c r="I309" s="9" t="str">
        <f>IF(OR(C309="",F309=""),"",IF(AND(ISNUMBER(D309),ISNUMBER(E309)),IF(D309&lt;E309,Inicio!$E$6,IF(D309=E309,Inicio!$F$6,Inicio!$G$6)),""))</f>
        <v/>
      </c>
      <c r="J309" s="9">
        <f t="shared" si="29"/>
        <v>0</v>
      </c>
      <c r="K309" s="9">
        <f t="shared" si="30"/>
        <v>0</v>
      </c>
      <c r="L309" s="9">
        <f t="shared" si="31"/>
        <v>0</v>
      </c>
      <c r="M309" s="9">
        <f t="shared" si="32"/>
        <v>0</v>
      </c>
      <c r="N309" s="9">
        <f t="shared" si="33"/>
        <v>0</v>
      </c>
      <c r="O309" s="9">
        <f t="shared" si="34"/>
        <v>0</v>
      </c>
    </row>
    <row r="310" spans="1:15" x14ac:dyDescent="0.25">
      <c r="A310" s="9" t="str">
        <f>IF(OR(Calculos!$B$7=0,306&gt;Calculos!$B$7),"",INT((306-1)/Calculos!$B$6)+1)</f>
        <v/>
      </c>
      <c r="B310" s="10" t="str">
        <f>IF(A310="","",Inicio!$E$5+(A310-1)*Inicio!$B$6)</f>
        <v/>
      </c>
      <c r="C310" s="11" t="str">
        <f>IF(A310="","",INDEX(Calculos!$B$11:$B$28,IF(A310&gt;Calculos!$B$4,IF(MOD(IF(A310&lt;=Calculos!$B$4,A310,A310-Calculos!$B$4)+MOD(306-1,Calculos!$B$6)+1,2)=0,INDEX(Calculos!$B$36:$S$52,IF(A310&lt;=Calculos!$B$4,A310,A310-Calculos!$B$4),MOD(306-1,Calculos!$B$6)+1),INDEX(Calculos!$B$36:$S$52,IF(A310&lt;=Calculos!$B$4,A310,A310-Calculos!$B$4),Calculos!$B$2+1-MOD(306-1,Calculos!$B$6)+1)),IF(MOD(IF(A310&lt;=Calculos!$B$4,A310,A310-Calculos!$B$4)+MOD(306-1,Calculos!$B$6)+1,2)=0,INDEX(Calculos!$B$36:$S$52,IF(A310&lt;=Calculos!$B$4,A310,A310-Calculos!$B$4),Calculos!$B$2+1-MOD(306-1,Calculos!$B$6)+1),INDEX(Calculos!$B$36:$S$52,IF(A310&lt;=Calculos!$B$4,A310,A310-Calculos!$B$4),MOD(306-1,Calculos!$B$6)+1)))))</f>
        <v/>
      </c>
      <c r="D310" s="4"/>
      <c r="E310" s="4"/>
      <c r="F310" s="11" t="str">
        <f>IF(A310="","",INDEX(Calculos!$B$11:$B$28,IF(A310&gt;Calculos!$B$4,IF(MOD(IF(A310&lt;=Calculos!$B$4,A310,A310-Calculos!$B$4)+MOD(306-1,Calculos!$B$6)+1,2)=0,INDEX(Calculos!$B$36:$S$52,IF(A310&lt;=Calculos!$B$4,A310,A310-Calculos!$B$4),Calculos!$B$2+1-MOD(306-1,Calculos!$B$6)+1),INDEX(Calculos!$B$36:$S$52,IF(A310&lt;=Calculos!$B$4,A310,A310-Calculos!$B$4),MOD(306-1,Calculos!$B$6)+1)),IF(MOD(IF(A310&lt;=Calculos!$B$4,A310,A310-Calculos!$B$4)+MOD(306-1,Calculos!$B$6)+1,2)=0,INDEX(Calculos!$B$36:$S$52,IF(A310&lt;=Calculos!$B$4,A310,A310-Calculos!$B$4),MOD(306-1,Calculos!$B$6)+1),INDEX(Calculos!$B$36:$S$52,IF(A310&lt;=Calculos!$B$4,A310,A310-Calculos!$B$4),Calculos!$B$2+1-MOD(306-1,Calculos!$B$6)+1)))))</f>
        <v/>
      </c>
      <c r="G310" s="9" t="str">
        <f t="shared" si="28"/>
        <v/>
      </c>
      <c r="H310" s="9" t="str">
        <f>IF(OR(C310="",F310=""),"",IF(AND(ISNUMBER(D310),ISNUMBER(E310)),IF(D310&gt;E310,Inicio!$E$6,IF(D310=E310,Inicio!$F$6,Inicio!$G$6)),""))</f>
        <v/>
      </c>
      <c r="I310" s="9" t="str">
        <f>IF(OR(C310="",F310=""),"",IF(AND(ISNUMBER(D310),ISNUMBER(E310)),IF(D310&lt;E310,Inicio!$E$6,IF(D310=E310,Inicio!$F$6,Inicio!$G$6)),""))</f>
        <v/>
      </c>
      <c r="J310" s="9">
        <f t="shared" si="29"/>
        <v>0</v>
      </c>
      <c r="K310" s="9">
        <f t="shared" si="30"/>
        <v>0</v>
      </c>
      <c r="L310" s="9">
        <f t="shared" si="31"/>
        <v>0</v>
      </c>
      <c r="M310" s="9">
        <f t="shared" si="32"/>
        <v>0</v>
      </c>
      <c r="N310" s="9">
        <f t="shared" si="33"/>
        <v>0</v>
      </c>
      <c r="O310" s="9">
        <f t="shared" si="34"/>
        <v>0</v>
      </c>
    </row>
  </sheetData>
  <autoFilter ref="A4:G310" xr:uid="{00000000-0009-0000-0000-000001000000}"/>
  <mergeCells count="1">
    <mergeCell ref="A1:G1"/>
  </mergeCells>
  <dataValidations count="1">
    <dataValidation type="whole" allowBlank="1" sqref="D5 D6 D7 D8 D9 D10 D11 D12 D13 D14 D15 D16 D17 D18 D19 D20 D21 D22 D23 D24 D25 D26 D27 D28 D29 D30 D31 D32 D33 D34 D35 D36 D37 D38 D39 D40 D41 D42 D43 D44 D45 D46 D47 D48 D49 D50 D51 D52 D53 D54 D55 D56 D57 D58 D59 D60 D61 D62 D63 D64 D65 D66 D67 D68 D69 D70 D71 D72 D73 D74 D75 D76 D77 D78 D79 D80 D81 D82 D83 D84 D85 D86 D87 D88 D89 D90 D91 D92 D93 D94 D95 D96 D97 D98 D99 D100 D101 D102 D103 D104 D105 D106 D107 D108 D109 D110 D111 D112 D113 D114 D115 D116 D117 D118 D119 D120 D121 D122 D123 D124 D125 D126 D127 D128 D129 D130 D131 D132 D133 D134 D135 D136 D137 D138 D139 D140 D141 D142 D143 D144 D145 D146 D147 D148 D149 D150 D151 D152 D153 D154 D155 D156 D157 D158 D159 D160 D161 D162 D163 D164 D165 D166 D167 D168 D169 D170 D171 D172 D173 D174 D175 D176 D177 D178 D179 D180 D181 D182 D183 D184 D185 D186 D187 D188 D189 D190 D191 D192 D193 D194 D195 D196 D197 D198 D199 D200 D201 D202 D203 D204 D205 D206 D207 D208 D209 D210 D211 D212 D213 D214 D215 D216 D217 D218 D219 D220 D221 D222 D223 D224 D225 D226 D227 D228 D229 D230 D231 D232 D233 D234 D235 D236 D237 D238 D239 D240 D241 D242 D243 D244 D245 D246 D247 D248 D249 D250 D251 D252 D253 D254 D255 D256 D257 D258 D259 D260 D261 D262 D263 D264 D265 D266 D267 D268 D269 D270 D271 D272 D273 D274 D275 D276 D277 D278 D279 D280 D281 D282 D283 D284 D285 D286 D287 D288 D289 D290 D291 D292 D293 D294 D295 D296 D297 D298 D299 D300 D301 D302 D303 D304 D305 D306 D307 D308 D309 D310 E5 E6 E7 E8 E9 E10 E11 E12 E13 E14 E15 E16 E17 E18 E19 E20 E21 E22 E23 E24 E25 E26 E27 E28 E29 E30 E31 E32 E33 E34 E35 E36 E37 E38 E39 E40 E41 E42 E43 E44 E45 E46 E47 E48 E49 E50 E51 E52 E53 E54 E55 E56 E57 E58 E59 E60 E61 E62 E63 E64 E65 E66 E67 E68 E69 E70 E71 E72 E73 E74 E75 E76 E77 E78 E79 E80 E81 E82 E83 E84 E85 E86 E87 E88 E89 E90 E91 E92 E93 E94 E95 E96 E97 E98 E99 E100 E101 E102 E103 E104 E105 E106 E107 E108 E109 E110 E111 E112 E113 E114 E115 E116 E117 E118 E119 E120 E121 E122 E123 E124 E125 E126 E127 E128 E129 E130 E131 E132 E133 E134 E135 E136 E137 E138 E139 E140 E141 E142 E143 E144 E145 E146 E147 E148 E149 E150 E151 E152 E153 E154 E155 E156 E157 E158 E159 E160 E161 E162 E163 E164 E165 E166 E167 E168 E169 E170 E171 E172 E173 E174 E175 E176 E177 E178 E179 E180 E181 E182 E183 E184 E185 E186 E187 E188 E189 E190 E191 E192 E193 E194 E195 E196 E197 E198 E199 E200 E201 E202 E203 E204 E205 E206 E207 E208 E209 E210 E211 E212 E213 E214 E215 E216 E217 E218 E219 E220 E221 E222 E223 E224 E225 E226 E227 E228 E229 E230 E231 E232 E233 E234 E235 E236 E237 E238 E239 E240 E241 E242 E243 E244 E245 E246 E247 E248 E249 E250 E251 E252 E253 E254 E255 E256 E257 E258 E259 E260 E261 E262 E263 E264 E265 E266 E267 E268 E269 E270 E271 E272 E273 E274 E275 E276 E277 E278 E279 E280 E281 E282 E283 E284 E285 E286 E287 E288 E289 E290 E291 E292 E293 E294 E295 E296 E297 E298 E299 E300 E301 E302 E303 E304 E305 E306 E307 E308 E309 E310" xr:uid="{00000000-0002-0000-0100-000000000000}">
      <formula1>0</formula1>
      <formula2>30</formula2>
    </dataValidation>
  </dataValidation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23"/>
  <sheetViews>
    <sheetView showGridLines="0" tabSelected="1" workbookViewId="0">
      <pane ySplit="5" topLeftCell="A6" activePane="bottomLeft" state="frozen"/>
      <selection pane="bottomLeft" activeCell="X28" sqref="X28"/>
    </sheetView>
  </sheetViews>
  <sheetFormatPr baseColWidth="10" defaultColWidth="9.140625" defaultRowHeight="15" x14ac:dyDescent="0.25"/>
  <cols>
    <col min="1" max="1" width="6" customWidth="1"/>
    <col min="2" max="2" width="28" customWidth="1"/>
    <col min="3" max="10" width="6" customWidth="1"/>
    <col min="11" max="11" width="8" customWidth="1"/>
    <col min="12" max="12" width="2" customWidth="1"/>
    <col min="13" max="13" width="22" customWidth="1"/>
  </cols>
  <sheetData>
    <row r="1" spans="1:11" ht="27.95" customHeight="1" x14ac:dyDescent="0.25">
      <c r="A1" s="19" t="s">
        <v>64</v>
      </c>
      <c r="B1" s="20"/>
      <c r="C1" s="20"/>
      <c r="D1" s="20"/>
      <c r="E1" s="20"/>
      <c r="F1" s="20"/>
      <c r="G1" s="20"/>
      <c r="H1" s="20"/>
      <c r="I1" s="20"/>
      <c r="J1" s="20"/>
      <c r="K1" s="20"/>
    </row>
    <row r="3" spans="1:11" ht="60" customHeight="1" x14ac:dyDescent="0.25">
      <c r="A3" s="12" t="s">
        <v>43</v>
      </c>
      <c r="B3" s="4" t="str">
        <f>IFERROR(INDEX(Calculos!$A$61:$A$78,MATCH(LARGE(Calculos!$J$61:$J$78,1),Calculos!$J$61:$J$78,0)),"")</f>
        <v>Juventud Central</v>
      </c>
      <c r="C3" s="23" t="s">
        <v>44</v>
      </c>
      <c r="D3" s="22"/>
      <c r="E3" s="4">
        <f>IFERROR(SUM(Calculos!$B$61:$B$78)/2,0)</f>
        <v>9</v>
      </c>
      <c r="F3" s="21" t="s">
        <v>45</v>
      </c>
      <c r="G3" s="22"/>
      <c r="H3" s="4">
        <f>IFERROR(SUM(Calculos!$F$61:$F$78),0)</f>
        <v>30</v>
      </c>
    </row>
    <row r="5" spans="1:11" x14ac:dyDescent="0.25">
      <c r="A5" s="7" t="s">
        <v>46</v>
      </c>
      <c r="B5" s="7" t="s">
        <v>13</v>
      </c>
      <c r="C5" s="7" t="s">
        <v>47</v>
      </c>
      <c r="D5" s="7" t="s">
        <v>48</v>
      </c>
      <c r="E5" s="7" t="s">
        <v>49</v>
      </c>
      <c r="F5" s="7" t="s">
        <v>50</v>
      </c>
      <c r="G5" s="7" t="s">
        <v>51</v>
      </c>
      <c r="H5" s="7" t="s">
        <v>52</v>
      </c>
      <c r="I5" s="7" t="s">
        <v>53</v>
      </c>
      <c r="J5" s="7" t="s">
        <v>54</v>
      </c>
    </row>
    <row r="6" spans="1:11" x14ac:dyDescent="0.25">
      <c r="A6" s="9">
        <f>IF(1&gt;Calculos!$B$1,"",1)</f>
        <v>1</v>
      </c>
      <c r="B6" s="11" t="str">
        <f>IF(A6="","",INDEX(Calculos!$A$61:$A$78,MATCH(LARGE(Calculos!$J$61:$J$78,1),Calculos!$J$61:$J$78,0)))</f>
        <v>Juventud Central</v>
      </c>
      <c r="C6" s="9">
        <f>IF(A6="","",INDEX(Calculos!$B$61:$B$78,MATCH(LARGE(Calculos!$J$61:$J$78,1),Calculos!$J$61:$J$78,0)))</f>
        <v>2</v>
      </c>
      <c r="D6" s="9">
        <f>IF(A6="","",INDEX(Calculos!$C$61:$C$78,MATCH(LARGE(Calculos!$J$61:$J$78,1),Calculos!$J$61:$J$78,0)))</f>
        <v>1</v>
      </c>
      <c r="E6" s="9">
        <f>IF(A6="","",INDEX(Calculos!$D$61:$D$78,MATCH(LARGE(Calculos!$J$61:$J$78,1),Calculos!$J$61:$J$78,0)))</f>
        <v>0</v>
      </c>
      <c r="F6" s="9">
        <f>IF(A6="","",INDEX(Calculos!$E$61:$E$78,MATCH(LARGE(Calculos!$J$61:$J$78,1),Calculos!$J$61:$J$78,0)))</f>
        <v>1</v>
      </c>
      <c r="G6" s="9">
        <f>IF(A6="","",INDEX(Calculos!$F$61:$F$78,MATCH(LARGE(Calculos!$J$61:$J$78,1),Calculos!$J$61:$J$78,0)))</f>
        <v>6</v>
      </c>
      <c r="H6" s="9">
        <f>IF(A6="","",INDEX(Calculos!$G$61:$G$78,MATCH(LARGE(Calculos!$J$61:$J$78,1),Calculos!$J$61:$J$78,0)))</f>
        <v>6</v>
      </c>
      <c r="I6" s="9">
        <f>IF(A6="","",INDEX(Calculos!$H$61:$H$78,MATCH(LARGE(Calculos!$J$61:$J$78,1),Calculos!$J$61:$J$78,0)))</f>
        <v>0</v>
      </c>
      <c r="J6" s="9">
        <f>IF(A6="","",INDEX(Calculos!$I$61:$I$78,MATCH(LARGE(Calculos!$J$61:$J$78,1),Calculos!$J$61:$J$78,0)))</f>
        <v>3</v>
      </c>
    </row>
    <row r="7" spans="1:11" x14ac:dyDescent="0.25">
      <c r="A7" s="9">
        <f>IF(2&gt;Calculos!$B$1,"",2)</f>
        <v>2</v>
      </c>
      <c r="B7" s="11" t="str">
        <f>IF(A7="","",INDEX(Calculos!$A$61:$A$78,MATCH(LARGE(Calculos!$J$61:$J$78,2),Calculos!$J$61:$J$78,0)))</f>
        <v>CD Aurora</v>
      </c>
      <c r="C7" s="9">
        <f>IF(A7="","",INDEX(Calculos!$B$61:$B$78,MATCH(LARGE(Calculos!$J$61:$J$78,2),Calculos!$J$61:$J$78,0)))</f>
        <v>2</v>
      </c>
      <c r="D7" s="9">
        <f>IF(A7="","",INDEX(Calculos!$C$61:$C$78,MATCH(LARGE(Calculos!$J$61:$J$78,2),Calculos!$J$61:$J$78,0)))</f>
        <v>1</v>
      </c>
      <c r="E7" s="9">
        <f>IF(A7="","",INDEX(Calculos!$D$61:$D$78,MATCH(LARGE(Calculos!$J$61:$J$78,2),Calculos!$J$61:$J$78,0)))</f>
        <v>0</v>
      </c>
      <c r="F7" s="9">
        <f>IF(A7="","",INDEX(Calculos!$E$61:$E$78,MATCH(LARGE(Calculos!$J$61:$J$78,2),Calculos!$J$61:$J$78,0)))</f>
        <v>1</v>
      </c>
      <c r="G7" s="9">
        <f>IF(A7="","",INDEX(Calculos!$F$61:$F$78,MATCH(LARGE(Calculos!$J$61:$J$78,2),Calculos!$J$61:$J$78,0)))</f>
        <v>6</v>
      </c>
      <c r="H7" s="9">
        <f>IF(A7="","",INDEX(Calculos!$G$61:$G$78,MATCH(LARGE(Calculos!$J$61:$J$78,2),Calculos!$J$61:$J$78,0)))</f>
        <v>6</v>
      </c>
      <c r="I7" s="9">
        <f>IF(A7="","",INDEX(Calculos!$H$61:$H$78,MATCH(LARGE(Calculos!$J$61:$J$78,2),Calculos!$J$61:$J$78,0)))</f>
        <v>0</v>
      </c>
      <c r="J7" s="9">
        <f>IF(A7="","",INDEX(Calculos!$I$61:$I$78,MATCH(LARGE(Calculos!$J$61:$J$78,2),Calculos!$J$61:$J$78,0)))</f>
        <v>3</v>
      </c>
    </row>
    <row r="8" spans="1:11" x14ac:dyDescent="0.25">
      <c r="A8" s="9">
        <f>IF(3&gt;Calculos!$B$1,"",3)</f>
        <v>3</v>
      </c>
      <c r="B8" s="11" t="str">
        <f>IF(A8="","",INDEX(Calculos!$A$61:$A$78,MATCH(LARGE(Calculos!$J$61:$J$78,3),Calculos!$J$61:$J$78,0)))</f>
        <v>Union Sierra</v>
      </c>
      <c r="C8" s="9">
        <f>IF(A8="","",INDEX(Calculos!$B$61:$B$78,MATCH(LARGE(Calculos!$J$61:$J$78,3),Calculos!$J$61:$J$78,0)))</f>
        <v>2</v>
      </c>
      <c r="D8" s="9">
        <f>IF(A8="","",INDEX(Calculos!$C$61:$C$78,MATCH(LARGE(Calculos!$J$61:$J$78,3),Calculos!$J$61:$J$78,0)))</f>
        <v>1</v>
      </c>
      <c r="E8" s="9">
        <f>IF(A8="","",INDEX(Calculos!$D$61:$D$78,MATCH(LARGE(Calculos!$J$61:$J$78,3),Calculos!$J$61:$J$78,0)))</f>
        <v>0</v>
      </c>
      <c r="F8" s="9">
        <f>IF(A8="","",INDEX(Calculos!$E$61:$E$78,MATCH(LARGE(Calculos!$J$61:$J$78,3),Calculos!$J$61:$J$78,0)))</f>
        <v>1</v>
      </c>
      <c r="G8" s="9">
        <f>IF(A8="","",INDEX(Calculos!$F$61:$F$78,MATCH(LARGE(Calculos!$J$61:$J$78,3),Calculos!$J$61:$J$78,0)))</f>
        <v>4</v>
      </c>
      <c r="H8" s="9">
        <f>IF(A8="","",INDEX(Calculos!$G$61:$G$78,MATCH(LARGE(Calculos!$J$61:$J$78,3),Calculos!$J$61:$J$78,0)))</f>
        <v>4</v>
      </c>
      <c r="I8" s="9">
        <f>IF(A8="","",INDEX(Calculos!$H$61:$H$78,MATCH(LARGE(Calculos!$J$61:$J$78,3),Calculos!$J$61:$J$78,0)))</f>
        <v>0</v>
      </c>
      <c r="J8" s="9">
        <f>IF(A8="","",INDEX(Calculos!$I$61:$I$78,MATCH(LARGE(Calculos!$J$61:$J$78,3),Calculos!$J$61:$J$78,0)))</f>
        <v>3</v>
      </c>
    </row>
    <row r="9" spans="1:11" x14ac:dyDescent="0.25">
      <c r="A9" s="9">
        <f>IF(4&gt;Calculos!$B$1,"",4)</f>
        <v>4</v>
      </c>
      <c r="B9" s="11" t="str">
        <f>IF(A9="","",INDEX(Calculos!$A$61:$A$78,MATCH(LARGE(Calculos!$J$61:$J$78,4),Calculos!$J$61:$J$78,0)))</f>
        <v>Racing del Prado</v>
      </c>
      <c r="C9" s="9">
        <f>IF(A9="","",INDEX(Calculos!$B$61:$B$78,MATCH(LARGE(Calculos!$J$61:$J$78,4),Calculos!$J$61:$J$78,0)))</f>
        <v>2</v>
      </c>
      <c r="D9" s="9">
        <f>IF(A9="","",INDEX(Calculos!$C$61:$C$78,MATCH(LARGE(Calculos!$J$61:$J$78,4),Calculos!$J$61:$J$78,0)))</f>
        <v>1</v>
      </c>
      <c r="E9" s="9">
        <f>IF(A9="","",INDEX(Calculos!$D$61:$D$78,MATCH(LARGE(Calculos!$J$61:$J$78,4),Calculos!$J$61:$J$78,0)))</f>
        <v>0</v>
      </c>
      <c r="F9" s="9">
        <f>IF(A9="","",INDEX(Calculos!$E$61:$E$78,MATCH(LARGE(Calculos!$J$61:$J$78,4),Calculos!$J$61:$J$78,0)))</f>
        <v>1</v>
      </c>
      <c r="G9" s="9">
        <f>IF(A9="","",INDEX(Calculos!$F$61:$F$78,MATCH(LARGE(Calculos!$J$61:$J$78,4),Calculos!$J$61:$J$78,0)))</f>
        <v>4</v>
      </c>
      <c r="H9" s="9">
        <f>IF(A9="","",INDEX(Calculos!$G$61:$G$78,MATCH(LARGE(Calculos!$J$61:$J$78,4),Calculos!$J$61:$J$78,0)))</f>
        <v>4</v>
      </c>
      <c r="I9" s="9">
        <f>IF(A9="","",INDEX(Calculos!$H$61:$H$78,MATCH(LARGE(Calculos!$J$61:$J$78,4),Calculos!$J$61:$J$78,0)))</f>
        <v>0</v>
      </c>
      <c r="J9" s="9">
        <f>IF(A9="","",INDEX(Calculos!$I$61:$I$78,MATCH(LARGE(Calculos!$J$61:$J$78,4),Calculos!$J$61:$J$78,0)))</f>
        <v>3</v>
      </c>
    </row>
    <row r="10" spans="1:11" x14ac:dyDescent="0.25">
      <c r="A10" s="9">
        <f>IF(5&gt;Calculos!$B$1,"",5)</f>
        <v>5</v>
      </c>
      <c r="B10" s="11" t="str">
        <f>IF(A10="","",INDEX(Calculos!$A$61:$A$78,MATCH(LARGE(Calculos!$J$61:$J$78,5),Calculos!$J$61:$J$78,0)))</f>
        <v>Deportivo Alboran</v>
      </c>
      <c r="C10" s="9">
        <f>IF(A10="","",INDEX(Calculos!$B$61:$B$78,MATCH(LARGE(Calculos!$J$61:$J$78,5),Calculos!$J$61:$J$78,0)))</f>
        <v>2</v>
      </c>
      <c r="D10" s="9">
        <f>IF(A10="","",INDEX(Calculos!$C$61:$C$78,MATCH(LARGE(Calculos!$J$61:$J$78,5),Calculos!$J$61:$J$78,0)))</f>
        <v>1</v>
      </c>
      <c r="E10" s="9">
        <f>IF(A10="","",INDEX(Calculos!$D$61:$D$78,MATCH(LARGE(Calculos!$J$61:$J$78,5),Calculos!$J$61:$J$78,0)))</f>
        <v>0</v>
      </c>
      <c r="F10" s="9">
        <f>IF(A10="","",INDEX(Calculos!$E$61:$E$78,MATCH(LARGE(Calculos!$J$61:$J$78,5),Calculos!$J$61:$J$78,0)))</f>
        <v>1</v>
      </c>
      <c r="G10" s="9">
        <f>IF(A10="","",INDEX(Calculos!$F$61:$F$78,MATCH(LARGE(Calculos!$J$61:$J$78,5),Calculos!$J$61:$J$78,0)))</f>
        <v>2</v>
      </c>
      <c r="H10" s="9">
        <f>IF(A10="","",INDEX(Calculos!$G$61:$G$78,MATCH(LARGE(Calculos!$J$61:$J$78,5),Calculos!$J$61:$J$78,0)))</f>
        <v>2</v>
      </c>
      <c r="I10" s="9">
        <f>IF(A10="","",INDEX(Calculos!$H$61:$H$78,MATCH(LARGE(Calculos!$J$61:$J$78,5),Calculos!$J$61:$J$78,0)))</f>
        <v>0</v>
      </c>
      <c r="J10" s="9">
        <f>IF(A10="","",INDEX(Calculos!$I$61:$I$78,MATCH(LARGE(Calculos!$J$61:$J$78,5),Calculos!$J$61:$J$78,0)))</f>
        <v>3</v>
      </c>
    </row>
    <row r="11" spans="1:11" x14ac:dyDescent="0.25">
      <c r="A11" s="9">
        <f>IF(6&gt;Calculos!$B$1,"",6)</f>
        <v>6</v>
      </c>
      <c r="B11" s="11" t="str">
        <f>IF(A11="","",INDEX(Calculos!$A$61:$A$78,MATCH(LARGE(Calculos!$J$61:$J$78,6),Calculos!$J$61:$J$78,0)))</f>
        <v>Atletico Bahia</v>
      </c>
      <c r="C11" s="9">
        <f>IF(A11="","",INDEX(Calculos!$B$61:$B$78,MATCH(LARGE(Calculos!$J$61:$J$78,6),Calculos!$J$61:$J$78,0)))</f>
        <v>2</v>
      </c>
      <c r="D11" s="9">
        <f>IF(A11="","",INDEX(Calculos!$C$61:$C$78,MATCH(LARGE(Calculos!$J$61:$J$78,6),Calculos!$J$61:$J$78,0)))</f>
        <v>1</v>
      </c>
      <c r="E11" s="9">
        <f>IF(A11="","",INDEX(Calculos!$D$61:$D$78,MATCH(LARGE(Calculos!$J$61:$J$78,6),Calculos!$J$61:$J$78,0)))</f>
        <v>0</v>
      </c>
      <c r="F11" s="9">
        <f>IF(A11="","",INDEX(Calculos!$E$61:$E$78,MATCH(LARGE(Calculos!$J$61:$J$78,6),Calculos!$J$61:$J$78,0)))</f>
        <v>1</v>
      </c>
      <c r="G11" s="9">
        <f>IF(A11="","",INDEX(Calculos!$F$61:$F$78,MATCH(LARGE(Calculos!$J$61:$J$78,6),Calculos!$J$61:$J$78,0)))</f>
        <v>2</v>
      </c>
      <c r="H11" s="9">
        <f>IF(A11="","",INDEX(Calculos!$G$61:$G$78,MATCH(LARGE(Calculos!$J$61:$J$78,6),Calculos!$J$61:$J$78,0)))</f>
        <v>2</v>
      </c>
      <c r="I11" s="9">
        <f>IF(A11="","",INDEX(Calculos!$H$61:$H$78,MATCH(LARGE(Calculos!$J$61:$J$78,6),Calculos!$J$61:$J$78,0)))</f>
        <v>0</v>
      </c>
      <c r="J11" s="9">
        <f>IF(A11="","",INDEX(Calculos!$I$61:$I$78,MATCH(LARGE(Calculos!$J$61:$J$78,6),Calculos!$J$61:$J$78,0)))</f>
        <v>3</v>
      </c>
    </row>
    <row r="12" spans="1:11" x14ac:dyDescent="0.25">
      <c r="A12" s="9">
        <f>IF(7&gt;Calculos!$B$1,"",7)</f>
        <v>7</v>
      </c>
      <c r="B12" s="11" t="str">
        <f>IF(A12="","",INDEX(Calculos!$A$61:$A$78,MATCH(LARGE(Calculos!$J$61:$J$78,7),Calculos!$J$61:$J$78,0)))</f>
        <v>Inter Laguna</v>
      </c>
      <c r="C12" s="9">
        <f>IF(A12="","",INDEX(Calculos!$B$61:$B$78,MATCH(LARGE(Calculos!$J$61:$J$78,7),Calculos!$J$61:$J$78,0)))</f>
        <v>2</v>
      </c>
      <c r="D12" s="9">
        <f>IF(A12="","",INDEX(Calculos!$C$61:$C$78,MATCH(LARGE(Calculos!$J$61:$J$78,7),Calculos!$J$61:$J$78,0)))</f>
        <v>1</v>
      </c>
      <c r="E12" s="9">
        <f>IF(A12="","",INDEX(Calculos!$D$61:$D$78,MATCH(LARGE(Calculos!$J$61:$J$78,7),Calculos!$J$61:$J$78,0)))</f>
        <v>0</v>
      </c>
      <c r="F12" s="9">
        <f>IF(A12="","",INDEX(Calculos!$E$61:$E$78,MATCH(LARGE(Calculos!$J$61:$J$78,7),Calculos!$J$61:$J$78,0)))</f>
        <v>1</v>
      </c>
      <c r="G12" s="9">
        <f>IF(A12="","",INDEX(Calculos!$F$61:$F$78,MATCH(LARGE(Calculos!$J$61:$J$78,7),Calculos!$J$61:$J$78,0)))</f>
        <v>1</v>
      </c>
      <c r="H12" s="9">
        <f>IF(A12="","",INDEX(Calculos!$G$61:$G$78,MATCH(LARGE(Calculos!$J$61:$J$78,7),Calculos!$J$61:$J$78,0)))</f>
        <v>1</v>
      </c>
      <c r="I12" s="9">
        <f>IF(A12="","",INDEX(Calculos!$H$61:$H$78,MATCH(LARGE(Calculos!$J$61:$J$78,7),Calculos!$J$61:$J$78,0)))</f>
        <v>0</v>
      </c>
      <c r="J12" s="9">
        <f>IF(A12="","",INDEX(Calculos!$I$61:$I$78,MATCH(LARGE(Calculos!$J$61:$J$78,7),Calculos!$J$61:$J$78,0)))</f>
        <v>3</v>
      </c>
    </row>
    <row r="13" spans="1:11" x14ac:dyDescent="0.25">
      <c r="A13" s="9">
        <f>IF(8&gt;Calculos!$B$1,"",8)</f>
        <v>8</v>
      </c>
      <c r="B13" s="11" t="str">
        <f>IF(A13="","",INDEX(Calculos!$A$61:$A$78,MATCH(LARGE(Calculos!$J$61:$J$78,8),Calculos!$J$61:$J$78,0)))</f>
        <v>Sporting Marea</v>
      </c>
      <c r="C13" s="9">
        <f>IF(A13="","",INDEX(Calculos!$B$61:$B$78,MATCH(LARGE(Calculos!$J$61:$J$78,8),Calculos!$J$61:$J$78,0)))</f>
        <v>2</v>
      </c>
      <c r="D13" s="9">
        <f>IF(A13="","",INDEX(Calculos!$C$61:$C$78,MATCH(LARGE(Calculos!$J$61:$J$78,8),Calculos!$J$61:$J$78,0)))</f>
        <v>1</v>
      </c>
      <c r="E13" s="9">
        <f>IF(A13="","",INDEX(Calculos!$D$61:$D$78,MATCH(LARGE(Calculos!$J$61:$J$78,8),Calculos!$J$61:$J$78,0)))</f>
        <v>0</v>
      </c>
      <c r="F13" s="9">
        <f>IF(A13="","",INDEX(Calculos!$E$61:$E$78,MATCH(LARGE(Calculos!$J$61:$J$78,8),Calculos!$J$61:$J$78,0)))</f>
        <v>1</v>
      </c>
      <c r="G13" s="9">
        <f>IF(A13="","",INDEX(Calculos!$F$61:$F$78,MATCH(LARGE(Calculos!$J$61:$J$78,8),Calculos!$J$61:$J$78,0)))</f>
        <v>1</v>
      </c>
      <c r="H13" s="9">
        <f>IF(A13="","",INDEX(Calculos!$G$61:$G$78,MATCH(LARGE(Calculos!$J$61:$J$78,8),Calculos!$J$61:$J$78,0)))</f>
        <v>1</v>
      </c>
      <c r="I13" s="9">
        <f>IF(A13="","",INDEX(Calculos!$H$61:$H$78,MATCH(LARGE(Calculos!$J$61:$J$78,8),Calculos!$J$61:$J$78,0)))</f>
        <v>0</v>
      </c>
      <c r="J13" s="9">
        <f>IF(A13="","",INDEX(Calculos!$I$61:$I$78,MATCH(LARGE(Calculos!$J$61:$J$78,8),Calculos!$J$61:$J$78,0)))</f>
        <v>3</v>
      </c>
    </row>
    <row r="14" spans="1:11" x14ac:dyDescent="0.25">
      <c r="A14" s="9">
        <f>IF(9&gt;Calculos!$B$1,"",9)</f>
        <v>9</v>
      </c>
      <c r="B14" s="11" t="str">
        <f>IF(A14="","",INDEX(Calculos!$A$61:$A$78,MATCH(LARGE(Calculos!$J$61:$J$78,9),Calculos!$J$61:$J$78,0)))</f>
        <v>Real Mirador</v>
      </c>
      <c r="C14" s="9">
        <f>IF(A14="","",INDEX(Calculos!$B$61:$B$78,MATCH(LARGE(Calculos!$J$61:$J$78,9),Calculos!$J$61:$J$78,0)))</f>
        <v>2</v>
      </c>
      <c r="D14" s="9">
        <f>IF(A14="","",INDEX(Calculos!$C$61:$C$78,MATCH(LARGE(Calculos!$J$61:$J$78,9),Calculos!$J$61:$J$78,0)))</f>
        <v>0</v>
      </c>
      <c r="E14" s="9">
        <f>IF(A14="","",INDEX(Calculos!$D$61:$D$78,MATCH(LARGE(Calculos!$J$61:$J$78,9),Calculos!$J$61:$J$78,0)))</f>
        <v>2</v>
      </c>
      <c r="F14" s="9">
        <f>IF(A14="","",INDEX(Calculos!$E$61:$E$78,MATCH(LARGE(Calculos!$J$61:$J$78,9),Calculos!$J$61:$J$78,0)))</f>
        <v>0</v>
      </c>
      <c r="G14" s="9">
        <f>IF(A14="","",INDEX(Calculos!$F$61:$F$78,MATCH(LARGE(Calculos!$J$61:$J$78,9),Calculos!$J$61:$J$78,0)))</f>
        <v>4</v>
      </c>
      <c r="H14" s="9">
        <f>IF(A14="","",INDEX(Calculos!$G$61:$G$78,MATCH(LARGE(Calculos!$J$61:$J$78,9),Calculos!$J$61:$J$78,0)))</f>
        <v>4</v>
      </c>
      <c r="I14" s="9">
        <f>IF(A14="","",INDEX(Calculos!$H$61:$H$78,MATCH(LARGE(Calculos!$J$61:$J$78,9),Calculos!$J$61:$J$78,0)))</f>
        <v>0</v>
      </c>
      <c r="J14" s="9">
        <f>IF(A14="","",INDEX(Calculos!$I$61:$I$78,MATCH(LARGE(Calculos!$J$61:$J$78,9),Calculos!$J$61:$J$78,0)))</f>
        <v>2</v>
      </c>
    </row>
    <row r="15" spans="1:11" x14ac:dyDescent="0.25">
      <c r="A15" s="9">
        <f>IF(10&gt;Calculos!$B$1,"",10)</f>
        <v>10</v>
      </c>
      <c r="B15" s="11" t="str">
        <f>IF(A15="","",INDEX(Calculos!$A$61:$A$78,MATCH(LARGE(Calculos!$J$61:$J$78,10),Calculos!$J$61:$J$78,0)))</f>
        <v>Velez Sur</v>
      </c>
      <c r="C15" s="9">
        <f>IF(A15="","",INDEX(Calculos!$B$61:$B$78,MATCH(LARGE(Calculos!$J$61:$J$78,10),Calculos!$J$61:$J$78,0)))</f>
        <v>0</v>
      </c>
      <c r="D15" s="9">
        <f>IF(A15="","",INDEX(Calculos!$C$61:$C$78,MATCH(LARGE(Calculos!$J$61:$J$78,10),Calculos!$J$61:$J$78,0)))</f>
        <v>0</v>
      </c>
      <c r="E15" s="9">
        <f>IF(A15="","",INDEX(Calculos!$D$61:$D$78,MATCH(LARGE(Calculos!$J$61:$J$78,10),Calculos!$J$61:$J$78,0)))</f>
        <v>0</v>
      </c>
      <c r="F15" s="9">
        <f>IF(A15="","",INDEX(Calculos!$E$61:$E$78,MATCH(LARGE(Calculos!$J$61:$J$78,10),Calculos!$J$61:$J$78,0)))</f>
        <v>0</v>
      </c>
      <c r="G15" s="9">
        <f>IF(A15="","",INDEX(Calculos!$F$61:$F$78,MATCH(LARGE(Calculos!$J$61:$J$78,10),Calculos!$J$61:$J$78,0)))</f>
        <v>0</v>
      </c>
      <c r="H15" s="9">
        <f>IF(A15="","",INDEX(Calculos!$G$61:$G$78,MATCH(LARGE(Calculos!$J$61:$J$78,10),Calculos!$J$61:$J$78,0)))</f>
        <v>0</v>
      </c>
      <c r="I15" s="9">
        <f>IF(A15="","",INDEX(Calculos!$H$61:$H$78,MATCH(LARGE(Calculos!$J$61:$J$78,10),Calculos!$J$61:$J$78,0)))</f>
        <v>0</v>
      </c>
      <c r="J15" s="9">
        <f>IF(A15="","",INDEX(Calculos!$I$61:$I$78,MATCH(LARGE(Calculos!$J$61:$J$78,10),Calculos!$J$61:$J$78,0)))</f>
        <v>0</v>
      </c>
    </row>
    <row r="16" spans="1:11" x14ac:dyDescent="0.25">
      <c r="A16" s="9" t="str">
        <f>IF(11&gt;Calculos!$B$1,"",11)</f>
        <v/>
      </c>
      <c r="B16" s="11" t="str">
        <f>IF(A16="","",INDEX(Calculos!$A$61:$A$78,MATCH(LARGE(Calculos!$J$61:$J$78,11),Calculos!$J$61:$J$78,0)))</f>
        <v/>
      </c>
      <c r="C16" s="9" t="str">
        <f>IF(A16="","",INDEX(Calculos!$B$61:$B$78,MATCH(LARGE(Calculos!$J$61:$J$78,11),Calculos!$J$61:$J$78,0)))</f>
        <v/>
      </c>
      <c r="D16" s="9" t="str">
        <f>IF(A16="","",INDEX(Calculos!$C$61:$C$78,MATCH(LARGE(Calculos!$J$61:$J$78,11),Calculos!$J$61:$J$78,0)))</f>
        <v/>
      </c>
      <c r="E16" s="9" t="str">
        <f>IF(A16="","",INDEX(Calculos!$D$61:$D$78,MATCH(LARGE(Calculos!$J$61:$J$78,11),Calculos!$J$61:$J$78,0)))</f>
        <v/>
      </c>
      <c r="F16" s="9" t="str">
        <f>IF(A16="","",INDEX(Calculos!$E$61:$E$78,MATCH(LARGE(Calculos!$J$61:$J$78,11),Calculos!$J$61:$J$78,0)))</f>
        <v/>
      </c>
      <c r="G16" s="9" t="str">
        <f>IF(A16="","",INDEX(Calculos!$F$61:$F$78,MATCH(LARGE(Calculos!$J$61:$J$78,11),Calculos!$J$61:$J$78,0)))</f>
        <v/>
      </c>
      <c r="H16" s="9" t="str">
        <f>IF(A16="","",INDEX(Calculos!$G$61:$G$78,MATCH(LARGE(Calculos!$J$61:$J$78,11),Calculos!$J$61:$J$78,0)))</f>
        <v/>
      </c>
      <c r="I16" s="9" t="str">
        <f>IF(A16="","",INDEX(Calculos!$H$61:$H$78,MATCH(LARGE(Calculos!$J$61:$J$78,11),Calculos!$J$61:$J$78,0)))</f>
        <v/>
      </c>
      <c r="J16" s="9" t="str">
        <f>IF(A16="","",INDEX(Calculos!$I$61:$I$78,MATCH(LARGE(Calculos!$J$61:$J$78,11),Calculos!$J$61:$J$78,0)))</f>
        <v/>
      </c>
    </row>
    <row r="17" spans="1:10" x14ac:dyDescent="0.25">
      <c r="A17" s="9" t="str">
        <f>IF(12&gt;Calculos!$B$1,"",12)</f>
        <v/>
      </c>
      <c r="B17" s="11" t="str">
        <f>IF(A17="","",INDEX(Calculos!$A$61:$A$78,MATCH(LARGE(Calculos!$J$61:$J$78,12),Calculos!$J$61:$J$78,0)))</f>
        <v/>
      </c>
      <c r="C17" s="9" t="str">
        <f>IF(A17="","",INDEX(Calculos!$B$61:$B$78,MATCH(LARGE(Calculos!$J$61:$J$78,12),Calculos!$J$61:$J$78,0)))</f>
        <v/>
      </c>
      <c r="D17" s="9" t="str">
        <f>IF(A17="","",INDEX(Calculos!$C$61:$C$78,MATCH(LARGE(Calculos!$J$61:$J$78,12),Calculos!$J$61:$J$78,0)))</f>
        <v/>
      </c>
      <c r="E17" s="9" t="str">
        <f>IF(A17="","",INDEX(Calculos!$D$61:$D$78,MATCH(LARGE(Calculos!$J$61:$J$78,12),Calculos!$J$61:$J$78,0)))</f>
        <v/>
      </c>
      <c r="F17" s="9" t="str">
        <f>IF(A17="","",INDEX(Calculos!$E$61:$E$78,MATCH(LARGE(Calculos!$J$61:$J$78,12),Calculos!$J$61:$J$78,0)))</f>
        <v/>
      </c>
      <c r="G17" s="9" t="str">
        <f>IF(A17="","",INDEX(Calculos!$F$61:$F$78,MATCH(LARGE(Calculos!$J$61:$J$78,12),Calculos!$J$61:$J$78,0)))</f>
        <v/>
      </c>
      <c r="H17" s="9" t="str">
        <f>IF(A17="","",INDEX(Calculos!$G$61:$G$78,MATCH(LARGE(Calculos!$J$61:$J$78,12),Calculos!$J$61:$J$78,0)))</f>
        <v/>
      </c>
      <c r="I17" s="9" t="str">
        <f>IF(A17="","",INDEX(Calculos!$H$61:$H$78,MATCH(LARGE(Calculos!$J$61:$J$78,12),Calculos!$J$61:$J$78,0)))</f>
        <v/>
      </c>
      <c r="J17" s="9" t="str">
        <f>IF(A17="","",INDEX(Calculos!$I$61:$I$78,MATCH(LARGE(Calculos!$J$61:$J$78,12),Calculos!$J$61:$J$78,0)))</f>
        <v/>
      </c>
    </row>
    <row r="18" spans="1:10" x14ac:dyDescent="0.25">
      <c r="A18" s="9" t="str">
        <f>IF(13&gt;Calculos!$B$1,"",13)</f>
        <v/>
      </c>
      <c r="B18" s="11" t="str">
        <f>IF(A18="","",INDEX(Calculos!$A$61:$A$78,MATCH(LARGE(Calculos!$J$61:$J$78,13),Calculos!$J$61:$J$78,0)))</f>
        <v/>
      </c>
      <c r="C18" s="9" t="str">
        <f>IF(A18="","",INDEX(Calculos!$B$61:$B$78,MATCH(LARGE(Calculos!$J$61:$J$78,13),Calculos!$J$61:$J$78,0)))</f>
        <v/>
      </c>
      <c r="D18" s="9" t="str">
        <f>IF(A18="","",INDEX(Calculos!$C$61:$C$78,MATCH(LARGE(Calculos!$J$61:$J$78,13),Calculos!$J$61:$J$78,0)))</f>
        <v/>
      </c>
      <c r="E18" s="9" t="str">
        <f>IF(A18="","",INDEX(Calculos!$D$61:$D$78,MATCH(LARGE(Calculos!$J$61:$J$78,13),Calculos!$J$61:$J$78,0)))</f>
        <v/>
      </c>
      <c r="F18" s="9" t="str">
        <f>IF(A18="","",INDEX(Calculos!$E$61:$E$78,MATCH(LARGE(Calculos!$J$61:$J$78,13),Calculos!$J$61:$J$78,0)))</f>
        <v/>
      </c>
      <c r="G18" s="9" t="str">
        <f>IF(A18="","",INDEX(Calculos!$F$61:$F$78,MATCH(LARGE(Calculos!$J$61:$J$78,13),Calculos!$J$61:$J$78,0)))</f>
        <v/>
      </c>
      <c r="H18" s="9" t="str">
        <f>IF(A18="","",INDEX(Calculos!$G$61:$G$78,MATCH(LARGE(Calculos!$J$61:$J$78,13),Calculos!$J$61:$J$78,0)))</f>
        <v/>
      </c>
      <c r="I18" s="9" t="str">
        <f>IF(A18="","",INDEX(Calculos!$H$61:$H$78,MATCH(LARGE(Calculos!$J$61:$J$78,13),Calculos!$J$61:$J$78,0)))</f>
        <v/>
      </c>
      <c r="J18" s="9" t="str">
        <f>IF(A18="","",INDEX(Calculos!$I$61:$I$78,MATCH(LARGE(Calculos!$J$61:$J$78,13),Calculos!$J$61:$J$78,0)))</f>
        <v/>
      </c>
    </row>
    <row r="19" spans="1:10" x14ac:dyDescent="0.25">
      <c r="A19" s="9" t="str">
        <f>IF(14&gt;Calculos!$B$1,"",14)</f>
        <v/>
      </c>
      <c r="B19" s="11" t="str">
        <f>IF(A19="","",INDEX(Calculos!$A$61:$A$78,MATCH(LARGE(Calculos!$J$61:$J$78,14),Calculos!$J$61:$J$78,0)))</f>
        <v/>
      </c>
      <c r="C19" s="9" t="str">
        <f>IF(A19="","",INDEX(Calculos!$B$61:$B$78,MATCH(LARGE(Calculos!$J$61:$J$78,14),Calculos!$J$61:$J$78,0)))</f>
        <v/>
      </c>
      <c r="D19" s="9" t="str">
        <f>IF(A19="","",INDEX(Calculos!$C$61:$C$78,MATCH(LARGE(Calculos!$J$61:$J$78,14),Calculos!$J$61:$J$78,0)))</f>
        <v/>
      </c>
      <c r="E19" s="9" t="str">
        <f>IF(A19="","",INDEX(Calculos!$D$61:$D$78,MATCH(LARGE(Calculos!$J$61:$J$78,14),Calculos!$J$61:$J$78,0)))</f>
        <v/>
      </c>
      <c r="F19" s="9" t="str">
        <f>IF(A19="","",INDEX(Calculos!$E$61:$E$78,MATCH(LARGE(Calculos!$J$61:$J$78,14),Calculos!$J$61:$J$78,0)))</f>
        <v/>
      </c>
      <c r="G19" s="9" t="str">
        <f>IF(A19="","",INDEX(Calculos!$F$61:$F$78,MATCH(LARGE(Calculos!$J$61:$J$78,14),Calculos!$J$61:$J$78,0)))</f>
        <v/>
      </c>
      <c r="H19" s="9" t="str">
        <f>IF(A19="","",INDEX(Calculos!$G$61:$G$78,MATCH(LARGE(Calculos!$J$61:$J$78,14),Calculos!$J$61:$J$78,0)))</f>
        <v/>
      </c>
      <c r="I19" s="9" t="str">
        <f>IF(A19="","",INDEX(Calculos!$H$61:$H$78,MATCH(LARGE(Calculos!$J$61:$J$78,14),Calculos!$J$61:$J$78,0)))</f>
        <v/>
      </c>
      <c r="J19" s="9" t="str">
        <f>IF(A19="","",INDEX(Calculos!$I$61:$I$78,MATCH(LARGE(Calculos!$J$61:$J$78,14),Calculos!$J$61:$J$78,0)))</f>
        <v/>
      </c>
    </row>
    <row r="20" spans="1:10" x14ac:dyDescent="0.25">
      <c r="A20" s="9" t="str">
        <f>IF(15&gt;Calculos!$B$1,"",15)</f>
        <v/>
      </c>
      <c r="B20" s="11" t="str">
        <f>IF(A20="","",INDEX(Calculos!$A$61:$A$78,MATCH(LARGE(Calculos!$J$61:$J$78,15),Calculos!$J$61:$J$78,0)))</f>
        <v/>
      </c>
      <c r="C20" s="9" t="str">
        <f>IF(A20="","",INDEX(Calculos!$B$61:$B$78,MATCH(LARGE(Calculos!$J$61:$J$78,15),Calculos!$J$61:$J$78,0)))</f>
        <v/>
      </c>
      <c r="D20" s="9" t="str">
        <f>IF(A20="","",INDEX(Calculos!$C$61:$C$78,MATCH(LARGE(Calculos!$J$61:$J$78,15),Calculos!$J$61:$J$78,0)))</f>
        <v/>
      </c>
      <c r="E20" s="9" t="str">
        <f>IF(A20="","",INDEX(Calculos!$D$61:$D$78,MATCH(LARGE(Calculos!$J$61:$J$78,15),Calculos!$J$61:$J$78,0)))</f>
        <v/>
      </c>
      <c r="F20" s="9" t="str">
        <f>IF(A20="","",INDEX(Calculos!$E$61:$E$78,MATCH(LARGE(Calculos!$J$61:$J$78,15),Calculos!$J$61:$J$78,0)))</f>
        <v/>
      </c>
      <c r="G20" s="9" t="str">
        <f>IF(A20="","",INDEX(Calculos!$F$61:$F$78,MATCH(LARGE(Calculos!$J$61:$J$78,15),Calculos!$J$61:$J$78,0)))</f>
        <v/>
      </c>
      <c r="H20" s="9" t="str">
        <f>IF(A20="","",INDEX(Calculos!$G$61:$G$78,MATCH(LARGE(Calculos!$J$61:$J$78,15),Calculos!$J$61:$J$78,0)))</f>
        <v/>
      </c>
      <c r="I20" s="9" t="str">
        <f>IF(A20="","",INDEX(Calculos!$H$61:$H$78,MATCH(LARGE(Calculos!$J$61:$J$78,15),Calculos!$J$61:$J$78,0)))</f>
        <v/>
      </c>
      <c r="J20" s="9" t="str">
        <f>IF(A20="","",INDEX(Calculos!$I$61:$I$78,MATCH(LARGE(Calculos!$J$61:$J$78,15),Calculos!$J$61:$J$78,0)))</f>
        <v/>
      </c>
    </row>
    <row r="21" spans="1:10" x14ac:dyDescent="0.25">
      <c r="A21" s="9" t="str">
        <f>IF(16&gt;Calculos!$B$1,"",16)</f>
        <v/>
      </c>
      <c r="B21" s="11" t="str">
        <f>IF(A21="","",INDEX(Calculos!$A$61:$A$78,MATCH(LARGE(Calculos!$J$61:$J$78,16),Calculos!$J$61:$J$78,0)))</f>
        <v/>
      </c>
      <c r="C21" s="9" t="str">
        <f>IF(A21="","",INDEX(Calculos!$B$61:$B$78,MATCH(LARGE(Calculos!$J$61:$J$78,16),Calculos!$J$61:$J$78,0)))</f>
        <v/>
      </c>
      <c r="D21" s="9" t="str">
        <f>IF(A21="","",INDEX(Calculos!$C$61:$C$78,MATCH(LARGE(Calculos!$J$61:$J$78,16),Calculos!$J$61:$J$78,0)))</f>
        <v/>
      </c>
      <c r="E21" s="9" t="str">
        <f>IF(A21="","",INDEX(Calculos!$D$61:$D$78,MATCH(LARGE(Calculos!$J$61:$J$78,16),Calculos!$J$61:$J$78,0)))</f>
        <v/>
      </c>
      <c r="F21" s="9" t="str">
        <f>IF(A21="","",INDEX(Calculos!$E$61:$E$78,MATCH(LARGE(Calculos!$J$61:$J$78,16),Calculos!$J$61:$J$78,0)))</f>
        <v/>
      </c>
      <c r="G21" s="9" t="str">
        <f>IF(A21="","",INDEX(Calculos!$F$61:$F$78,MATCH(LARGE(Calculos!$J$61:$J$78,16),Calculos!$J$61:$J$78,0)))</f>
        <v/>
      </c>
      <c r="H21" s="9" t="str">
        <f>IF(A21="","",INDEX(Calculos!$G$61:$G$78,MATCH(LARGE(Calculos!$J$61:$J$78,16),Calculos!$J$61:$J$78,0)))</f>
        <v/>
      </c>
      <c r="I21" s="9" t="str">
        <f>IF(A21="","",INDEX(Calculos!$H$61:$H$78,MATCH(LARGE(Calculos!$J$61:$J$78,16),Calculos!$J$61:$J$78,0)))</f>
        <v/>
      </c>
      <c r="J21" s="9" t="str">
        <f>IF(A21="","",INDEX(Calculos!$I$61:$I$78,MATCH(LARGE(Calculos!$J$61:$J$78,16),Calculos!$J$61:$J$78,0)))</f>
        <v/>
      </c>
    </row>
    <row r="22" spans="1:10" x14ac:dyDescent="0.25">
      <c r="A22" s="9" t="str">
        <f>IF(17&gt;Calculos!$B$1,"",17)</f>
        <v/>
      </c>
      <c r="B22" s="11" t="str">
        <f>IF(A22="","",INDEX(Calculos!$A$61:$A$78,MATCH(LARGE(Calculos!$J$61:$J$78,17),Calculos!$J$61:$J$78,0)))</f>
        <v/>
      </c>
      <c r="C22" s="9" t="str">
        <f>IF(A22="","",INDEX(Calculos!$B$61:$B$78,MATCH(LARGE(Calculos!$J$61:$J$78,17),Calculos!$J$61:$J$78,0)))</f>
        <v/>
      </c>
      <c r="D22" s="9" t="str">
        <f>IF(A22="","",INDEX(Calculos!$C$61:$C$78,MATCH(LARGE(Calculos!$J$61:$J$78,17),Calculos!$J$61:$J$78,0)))</f>
        <v/>
      </c>
      <c r="E22" s="9" t="str">
        <f>IF(A22="","",INDEX(Calculos!$D$61:$D$78,MATCH(LARGE(Calculos!$J$61:$J$78,17),Calculos!$J$61:$J$78,0)))</f>
        <v/>
      </c>
      <c r="F22" s="9" t="str">
        <f>IF(A22="","",INDEX(Calculos!$E$61:$E$78,MATCH(LARGE(Calculos!$J$61:$J$78,17),Calculos!$J$61:$J$78,0)))</f>
        <v/>
      </c>
      <c r="G22" s="9" t="str">
        <f>IF(A22="","",INDEX(Calculos!$F$61:$F$78,MATCH(LARGE(Calculos!$J$61:$J$78,17),Calculos!$J$61:$J$78,0)))</f>
        <v/>
      </c>
      <c r="H22" s="9" t="str">
        <f>IF(A22="","",INDEX(Calculos!$G$61:$G$78,MATCH(LARGE(Calculos!$J$61:$J$78,17),Calculos!$J$61:$J$78,0)))</f>
        <v/>
      </c>
      <c r="I22" s="9" t="str">
        <f>IF(A22="","",INDEX(Calculos!$H$61:$H$78,MATCH(LARGE(Calculos!$J$61:$J$78,17),Calculos!$J$61:$J$78,0)))</f>
        <v/>
      </c>
      <c r="J22" s="9" t="str">
        <f>IF(A22="","",INDEX(Calculos!$I$61:$I$78,MATCH(LARGE(Calculos!$J$61:$J$78,17),Calculos!$J$61:$J$78,0)))</f>
        <v/>
      </c>
    </row>
    <row r="23" spans="1:10" x14ac:dyDescent="0.25">
      <c r="A23" s="9" t="str">
        <f>IF(18&gt;Calculos!$B$1,"",18)</f>
        <v/>
      </c>
      <c r="B23" s="11" t="str">
        <f>IF(A23="","",INDEX(Calculos!$A$61:$A$78,MATCH(LARGE(Calculos!$J$61:$J$78,18),Calculos!$J$61:$J$78,0)))</f>
        <v/>
      </c>
      <c r="C23" s="9" t="str">
        <f>IF(A23="","",INDEX(Calculos!$B$61:$B$78,MATCH(LARGE(Calculos!$J$61:$J$78,18),Calculos!$J$61:$J$78,0)))</f>
        <v/>
      </c>
      <c r="D23" s="9" t="str">
        <f>IF(A23="","",INDEX(Calculos!$C$61:$C$78,MATCH(LARGE(Calculos!$J$61:$J$78,18),Calculos!$J$61:$J$78,0)))</f>
        <v/>
      </c>
      <c r="E23" s="9" t="str">
        <f>IF(A23="","",INDEX(Calculos!$D$61:$D$78,MATCH(LARGE(Calculos!$J$61:$J$78,18),Calculos!$J$61:$J$78,0)))</f>
        <v/>
      </c>
      <c r="F23" s="9" t="str">
        <f>IF(A23="","",INDEX(Calculos!$E$61:$E$78,MATCH(LARGE(Calculos!$J$61:$J$78,18),Calculos!$J$61:$J$78,0)))</f>
        <v/>
      </c>
      <c r="G23" s="9" t="str">
        <f>IF(A23="","",INDEX(Calculos!$F$61:$F$78,MATCH(LARGE(Calculos!$J$61:$J$78,18),Calculos!$J$61:$J$78,0)))</f>
        <v/>
      </c>
      <c r="H23" s="9" t="str">
        <f>IF(A23="","",INDEX(Calculos!$G$61:$G$78,MATCH(LARGE(Calculos!$J$61:$J$78,18),Calculos!$J$61:$J$78,0)))</f>
        <v/>
      </c>
      <c r="I23" s="9" t="str">
        <f>IF(A23="","",INDEX(Calculos!$H$61:$H$78,MATCH(LARGE(Calculos!$J$61:$J$78,18),Calculos!$J$61:$J$78,0)))</f>
        <v/>
      </c>
      <c r="J23" s="9" t="str">
        <f>IF(A23="","",INDEX(Calculos!$I$61:$I$78,MATCH(LARGE(Calculos!$J$61:$J$78,18),Calculos!$J$61:$J$78,0)))</f>
        <v/>
      </c>
    </row>
  </sheetData>
  <autoFilter ref="A5:J23" xr:uid="{00000000-0009-0000-0000-000002000000}"/>
  <mergeCells count="3">
    <mergeCell ref="A1:K1"/>
    <mergeCell ref="F3:G3"/>
    <mergeCell ref="C3:D3"/>
  </mergeCells>
  <pageMargins left="0.75" right="0.75" top="1" bottom="1" header="0.5" footer="0.5"/>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S78"/>
  <sheetViews>
    <sheetView showGridLines="0" workbookViewId="0"/>
  </sheetViews>
  <sheetFormatPr baseColWidth="10" defaultColWidth="9.140625" defaultRowHeight="15" x14ac:dyDescent="0.25"/>
  <sheetData>
    <row r="1" spans="1:2" x14ac:dyDescent="0.25">
      <c r="A1" s="12" t="s">
        <v>55</v>
      </c>
      <c r="B1">
        <f>Inicio!E9</f>
        <v>10</v>
      </c>
    </row>
    <row r="2" spans="1:2" x14ac:dyDescent="0.25">
      <c r="A2" s="12" t="s">
        <v>56</v>
      </c>
      <c r="B2">
        <f>IF(B1&lt;3,0,Inicio!G9)</f>
        <v>10</v>
      </c>
    </row>
    <row r="3" spans="1:2" x14ac:dyDescent="0.25">
      <c r="A3" s="12" t="s">
        <v>57</v>
      </c>
      <c r="B3">
        <f>IF(Inicio!B5="Ida y vuelta",2,1)</f>
        <v>2</v>
      </c>
    </row>
    <row r="4" spans="1:2" ht="30" x14ac:dyDescent="0.25">
      <c r="A4" s="12" t="s">
        <v>58</v>
      </c>
      <c r="B4">
        <f>IF(B2=0,0,B2-1)</f>
        <v>9</v>
      </c>
    </row>
    <row r="5" spans="1:2" ht="30" x14ac:dyDescent="0.25">
      <c r="A5" s="12" t="s">
        <v>59</v>
      </c>
      <c r="B5">
        <f>B4*B3</f>
        <v>18</v>
      </c>
    </row>
    <row r="6" spans="1:2" ht="45" x14ac:dyDescent="0.25">
      <c r="A6" s="12" t="s">
        <v>60</v>
      </c>
      <c r="B6">
        <f>IF(B2=0,0,B2/2)</f>
        <v>5</v>
      </c>
    </row>
    <row r="7" spans="1:2" ht="30" x14ac:dyDescent="0.25">
      <c r="A7" s="12" t="s">
        <v>61</v>
      </c>
      <c r="B7">
        <f>B5*B6</f>
        <v>90</v>
      </c>
    </row>
    <row r="10" spans="1:2" x14ac:dyDescent="0.25">
      <c r="A10" s="13" t="s">
        <v>62</v>
      </c>
      <c r="B10" s="13" t="s">
        <v>13</v>
      </c>
    </row>
    <row r="11" spans="1:2" x14ac:dyDescent="0.25">
      <c r="A11">
        <v>1</v>
      </c>
      <c r="B11" t="str">
        <f>IF(A11&lt;=B$1,INDEX(Inicio!$B$10:$B$27,A11),IF(AND(MOD(B$1,2)=1,A11=B$1+1),"Descansa",""))</f>
        <v>Atletico Bahia</v>
      </c>
    </row>
    <row r="12" spans="1:2" x14ac:dyDescent="0.25">
      <c r="A12">
        <v>2</v>
      </c>
      <c r="B12" t="str">
        <f>IF(A12&lt;=B$1,INDEX(Inicio!$B$10:$B$27,A12),IF(AND(MOD(B$1,2)=1,A12=B$1+1),"Descansa",""))</f>
        <v>Deportivo Alboran</v>
      </c>
    </row>
    <row r="13" spans="1:2" x14ac:dyDescent="0.25">
      <c r="A13">
        <v>3</v>
      </c>
      <c r="B13" t="str">
        <f>IF(A13&lt;=B$1,INDEX(Inicio!$B$10:$B$27,A13),IF(AND(MOD(B$1,2)=1,A13=B$1+1),"Descansa",""))</f>
        <v>Racing del Prado</v>
      </c>
    </row>
    <row r="14" spans="1:2" x14ac:dyDescent="0.25">
      <c r="A14">
        <v>4</v>
      </c>
      <c r="B14" t="str">
        <f>IF(A14&lt;=B$1,INDEX(Inicio!$B$10:$B$27,A14),IF(AND(MOD(B$1,2)=1,A14=B$1+1),"Descansa",""))</f>
        <v>Union Sierra</v>
      </c>
    </row>
    <row r="15" spans="1:2" x14ac:dyDescent="0.25">
      <c r="A15">
        <v>5</v>
      </c>
      <c r="B15" t="str">
        <f>IF(A15&lt;=B$1,INDEX(Inicio!$B$10:$B$27,A15),IF(AND(MOD(B$1,2)=1,A15=B$1+1),"Descansa",""))</f>
        <v>Sporting Marea</v>
      </c>
    </row>
    <row r="16" spans="1:2" x14ac:dyDescent="0.25">
      <c r="A16">
        <v>6</v>
      </c>
      <c r="B16" t="str">
        <f>IF(A16&lt;=B$1,INDEX(Inicio!$B$10:$B$27,A16),IF(AND(MOD(B$1,2)=1,A16=B$1+1),"Descansa",""))</f>
        <v>Real Mirador</v>
      </c>
    </row>
    <row r="17" spans="1:2" x14ac:dyDescent="0.25">
      <c r="A17">
        <v>7</v>
      </c>
      <c r="B17" t="str">
        <f>IF(A17&lt;=B$1,INDEX(Inicio!$B$10:$B$27,A17),IF(AND(MOD(B$1,2)=1,A17=B$1+1),"Descansa",""))</f>
        <v>CD Aurora</v>
      </c>
    </row>
    <row r="18" spans="1:2" x14ac:dyDescent="0.25">
      <c r="A18">
        <v>8</v>
      </c>
      <c r="B18" t="str">
        <f>IF(A18&lt;=B$1,INDEX(Inicio!$B$10:$B$27,A18),IF(AND(MOD(B$1,2)=1,A18=B$1+1),"Descansa",""))</f>
        <v>Inter Laguna</v>
      </c>
    </row>
    <row r="19" spans="1:2" x14ac:dyDescent="0.25">
      <c r="A19">
        <v>9</v>
      </c>
      <c r="B19" t="str">
        <f>IF(A19&lt;=B$1,INDEX(Inicio!$B$10:$B$27,A19),IF(AND(MOD(B$1,2)=1,A19=B$1+1),"Descansa",""))</f>
        <v>Juventud Central</v>
      </c>
    </row>
    <row r="20" spans="1:2" x14ac:dyDescent="0.25">
      <c r="A20">
        <v>10</v>
      </c>
      <c r="B20" t="str">
        <f>IF(A20&lt;=B$1,INDEX(Inicio!$B$10:$B$27,A20),IF(AND(MOD(B$1,2)=1,A20=B$1+1),"Descansa",""))</f>
        <v>Velez Sur</v>
      </c>
    </row>
    <row r="21" spans="1:2" x14ac:dyDescent="0.25">
      <c r="A21">
        <v>11</v>
      </c>
      <c r="B21" t="str">
        <f>IF(A21&lt;=B$1,INDEX(Inicio!$B$10:$B$27,A21),IF(AND(MOD(B$1,2)=1,A21=B$1+1),"Descansa",""))</f>
        <v/>
      </c>
    </row>
    <row r="22" spans="1:2" x14ac:dyDescent="0.25">
      <c r="A22">
        <v>12</v>
      </c>
      <c r="B22" t="str">
        <f>IF(A22&lt;=B$1,INDEX(Inicio!$B$10:$B$27,A22),IF(AND(MOD(B$1,2)=1,A22=B$1+1),"Descansa",""))</f>
        <v/>
      </c>
    </row>
    <row r="23" spans="1:2" x14ac:dyDescent="0.25">
      <c r="A23">
        <v>13</v>
      </c>
      <c r="B23" t="str">
        <f>IF(A23&lt;=B$1,INDEX(Inicio!$B$10:$B$27,A23),IF(AND(MOD(B$1,2)=1,A23=B$1+1),"Descansa",""))</f>
        <v/>
      </c>
    </row>
    <row r="24" spans="1:2" x14ac:dyDescent="0.25">
      <c r="A24">
        <v>14</v>
      </c>
      <c r="B24" t="str">
        <f>IF(A24&lt;=B$1,INDEX(Inicio!$B$10:$B$27,A24),IF(AND(MOD(B$1,2)=1,A24=B$1+1),"Descansa",""))</f>
        <v/>
      </c>
    </row>
    <row r="25" spans="1:2" x14ac:dyDescent="0.25">
      <c r="A25">
        <v>15</v>
      </c>
      <c r="B25" t="str">
        <f>IF(A25&lt;=B$1,INDEX(Inicio!$B$10:$B$27,A25),IF(AND(MOD(B$1,2)=1,A25=B$1+1),"Descansa",""))</f>
        <v/>
      </c>
    </row>
    <row r="26" spans="1:2" x14ac:dyDescent="0.25">
      <c r="A26">
        <v>16</v>
      </c>
      <c r="B26" t="str">
        <f>IF(A26&lt;=B$1,INDEX(Inicio!$B$10:$B$27,A26),IF(AND(MOD(B$1,2)=1,A26=B$1+1),"Descansa",""))</f>
        <v/>
      </c>
    </row>
    <row r="27" spans="1:2" x14ac:dyDescent="0.25">
      <c r="A27">
        <v>17</v>
      </c>
      <c r="B27" t="str">
        <f>IF(A27&lt;=B$1,INDEX(Inicio!$B$10:$B$27,A27),IF(AND(MOD(B$1,2)=1,A27=B$1+1),"Descansa",""))</f>
        <v/>
      </c>
    </row>
    <row r="28" spans="1:2" x14ac:dyDescent="0.25">
      <c r="A28">
        <v>18</v>
      </c>
      <c r="B28" t="str">
        <f>IF(A28&lt;=B$1,INDEX(Inicio!$B$10:$B$27,A28),IF(AND(MOD(B$1,2)=1,A28=B$1+1),"Descansa",""))</f>
        <v/>
      </c>
    </row>
    <row r="35" spans="1:19" x14ac:dyDescent="0.25">
      <c r="A35" s="13" t="s">
        <v>28</v>
      </c>
      <c r="B35" s="14">
        <v>1</v>
      </c>
      <c r="C35" s="14">
        <v>2</v>
      </c>
      <c r="D35" s="14">
        <v>3</v>
      </c>
      <c r="E35" s="14">
        <v>4</v>
      </c>
      <c r="F35" s="14">
        <v>5</v>
      </c>
      <c r="G35" s="14">
        <v>6</v>
      </c>
      <c r="H35" s="14">
        <v>7</v>
      </c>
      <c r="I35" s="14">
        <v>8</v>
      </c>
      <c r="J35" s="14">
        <v>9</v>
      </c>
      <c r="K35" s="14">
        <v>10</v>
      </c>
      <c r="L35" s="14">
        <v>11</v>
      </c>
      <c r="M35" s="14">
        <v>12</v>
      </c>
      <c r="N35" s="14">
        <v>13</v>
      </c>
      <c r="O35" s="14">
        <v>14</v>
      </c>
      <c r="P35" s="14">
        <v>15</v>
      </c>
      <c r="Q35" s="14">
        <v>16</v>
      </c>
      <c r="R35" s="14">
        <v>17</v>
      </c>
      <c r="S35" s="14">
        <v>18</v>
      </c>
    </row>
    <row r="36" spans="1:19" x14ac:dyDescent="0.25">
      <c r="A36" s="15">
        <v>1</v>
      </c>
    </row>
    <row r="37" spans="1:19" x14ac:dyDescent="0.25">
      <c r="A37" s="15">
        <v>2</v>
      </c>
    </row>
    <row r="38" spans="1:19" x14ac:dyDescent="0.25">
      <c r="A38" s="15">
        <v>3</v>
      </c>
    </row>
    <row r="39" spans="1:19" x14ac:dyDescent="0.25">
      <c r="A39" s="15">
        <v>4</v>
      </c>
    </row>
    <row r="40" spans="1:19" x14ac:dyDescent="0.25">
      <c r="A40" s="15">
        <v>5</v>
      </c>
    </row>
    <row r="41" spans="1:19" x14ac:dyDescent="0.25">
      <c r="A41" s="15">
        <v>6</v>
      </c>
    </row>
    <row r="42" spans="1:19" x14ac:dyDescent="0.25">
      <c r="A42" s="15">
        <v>7</v>
      </c>
    </row>
    <row r="43" spans="1:19" x14ac:dyDescent="0.25">
      <c r="A43" s="15">
        <v>8</v>
      </c>
    </row>
    <row r="44" spans="1:19" x14ac:dyDescent="0.25">
      <c r="A44" s="15">
        <v>9</v>
      </c>
    </row>
    <row r="45" spans="1:19" x14ac:dyDescent="0.25">
      <c r="A45" s="15">
        <v>10</v>
      </c>
    </row>
    <row r="46" spans="1:19" x14ac:dyDescent="0.25">
      <c r="A46" s="15">
        <v>11</v>
      </c>
    </row>
    <row r="47" spans="1:19" x14ac:dyDescent="0.25">
      <c r="A47" s="15">
        <v>12</v>
      </c>
    </row>
    <row r="48" spans="1:19" x14ac:dyDescent="0.25">
      <c r="A48" s="15">
        <v>13</v>
      </c>
    </row>
    <row r="49" spans="1:10" x14ac:dyDescent="0.25">
      <c r="A49" s="15">
        <v>14</v>
      </c>
    </row>
    <row r="50" spans="1:10" x14ac:dyDescent="0.25">
      <c r="A50" s="15">
        <v>15</v>
      </c>
    </row>
    <row r="51" spans="1:10" x14ac:dyDescent="0.25">
      <c r="A51" s="15">
        <v>16</v>
      </c>
    </row>
    <row r="52" spans="1:10" x14ac:dyDescent="0.25">
      <c r="A52" s="15">
        <v>17</v>
      </c>
    </row>
    <row r="60" spans="1:10" x14ac:dyDescent="0.25">
      <c r="A60" s="13" t="s">
        <v>13</v>
      </c>
      <c r="B60" s="13" t="s">
        <v>47</v>
      </c>
      <c r="C60" s="13" t="s">
        <v>48</v>
      </c>
      <c r="D60" s="13" t="s">
        <v>49</v>
      </c>
      <c r="E60" s="13" t="s">
        <v>50</v>
      </c>
      <c r="F60" s="13" t="s">
        <v>51</v>
      </c>
      <c r="G60" s="13" t="s">
        <v>52</v>
      </c>
      <c r="H60" s="13" t="s">
        <v>53</v>
      </c>
      <c r="I60" s="13" t="s">
        <v>54</v>
      </c>
      <c r="J60" s="13" t="s">
        <v>63</v>
      </c>
    </row>
    <row r="61" spans="1:10" x14ac:dyDescent="0.25">
      <c r="A61" t="str">
        <f t="shared" ref="A61:A78" si="0">B11</f>
        <v>Atletico Bahia</v>
      </c>
      <c r="B61">
        <f>IF(A61="","",COUNTIFS(Partidos!$C:$C,A61,Partidos!$D:$D,"&gt;=0",Partidos!$E:$E,"&gt;=0")+COUNTIFS(Partidos!$F:$F,A61,Partidos!$D:$D,"&gt;=0",Partidos!$E:$E,"&gt;=0"))</f>
        <v>2</v>
      </c>
      <c r="C61">
        <f>IF(A61="","",SUMIFS(Partidos!$J:$J,Partidos!$C:$C,A61)+SUMIFS(Partidos!$M:$M,Partidos!$F:$F,A61))</f>
        <v>1</v>
      </c>
      <c r="D61">
        <f>IF(A61="","",SUMIFS(Partidos!$K:$K,Partidos!$C:$C,A61)+SUMIFS(Partidos!$N:$N,Partidos!$F:$F,A61))</f>
        <v>0</v>
      </c>
      <c r="E61">
        <f>IF(A61="","",SUMIFS(Partidos!$L:$L,Partidos!$C:$C,A61)+SUMIFS(Partidos!$O:$O,Partidos!$F:$F,A61))</f>
        <v>1</v>
      </c>
      <c r="F61">
        <f>IF(A61="","",SUMIFS(Partidos!$D:$D,Partidos!$C:$C,A61,Partidos!$D:$D,"&gt;=0",Partidos!$E:$E,"&gt;=0")+SUMIFS(Partidos!$E:$E,Partidos!$F:$F,A61,Partidos!$D:$D,"&gt;=0",Partidos!$E:$E,"&gt;=0"))</f>
        <v>2</v>
      </c>
      <c r="G61">
        <f>IF(A61="","",SUMIFS(Partidos!$E:$E,Partidos!$C:$C,A61,Partidos!$D:$D,"&gt;=0",Partidos!$E:$E,"&gt;=0")+SUMIFS(Partidos!$D:$D,Partidos!$F:$F,A61,Partidos!$D:$D,"&gt;=0",Partidos!$E:$E,"&gt;=0"))</f>
        <v>2</v>
      </c>
      <c r="H61">
        <f t="shared" ref="H61:H78" si="1">IF(A61="","",F61-G61)</f>
        <v>0</v>
      </c>
      <c r="I61">
        <f>IF(A61="","",SUMIFS(Partidos!$H:$H,Partidos!$C:$C,A61)+SUMIFS(Partidos!$I:$I,Partidos!$F:$F,A61))</f>
        <v>3</v>
      </c>
      <c r="J61">
        <f t="shared" ref="J61:J78" si="2">IF(A61="","",I61*1000000+(H61+1000)*1000+F61+A11/1000)</f>
        <v>4000002.0010000002</v>
      </c>
    </row>
    <row r="62" spans="1:10" x14ac:dyDescent="0.25">
      <c r="A62" t="str">
        <f t="shared" si="0"/>
        <v>Deportivo Alboran</v>
      </c>
      <c r="B62">
        <f>IF(A62="","",COUNTIFS(Partidos!$C:$C,A62,Partidos!$D:$D,"&gt;=0",Partidos!$E:$E,"&gt;=0")+COUNTIFS(Partidos!$F:$F,A62,Partidos!$D:$D,"&gt;=0",Partidos!$E:$E,"&gt;=0"))</f>
        <v>2</v>
      </c>
      <c r="C62">
        <f>IF(A62="","",SUMIFS(Partidos!$J:$J,Partidos!$C:$C,A62)+SUMIFS(Partidos!$M:$M,Partidos!$F:$F,A62))</f>
        <v>1</v>
      </c>
      <c r="D62">
        <f>IF(A62="","",SUMIFS(Partidos!$K:$K,Partidos!$C:$C,A62)+SUMIFS(Partidos!$N:$N,Partidos!$F:$F,A62))</f>
        <v>0</v>
      </c>
      <c r="E62">
        <f>IF(A62="","",SUMIFS(Partidos!$L:$L,Partidos!$C:$C,A62)+SUMIFS(Partidos!$O:$O,Partidos!$F:$F,A62))</f>
        <v>1</v>
      </c>
      <c r="F62">
        <f>IF(A62="","",SUMIFS(Partidos!$D:$D,Partidos!$C:$C,A62,Partidos!$D:$D,"&gt;=0",Partidos!$E:$E,"&gt;=0")+SUMIFS(Partidos!$E:$E,Partidos!$F:$F,A62,Partidos!$D:$D,"&gt;=0",Partidos!$E:$E,"&gt;=0"))</f>
        <v>2</v>
      </c>
      <c r="G62">
        <f>IF(A62="","",SUMIFS(Partidos!$E:$E,Partidos!$C:$C,A62,Partidos!$D:$D,"&gt;=0",Partidos!$E:$E,"&gt;=0")+SUMIFS(Partidos!$D:$D,Partidos!$F:$F,A62,Partidos!$D:$D,"&gt;=0",Partidos!$E:$E,"&gt;=0"))</f>
        <v>2</v>
      </c>
      <c r="H62">
        <f t="shared" si="1"/>
        <v>0</v>
      </c>
      <c r="I62">
        <f>IF(A62="","",SUMIFS(Partidos!$H:$H,Partidos!$C:$C,A62)+SUMIFS(Partidos!$I:$I,Partidos!$F:$F,A62))</f>
        <v>3</v>
      </c>
      <c r="J62">
        <f t="shared" si="2"/>
        <v>4000002.0019999999</v>
      </c>
    </row>
    <row r="63" spans="1:10" x14ac:dyDescent="0.25">
      <c r="A63" t="str">
        <f t="shared" si="0"/>
        <v>Racing del Prado</v>
      </c>
      <c r="B63">
        <f>IF(A63="","",COUNTIFS(Partidos!$C:$C,A63,Partidos!$D:$D,"&gt;=0",Partidos!$E:$E,"&gt;=0")+COUNTIFS(Partidos!$F:$F,A63,Partidos!$D:$D,"&gt;=0",Partidos!$E:$E,"&gt;=0"))</f>
        <v>2</v>
      </c>
      <c r="C63">
        <f>IF(A63="","",SUMIFS(Partidos!$J:$J,Partidos!$C:$C,A63)+SUMIFS(Partidos!$M:$M,Partidos!$F:$F,A63))</f>
        <v>1</v>
      </c>
      <c r="D63">
        <f>IF(A63="","",SUMIFS(Partidos!$K:$K,Partidos!$C:$C,A63)+SUMIFS(Partidos!$N:$N,Partidos!$F:$F,A63))</f>
        <v>0</v>
      </c>
      <c r="E63">
        <f>IF(A63="","",SUMIFS(Partidos!$L:$L,Partidos!$C:$C,A63)+SUMIFS(Partidos!$O:$O,Partidos!$F:$F,A63))</f>
        <v>1</v>
      </c>
      <c r="F63">
        <f>IF(A63="","",SUMIFS(Partidos!$D:$D,Partidos!$C:$C,A63,Partidos!$D:$D,"&gt;=0",Partidos!$E:$E,"&gt;=0")+SUMIFS(Partidos!$E:$E,Partidos!$F:$F,A63,Partidos!$D:$D,"&gt;=0",Partidos!$E:$E,"&gt;=0"))</f>
        <v>4</v>
      </c>
      <c r="G63">
        <f>IF(A63="","",SUMIFS(Partidos!$E:$E,Partidos!$C:$C,A63,Partidos!$D:$D,"&gt;=0",Partidos!$E:$E,"&gt;=0")+SUMIFS(Partidos!$D:$D,Partidos!$F:$F,A63,Partidos!$D:$D,"&gt;=0",Partidos!$E:$E,"&gt;=0"))</f>
        <v>4</v>
      </c>
      <c r="H63">
        <f t="shared" si="1"/>
        <v>0</v>
      </c>
      <c r="I63">
        <f>IF(A63="","",SUMIFS(Partidos!$H:$H,Partidos!$C:$C,A63)+SUMIFS(Partidos!$I:$I,Partidos!$F:$F,A63))</f>
        <v>3</v>
      </c>
      <c r="J63">
        <f t="shared" si="2"/>
        <v>4000004.003</v>
      </c>
    </row>
    <row r="64" spans="1:10" x14ac:dyDescent="0.25">
      <c r="A64" t="str">
        <f t="shared" si="0"/>
        <v>Union Sierra</v>
      </c>
      <c r="B64">
        <f>IF(A64="","",COUNTIFS(Partidos!$C:$C,A64,Partidos!$D:$D,"&gt;=0",Partidos!$E:$E,"&gt;=0")+COUNTIFS(Partidos!$F:$F,A64,Partidos!$D:$D,"&gt;=0",Partidos!$E:$E,"&gt;=0"))</f>
        <v>2</v>
      </c>
      <c r="C64">
        <f>IF(A64="","",SUMIFS(Partidos!$J:$J,Partidos!$C:$C,A64)+SUMIFS(Partidos!$M:$M,Partidos!$F:$F,A64))</f>
        <v>1</v>
      </c>
      <c r="D64">
        <f>IF(A64="","",SUMIFS(Partidos!$K:$K,Partidos!$C:$C,A64)+SUMIFS(Partidos!$N:$N,Partidos!$F:$F,A64))</f>
        <v>0</v>
      </c>
      <c r="E64">
        <f>IF(A64="","",SUMIFS(Partidos!$L:$L,Partidos!$C:$C,A64)+SUMIFS(Partidos!$O:$O,Partidos!$F:$F,A64))</f>
        <v>1</v>
      </c>
      <c r="F64">
        <f>IF(A64="","",SUMIFS(Partidos!$D:$D,Partidos!$C:$C,A64,Partidos!$D:$D,"&gt;=0",Partidos!$E:$E,"&gt;=0")+SUMIFS(Partidos!$E:$E,Partidos!$F:$F,A64,Partidos!$D:$D,"&gt;=0",Partidos!$E:$E,"&gt;=0"))</f>
        <v>4</v>
      </c>
      <c r="G64">
        <f>IF(A64="","",SUMIFS(Partidos!$E:$E,Partidos!$C:$C,A64,Partidos!$D:$D,"&gt;=0",Partidos!$E:$E,"&gt;=0")+SUMIFS(Partidos!$D:$D,Partidos!$F:$F,A64,Partidos!$D:$D,"&gt;=0",Partidos!$E:$E,"&gt;=0"))</f>
        <v>4</v>
      </c>
      <c r="H64">
        <f t="shared" si="1"/>
        <v>0</v>
      </c>
      <c r="I64">
        <f>IF(A64="","",SUMIFS(Partidos!$H:$H,Partidos!$C:$C,A64)+SUMIFS(Partidos!$I:$I,Partidos!$F:$F,A64))</f>
        <v>3</v>
      </c>
      <c r="J64">
        <f t="shared" si="2"/>
        <v>4000004.0040000002</v>
      </c>
    </row>
    <row r="65" spans="1:10" x14ac:dyDescent="0.25">
      <c r="A65" t="str">
        <f t="shared" si="0"/>
        <v>Sporting Marea</v>
      </c>
      <c r="B65">
        <f>IF(A65="","",COUNTIFS(Partidos!$C:$C,A65,Partidos!$D:$D,"&gt;=0",Partidos!$E:$E,"&gt;=0")+COUNTIFS(Partidos!$F:$F,A65,Partidos!$D:$D,"&gt;=0",Partidos!$E:$E,"&gt;=0"))</f>
        <v>2</v>
      </c>
      <c r="C65">
        <f>IF(A65="","",SUMIFS(Partidos!$J:$J,Partidos!$C:$C,A65)+SUMIFS(Partidos!$M:$M,Partidos!$F:$F,A65))</f>
        <v>1</v>
      </c>
      <c r="D65">
        <f>IF(A65="","",SUMIFS(Partidos!$K:$K,Partidos!$C:$C,A65)+SUMIFS(Partidos!$N:$N,Partidos!$F:$F,A65))</f>
        <v>0</v>
      </c>
      <c r="E65">
        <f>IF(A65="","",SUMIFS(Partidos!$L:$L,Partidos!$C:$C,A65)+SUMIFS(Partidos!$O:$O,Partidos!$F:$F,A65))</f>
        <v>1</v>
      </c>
      <c r="F65">
        <f>IF(A65="","",SUMIFS(Partidos!$D:$D,Partidos!$C:$C,A65,Partidos!$D:$D,"&gt;=0",Partidos!$E:$E,"&gt;=0")+SUMIFS(Partidos!$E:$E,Partidos!$F:$F,A65,Partidos!$D:$D,"&gt;=0",Partidos!$E:$E,"&gt;=0"))</f>
        <v>1</v>
      </c>
      <c r="G65">
        <f>IF(A65="","",SUMIFS(Partidos!$E:$E,Partidos!$C:$C,A65,Partidos!$D:$D,"&gt;=0",Partidos!$E:$E,"&gt;=0")+SUMIFS(Partidos!$D:$D,Partidos!$F:$F,A65,Partidos!$D:$D,"&gt;=0",Partidos!$E:$E,"&gt;=0"))</f>
        <v>1</v>
      </c>
      <c r="H65">
        <f t="shared" si="1"/>
        <v>0</v>
      </c>
      <c r="I65">
        <f>IF(A65="","",SUMIFS(Partidos!$H:$H,Partidos!$C:$C,A65)+SUMIFS(Partidos!$I:$I,Partidos!$F:$F,A65))</f>
        <v>3</v>
      </c>
      <c r="J65">
        <f t="shared" si="2"/>
        <v>4000001.0049999999</v>
      </c>
    </row>
    <row r="66" spans="1:10" x14ac:dyDescent="0.25">
      <c r="A66" t="str">
        <f t="shared" si="0"/>
        <v>Real Mirador</v>
      </c>
      <c r="B66">
        <f>IF(A66="","",COUNTIFS(Partidos!$C:$C,A66,Partidos!$D:$D,"&gt;=0",Partidos!$E:$E,"&gt;=0")+COUNTIFS(Partidos!$F:$F,A66,Partidos!$D:$D,"&gt;=0",Partidos!$E:$E,"&gt;=0"))</f>
        <v>2</v>
      </c>
      <c r="C66">
        <f>IF(A66="","",SUMIFS(Partidos!$J:$J,Partidos!$C:$C,A66)+SUMIFS(Partidos!$M:$M,Partidos!$F:$F,A66))</f>
        <v>0</v>
      </c>
      <c r="D66">
        <f>IF(A66="","",SUMIFS(Partidos!$K:$K,Partidos!$C:$C,A66)+SUMIFS(Partidos!$N:$N,Partidos!$F:$F,A66))</f>
        <v>2</v>
      </c>
      <c r="E66">
        <f>IF(A66="","",SUMIFS(Partidos!$L:$L,Partidos!$C:$C,A66)+SUMIFS(Partidos!$O:$O,Partidos!$F:$F,A66))</f>
        <v>0</v>
      </c>
      <c r="F66">
        <f>IF(A66="","",SUMIFS(Partidos!$D:$D,Partidos!$C:$C,A66,Partidos!$D:$D,"&gt;=0",Partidos!$E:$E,"&gt;=0")+SUMIFS(Partidos!$E:$E,Partidos!$F:$F,A66,Partidos!$D:$D,"&gt;=0",Partidos!$E:$E,"&gt;=0"))</f>
        <v>4</v>
      </c>
      <c r="G66">
        <f>IF(A66="","",SUMIFS(Partidos!$E:$E,Partidos!$C:$C,A66,Partidos!$D:$D,"&gt;=0",Partidos!$E:$E,"&gt;=0")+SUMIFS(Partidos!$D:$D,Partidos!$F:$F,A66,Partidos!$D:$D,"&gt;=0",Partidos!$E:$E,"&gt;=0"))</f>
        <v>4</v>
      </c>
      <c r="H66">
        <f t="shared" si="1"/>
        <v>0</v>
      </c>
      <c r="I66">
        <f>IF(A66="","",SUMIFS(Partidos!$H:$H,Partidos!$C:$C,A66)+SUMIFS(Partidos!$I:$I,Partidos!$F:$F,A66))</f>
        <v>2</v>
      </c>
      <c r="J66">
        <f t="shared" si="2"/>
        <v>3000004.0060000001</v>
      </c>
    </row>
    <row r="67" spans="1:10" x14ac:dyDescent="0.25">
      <c r="A67" t="str">
        <f t="shared" si="0"/>
        <v>CD Aurora</v>
      </c>
      <c r="B67">
        <f>IF(A67="","",COUNTIFS(Partidos!$C:$C,A67,Partidos!$D:$D,"&gt;=0",Partidos!$E:$E,"&gt;=0")+COUNTIFS(Partidos!$F:$F,A67,Partidos!$D:$D,"&gt;=0",Partidos!$E:$E,"&gt;=0"))</f>
        <v>2</v>
      </c>
      <c r="C67">
        <f>IF(A67="","",SUMIFS(Partidos!$J:$J,Partidos!$C:$C,A67)+SUMIFS(Partidos!$M:$M,Partidos!$F:$F,A67))</f>
        <v>1</v>
      </c>
      <c r="D67">
        <f>IF(A67="","",SUMIFS(Partidos!$K:$K,Partidos!$C:$C,A67)+SUMIFS(Partidos!$N:$N,Partidos!$F:$F,A67))</f>
        <v>0</v>
      </c>
      <c r="E67">
        <f>IF(A67="","",SUMIFS(Partidos!$L:$L,Partidos!$C:$C,A67)+SUMIFS(Partidos!$O:$O,Partidos!$F:$F,A67))</f>
        <v>1</v>
      </c>
      <c r="F67">
        <f>IF(A67="","",SUMIFS(Partidos!$D:$D,Partidos!$C:$C,A67,Partidos!$D:$D,"&gt;=0",Partidos!$E:$E,"&gt;=0")+SUMIFS(Partidos!$E:$E,Partidos!$F:$F,A67,Partidos!$D:$D,"&gt;=0",Partidos!$E:$E,"&gt;=0"))</f>
        <v>6</v>
      </c>
      <c r="G67">
        <f>IF(A67="","",SUMIFS(Partidos!$E:$E,Partidos!$C:$C,A67,Partidos!$D:$D,"&gt;=0",Partidos!$E:$E,"&gt;=0")+SUMIFS(Partidos!$D:$D,Partidos!$F:$F,A67,Partidos!$D:$D,"&gt;=0",Partidos!$E:$E,"&gt;=0"))</f>
        <v>6</v>
      </c>
      <c r="H67">
        <f t="shared" si="1"/>
        <v>0</v>
      </c>
      <c r="I67">
        <f>IF(A67="","",SUMIFS(Partidos!$H:$H,Partidos!$C:$C,A67)+SUMIFS(Partidos!$I:$I,Partidos!$F:$F,A67))</f>
        <v>3</v>
      </c>
      <c r="J67">
        <f t="shared" si="2"/>
        <v>4000006.0070000002</v>
      </c>
    </row>
    <row r="68" spans="1:10" x14ac:dyDescent="0.25">
      <c r="A68" t="str">
        <f t="shared" si="0"/>
        <v>Inter Laguna</v>
      </c>
      <c r="B68">
        <f>IF(A68="","",COUNTIFS(Partidos!$C:$C,A68,Partidos!$D:$D,"&gt;=0",Partidos!$E:$E,"&gt;=0")+COUNTIFS(Partidos!$F:$F,A68,Partidos!$D:$D,"&gt;=0",Partidos!$E:$E,"&gt;=0"))</f>
        <v>2</v>
      </c>
      <c r="C68">
        <f>IF(A68="","",SUMIFS(Partidos!$J:$J,Partidos!$C:$C,A68)+SUMIFS(Partidos!$M:$M,Partidos!$F:$F,A68))</f>
        <v>1</v>
      </c>
      <c r="D68">
        <f>IF(A68="","",SUMIFS(Partidos!$K:$K,Partidos!$C:$C,A68)+SUMIFS(Partidos!$N:$N,Partidos!$F:$F,A68))</f>
        <v>0</v>
      </c>
      <c r="E68">
        <f>IF(A68="","",SUMIFS(Partidos!$L:$L,Partidos!$C:$C,A68)+SUMIFS(Partidos!$O:$O,Partidos!$F:$F,A68))</f>
        <v>1</v>
      </c>
      <c r="F68">
        <f>IF(A68="","",SUMIFS(Partidos!$D:$D,Partidos!$C:$C,A68,Partidos!$D:$D,"&gt;=0",Partidos!$E:$E,"&gt;=0")+SUMIFS(Partidos!$E:$E,Partidos!$F:$F,A68,Partidos!$D:$D,"&gt;=0",Partidos!$E:$E,"&gt;=0"))</f>
        <v>1</v>
      </c>
      <c r="G68">
        <f>IF(A68="","",SUMIFS(Partidos!$E:$E,Partidos!$C:$C,A68,Partidos!$D:$D,"&gt;=0",Partidos!$E:$E,"&gt;=0")+SUMIFS(Partidos!$D:$D,Partidos!$F:$F,A68,Partidos!$D:$D,"&gt;=0",Partidos!$E:$E,"&gt;=0"))</f>
        <v>1</v>
      </c>
      <c r="H68">
        <f t="shared" si="1"/>
        <v>0</v>
      </c>
      <c r="I68">
        <f>IF(A68="","",SUMIFS(Partidos!$H:$H,Partidos!$C:$C,A68)+SUMIFS(Partidos!$I:$I,Partidos!$F:$F,A68))</f>
        <v>3</v>
      </c>
      <c r="J68">
        <f t="shared" si="2"/>
        <v>4000001.0079999999</v>
      </c>
    </row>
    <row r="69" spans="1:10" x14ac:dyDescent="0.25">
      <c r="A69" t="str">
        <f t="shared" si="0"/>
        <v>Juventud Central</v>
      </c>
      <c r="B69">
        <f>IF(A69="","",COUNTIFS(Partidos!$C:$C,A69,Partidos!$D:$D,"&gt;=0",Partidos!$E:$E,"&gt;=0")+COUNTIFS(Partidos!$F:$F,A69,Partidos!$D:$D,"&gt;=0",Partidos!$E:$E,"&gt;=0"))</f>
        <v>2</v>
      </c>
      <c r="C69">
        <f>IF(A69="","",SUMIFS(Partidos!$J:$J,Partidos!$C:$C,A69)+SUMIFS(Partidos!$M:$M,Partidos!$F:$F,A69))</f>
        <v>1</v>
      </c>
      <c r="D69">
        <f>IF(A69="","",SUMIFS(Partidos!$K:$K,Partidos!$C:$C,A69)+SUMIFS(Partidos!$N:$N,Partidos!$F:$F,A69))</f>
        <v>0</v>
      </c>
      <c r="E69">
        <f>IF(A69="","",SUMIFS(Partidos!$L:$L,Partidos!$C:$C,A69)+SUMIFS(Partidos!$O:$O,Partidos!$F:$F,A69))</f>
        <v>1</v>
      </c>
      <c r="F69">
        <f>IF(A69="","",SUMIFS(Partidos!$D:$D,Partidos!$C:$C,A69,Partidos!$D:$D,"&gt;=0",Partidos!$E:$E,"&gt;=0")+SUMIFS(Partidos!$E:$E,Partidos!$F:$F,A69,Partidos!$D:$D,"&gt;=0",Partidos!$E:$E,"&gt;=0"))</f>
        <v>6</v>
      </c>
      <c r="G69">
        <f>IF(A69="","",SUMIFS(Partidos!$E:$E,Partidos!$C:$C,A69,Partidos!$D:$D,"&gt;=0",Partidos!$E:$E,"&gt;=0")+SUMIFS(Partidos!$D:$D,Partidos!$F:$F,A69,Partidos!$D:$D,"&gt;=0",Partidos!$E:$E,"&gt;=0"))</f>
        <v>6</v>
      </c>
      <c r="H69">
        <f t="shared" si="1"/>
        <v>0</v>
      </c>
      <c r="I69">
        <f>IF(A69="","",SUMIFS(Partidos!$H:$H,Partidos!$C:$C,A69)+SUMIFS(Partidos!$I:$I,Partidos!$F:$F,A69))</f>
        <v>3</v>
      </c>
      <c r="J69">
        <f t="shared" si="2"/>
        <v>4000006.0090000001</v>
      </c>
    </row>
    <row r="70" spans="1:10" x14ac:dyDescent="0.25">
      <c r="A70" t="str">
        <f t="shared" si="0"/>
        <v>Velez Sur</v>
      </c>
      <c r="B70">
        <f>IF(A70="","",COUNTIFS(Partidos!$C:$C,A70,Partidos!$D:$D,"&gt;=0",Partidos!$E:$E,"&gt;=0")+COUNTIFS(Partidos!$F:$F,A70,Partidos!$D:$D,"&gt;=0",Partidos!$E:$E,"&gt;=0"))</f>
        <v>0</v>
      </c>
      <c r="C70">
        <f>IF(A70="","",SUMIFS(Partidos!$J:$J,Partidos!$C:$C,A70)+SUMIFS(Partidos!$M:$M,Partidos!$F:$F,A70))</f>
        <v>0</v>
      </c>
      <c r="D70">
        <f>IF(A70="","",SUMIFS(Partidos!$K:$K,Partidos!$C:$C,A70)+SUMIFS(Partidos!$N:$N,Partidos!$F:$F,A70))</f>
        <v>0</v>
      </c>
      <c r="E70">
        <f>IF(A70="","",SUMIFS(Partidos!$L:$L,Partidos!$C:$C,A70)+SUMIFS(Partidos!$O:$O,Partidos!$F:$F,A70))</f>
        <v>0</v>
      </c>
      <c r="F70">
        <f>IF(A70="","",SUMIFS(Partidos!$D:$D,Partidos!$C:$C,A70,Partidos!$D:$D,"&gt;=0",Partidos!$E:$E,"&gt;=0")+SUMIFS(Partidos!$E:$E,Partidos!$F:$F,A70,Partidos!$D:$D,"&gt;=0",Partidos!$E:$E,"&gt;=0"))</f>
        <v>0</v>
      </c>
      <c r="G70">
        <f>IF(A70="","",SUMIFS(Partidos!$E:$E,Partidos!$C:$C,A70,Partidos!$D:$D,"&gt;=0",Partidos!$E:$E,"&gt;=0")+SUMIFS(Partidos!$D:$D,Partidos!$F:$F,A70,Partidos!$D:$D,"&gt;=0",Partidos!$E:$E,"&gt;=0"))</f>
        <v>0</v>
      </c>
      <c r="H70">
        <f t="shared" si="1"/>
        <v>0</v>
      </c>
      <c r="I70">
        <f>IF(A70="","",SUMIFS(Partidos!$H:$H,Partidos!$C:$C,A70)+SUMIFS(Partidos!$I:$I,Partidos!$F:$F,A70))</f>
        <v>0</v>
      </c>
      <c r="J70">
        <f t="shared" si="2"/>
        <v>1000000.01</v>
      </c>
    </row>
    <row r="71" spans="1:10" x14ac:dyDescent="0.25">
      <c r="A71" t="str">
        <f t="shared" si="0"/>
        <v/>
      </c>
      <c r="B71" t="str">
        <f>IF(A71="","",COUNTIFS(Partidos!$C:$C,A71,Partidos!$D:$D,"&gt;=0",Partidos!$E:$E,"&gt;=0")+COUNTIFS(Partidos!$F:$F,A71,Partidos!$D:$D,"&gt;=0",Partidos!$E:$E,"&gt;=0"))</f>
        <v/>
      </c>
      <c r="C71" t="str">
        <f>IF(A71="","",SUMIFS(Partidos!$J:$J,Partidos!$C:$C,A71)+SUMIFS(Partidos!$M:$M,Partidos!$F:$F,A71))</f>
        <v/>
      </c>
      <c r="D71" t="str">
        <f>IF(A71="","",SUMIFS(Partidos!$K:$K,Partidos!$C:$C,A71)+SUMIFS(Partidos!$N:$N,Partidos!$F:$F,A71))</f>
        <v/>
      </c>
      <c r="E71" t="str">
        <f>IF(A71="","",SUMIFS(Partidos!$L:$L,Partidos!$C:$C,A71)+SUMIFS(Partidos!$O:$O,Partidos!$F:$F,A71))</f>
        <v/>
      </c>
      <c r="F71" t="str">
        <f>IF(A71="","",SUMIFS(Partidos!$D:$D,Partidos!$C:$C,A71,Partidos!$D:$D,"&gt;=0",Partidos!$E:$E,"&gt;=0")+SUMIFS(Partidos!$E:$E,Partidos!$F:$F,A71,Partidos!$D:$D,"&gt;=0",Partidos!$E:$E,"&gt;=0"))</f>
        <v/>
      </c>
      <c r="G71" t="str">
        <f>IF(A71="","",SUMIFS(Partidos!$E:$E,Partidos!$C:$C,A71,Partidos!$D:$D,"&gt;=0",Partidos!$E:$E,"&gt;=0")+SUMIFS(Partidos!$D:$D,Partidos!$F:$F,A71,Partidos!$D:$D,"&gt;=0",Partidos!$E:$E,"&gt;=0"))</f>
        <v/>
      </c>
      <c r="H71" t="str">
        <f t="shared" si="1"/>
        <v/>
      </c>
      <c r="I71" t="str">
        <f>IF(A71="","",SUMIFS(Partidos!$H:$H,Partidos!$C:$C,A71)+SUMIFS(Partidos!$I:$I,Partidos!$F:$F,A71))</f>
        <v/>
      </c>
      <c r="J71" t="str">
        <f t="shared" si="2"/>
        <v/>
      </c>
    </row>
    <row r="72" spans="1:10" x14ac:dyDescent="0.25">
      <c r="A72" t="str">
        <f t="shared" si="0"/>
        <v/>
      </c>
      <c r="B72" t="str">
        <f>IF(A72="","",COUNTIFS(Partidos!$C:$C,A72,Partidos!$D:$D,"&gt;=0",Partidos!$E:$E,"&gt;=0")+COUNTIFS(Partidos!$F:$F,A72,Partidos!$D:$D,"&gt;=0",Partidos!$E:$E,"&gt;=0"))</f>
        <v/>
      </c>
      <c r="C72" t="str">
        <f>IF(A72="","",SUMIFS(Partidos!$J:$J,Partidos!$C:$C,A72)+SUMIFS(Partidos!$M:$M,Partidos!$F:$F,A72))</f>
        <v/>
      </c>
      <c r="D72" t="str">
        <f>IF(A72="","",SUMIFS(Partidos!$K:$K,Partidos!$C:$C,A72)+SUMIFS(Partidos!$N:$N,Partidos!$F:$F,A72))</f>
        <v/>
      </c>
      <c r="E72" t="str">
        <f>IF(A72="","",SUMIFS(Partidos!$L:$L,Partidos!$C:$C,A72)+SUMIFS(Partidos!$O:$O,Partidos!$F:$F,A72))</f>
        <v/>
      </c>
      <c r="F72" t="str">
        <f>IF(A72="","",SUMIFS(Partidos!$D:$D,Partidos!$C:$C,A72,Partidos!$D:$D,"&gt;=0",Partidos!$E:$E,"&gt;=0")+SUMIFS(Partidos!$E:$E,Partidos!$F:$F,A72,Partidos!$D:$D,"&gt;=0",Partidos!$E:$E,"&gt;=0"))</f>
        <v/>
      </c>
      <c r="G72" t="str">
        <f>IF(A72="","",SUMIFS(Partidos!$E:$E,Partidos!$C:$C,A72,Partidos!$D:$D,"&gt;=0",Partidos!$E:$E,"&gt;=0")+SUMIFS(Partidos!$D:$D,Partidos!$F:$F,A72,Partidos!$D:$D,"&gt;=0",Partidos!$E:$E,"&gt;=0"))</f>
        <v/>
      </c>
      <c r="H72" t="str">
        <f t="shared" si="1"/>
        <v/>
      </c>
      <c r="I72" t="str">
        <f>IF(A72="","",SUMIFS(Partidos!$H:$H,Partidos!$C:$C,A72)+SUMIFS(Partidos!$I:$I,Partidos!$F:$F,A72))</f>
        <v/>
      </c>
      <c r="J72" t="str">
        <f t="shared" si="2"/>
        <v/>
      </c>
    </row>
    <row r="73" spans="1:10" x14ac:dyDescent="0.25">
      <c r="A73" t="str">
        <f t="shared" si="0"/>
        <v/>
      </c>
      <c r="B73" t="str">
        <f>IF(A73="","",COUNTIFS(Partidos!$C:$C,A73,Partidos!$D:$D,"&gt;=0",Partidos!$E:$E,"&gt;=0")+COUNTIFS(Partidos!$F:$F,A73,Partidos!$D:$D,"&gt;=0",Partidos!$E:$E,"&gt;=0"))</f>
        <v/>
      </c>
      <c r="C73" t="str">
        <f>IF(A73="","",SUMIFS(Partidos!$J:$J,Partidos!$C:$C,A73)+SUMIFS(Partidos!$M:$M,Partidos!$F:$F,A73))</f>
        <v/>
      </c>
      <c r="D73" t="str">
        <f>IF(A73="","",SUMIFS(Partidos!$K:$K,Partidos!$C:$C,A73)+SUMIFS(Partidos!$N:$N,Partidos!$F:$F,A73))</f>
        <v/>
      </c>
      <c r="E73" t="str">
        <f>IF(A73="","",SUMIFS(Partidos!$L:$L,Partidos!$C:$C,A73)+SUMIFS(Partidos!$O:$O,Partidos!$F:$F,A73))</f>
        <v/>
      </c>
      <c r="F73" t="str">
        <f>IF(A73="","",SUMIFS(Partidos!$D:$D,Partidos!$C:$C,A73,Partidos!$D:$D,"&gt;=0",Partidos!$E:$E,"&gt;=0")+SUMIFS(Partidos!$E:$E,Partidos!$F:$F,A73,Partidos!$D:$D,"&gt;=0",Partidos!$E:$E,"&gt;=0"))</f>
        <v/>
      </c>
      <c r="G73" t="str">
        <f>IF(A73="","",SUMIFS(Partidos!$E:$E,Partidos!$C:$C,A73,Partidos!$D:$D,"&gt;=0",Partidos!$E:$E,"&gt;=0")+SUMIFS(Partidos!$D:$D,Partidos!$F:$F,A73,Partidos!$D:$D,"&gt;=0",Partidos!$E:$E,"&gt;=0"))</f>
        <v/>
      </c>
      <c r="H73" t="str">
        <f t="shared" si="1"/>
        <v/>
      </c>
      <c r="I73" t="str">
        <f>IF(A73="","",SUMIFS(Partidos!$H:$H,Partidos!$C:$C,A73)+SUMIFS(Partidos!$I:$I,Partidos!$F:$F,A73))</f>
        <v/>
      </c>
      <c r="J73" t="str">
        <f t="shared" si="2"/>
        <v/>
      </c>
    </row>
    <row r="74" spans="1:10" x14ac:dyDescent="0.25">
      <c r="A74" t="str">
        <f t="shared" si="0"/>
        <v/>
      </c>
      <c r="B74" t="str">
        <f>IF(A74="","",COUNTIFS(Partidos!$C:$C,A74,Partidos!$D:$D,"&gt;=0",Partidos!$E:$E,"&gt;=0")+COUNTIFS(Partidos!$F:$F,A74,Partidos!$D:$D,"&gt;=0",Partidos!$E:$E,"&gt;=0"))</f>
        <v/>
      </c>
      <c r="C74" t="str">
        <f>IF(A74="","",SUMIFS(Partidos!$J:$J,Partidos!$C:$C,A74)+SUMIFS(Partidos!$M:$M,Partidos!$F:$F,A74))</f>
        <v/>
      </c>
      <c r="D74" t="str">
        <f>IF(A74="","",SUMIFS(Partidos!$K:$K,Partidos!$C:$C,A74)+SUMIFS(Partidos!$N:$N,Partidos!$F:$F,A74))</f>
        <v/>
      </c>
      <c r="E74" t="str">
        <f>IF(A74="","",SUMIFS(Partidos!$L:$L,Partidos!$C:$C,A74)+SUMIFS(Partidos!$O:$O,Partidos!$F:$F,A74))</f>
        <v/>
      </c>
      <c r="F74" t="str">
        <f>IF(A74="","",SUMIFS(Partidos!$D:$D,Partidos!$C:$C,A74,Partidos!$D:$D,"&gt;=0",Partidos!$E:$E,"&gt;=0")+SUMIFS(Partidos!$E:$E,Partidos!$F:$F,A74,Partidos!$D:$D,"&gt;=0",Partidos!$E:$E,"&gt;=0"))</f>
        <v/>
      </c>
      <c r="G74" t="str">
        <f>IF(A74="","",SUMIFS(Partidos!$E:$E,Partidos!$C:$C,A74,Partidos!$D:$D,"&gt;=0",Partidos!$E:$E,"&gt;=0")+SUMIFS(Partidos!$D:$D,Partidos!$F:$F,A74,Partidos!$D:$D,"&gt;=0",Partidos!$E:$E,"&gt;=0"))</f>
        <v/>
      </c>
      <c r="H74" t="str">
        <f t="shared" si="1"/>
        <v/>
      </c>
      <c r="I74" t="str">
        <f>IF(A74="","",SUMIFS(Partidos!$H:$H,Partidos!$C:$C,A74)+SUMIFS(Partidos!$I:$I,Partidos!$F:$F,A74))</f>
        <v/>
      </c>
      <c r="J74" t="str">
        <f t="shared" si="2"/>
        <v/>
      </c>
    </row>
    <row r="75" spans="1:10" x14ac:dyDescent="0.25">
      <c r="A75" t="str">
        <f t="shared" si="0"/>
        <v/>
      </c>
      <c r="B75" t="str">
        <f>IF(A75="","",COUNTIFS(Partidos!$C:$C,A75,Partidos!$D:$D,"&gt;=0",Partidos!$E:$E,"&gt;=0")+COUNTIFS(Partidos!$F:$F,A75,Partidos!$D:$D,"&gt;=0",Partidos!$E:$E,"&gt;=0"))</f>
        <v/>
      </c>
      <c r="C75" t="str">
        <f>IF(A75="","",SUMIFS(Partidos!$J:$J,Partidos!$C:$C,A75)+SUMIFS(Partidos!$M:$M,Partidos!$F:$F,A75))</f>
        <v/>
      </c>
      <c r="D75" t="str">
        <f>IF(A75="","",SUMIFS(Partidos!$K:$K,Partidos!$C:$C,A75)+SUMIFS(Partidos!$N:$N,Partidos!$F:$F,A75))</f>
        <v/>
      </c>
      <c r="E75" t="str">
        <f>IF(A75="","",SUMIFS(Partidos!$L:$L,Partidos!$C:$C,A75)+SUMIFS(Partidos!$O:$O,Partidos!$F:$F,A75))</f>
        <v/>
      </c>
      <c r="F75" t="str">
        <f>IF(A75="","",SUMIFS(Partidos!$D:$D,Partidos!$C:$C,A75,Partidos!$D:$D,"&gt;=0",Partidos!$E:$E,"&gt;=0")+SUMIFS(Partidos!$E:$E,Partidos!$F:$F,A75,Partidos!$D:$D,"&gt;=0",Partidos!$E:$E,"&gt;=0"))</f>
        <v/>
      </c>
      <c r="G75" t="str">
        <f>IF(A75="","",SUMIFS(Partidos!$E:$E,Partidos!$C:$C,A75,Partidos!$D:$D,"&gt;=0",Partidos!$E:$E,"&gt;=0")+SUMIFS(Partidos!$D:$D,Partidos!$F:$F,A75,Partidos!$D:$D,"&gt;=0",Partidos!$E:$E,"&gt;=0"))</f>
        <v/>
      </c>
      <c r="H75" t="str">
        <f t="shared" si="1"/>
        <v/>
      </c>
      <c r="I75" t="str">
        <f>IF(A75="","",SUMIFS(Partidos!$H:$H,Partidos!$C:$C,A75)+SUMIFS(Partidos!$I:$I,Partidos!$F:$F,A75))</f>
        <v/>
      </c>
      <c r="J75" t="str">
        <f t="shared" si="2"/>
        <v/>
      </c>
    </row>
    <row r="76" spans="1:10" x14ac:dyDescent="0.25">
      <c r="A76" t="str">
        <f t="shared" si="0"/>
        <v/>
      </c>
      <c r="B76" t="str">
        <f>IF(A76="","",COUNTIFS(Partidos!$C:$C,A76,Partidos!$D:$D,"&gt;=0",Partidos!$E:$E,"&gt;=0")+COUNTIFS(Partidos!$F:$F,A76,Partidos!$D:$D,"&gt;=0",Partidos!$E:$E,"&gt;=0"))</f>
        <v/>
      </c>
      <c r="C76" t="str">
        <f>IF(A76="","",SUMIFS(Partidos!$J:$J,Partidos!$C:$C,A76)+SUMIFS(Partidos!$M:$M,Partidos!$F:$F,A76))</f>
        <v/>
      </c>
      <c r="D76" t="str">
        <f>IF(A76="","",SUMIFS(Partidos!$K:$K,Partidos!$C:$C,A76)+SUMIFS(Partidos!$N:$N,Partidos!$F:$F,A76))</f>
        <v/>
      </c>
      <c r="E76" t="str">
        <f>IF(A76="","",SUMIFS(Partidos!$L:$L,Partidos!$C:$C,A76)+SUMIFS(Partidos!$O:$O,Partidos!$F:$F,A76))</f>
        <v/>
      </c>
      <c r="F76" t="str">
        <f>IF(A76="","",SUMIFS(Partidos!$D:$D,Partidos!$C:$C,A76,Partidos!$D:$D,"&gt;=0",Partidos!$E:$E,"&gt;=0")+SUMIFS(Partidos!$E:$E,Partidos!$F:$F,A76,Partidos!$D:$D,"&gt;=0",Partidos!$E:$E,"&gt;=0"))</f>
        <v/>
      </c>
      <c r="G76" t="str">
        <f>IF(A76="","",SUMIFS(Partidos!$E:$E,Partidos!$C:$C,A76,Partidos!$D:$D,"&gt;=0",Partidos!$E:$E,"&gt;=0")+SUMIFS(Partidos!$D:$D,Partidos!$F:$F,A76,Partidos!$D:$D,"&gt;=0",Partidos!$E:$E,"&gt;=0"))</f>
        <v/>
      </c>
      <c r="H76" t="str">
        <f t="shared" si="1"/>
        <v/>
      </c>
      <c r="I76" t="str">
        <f>IF(A76="","",SUMIFS(Partidos!$H:$H,Partidos!$C:$C,A76)+SUMIFS(Partidos!$I:$I,Partidos!$F:$F,A76))</f>
        <v/>
      </c>
      <c r="J76" t="str">
        <f t="shared" si="2"/>
        <v/>
      </c>
    </row>
    <row r="77" spans="1:10" x14ac:dyDescent="0.25">
      <c r="A77" t="str">
        <f t="shared" si="0"/>
        <v/>
      </c>
      <c r="B77" t="str">
        <f>IF(A77="","",COUNTIFS(Partidos!$C:$C,A77,Partidos!$D:$D,"&gt;=0",Partidos!$E:$E,"&gt;=0")+COUNTIFS(Partidos!$F:$F,A77,Partidos!$D:$D,"&gt;=0",Partidos!$E:$E,"&gt;=0"))</f>
        <v/>
      </c>
      <c r="C77" t="str">
        <f>IF(A77="","",SUMIFS(Partidos!$J:$J,Partidos!$C:$C,A77)+SUMIFS(Partidos!$M:$M,Partidos!$F:$F,A77))</f>
        <v/>
      </c>
      <c r="D77" t="str">
        <f>IF(A77="","",SUMIFS(Partidos!$K:$K,Partidos!$C:$C,A77)+SUMIFS(Partidos!$N:$N,Partidos!$F:$F,A77))</f>
        <v/>
      </c>
      <c r="E77" t="str">
        <f>IF(A77="","",SUMIFS(Partidos!$L:$L,Partidos!$C:$C,A77)+SUMIFS(Partidos!$O:$O,Partidos!$F:$F,A77))</f>
        <v/>
      </c>
      <c r="F77" t="str">
        <f>IF(A77="","",SUMIFS(Partidos!$D:$D,Partidos!$C:$C,A77,Partidos!$D:$D,"&gt;=0",Partidos!$E:$E,"&gt;=0")+SUMIFS(Partidos!$E:$E,Partidos!$F:$F,A77,Partidos!$D:$D,"&gt;=0",Partidos!$E:$E,"&gt;=0"))</f>
        <v/>
      </c>
      <c r="G77" t="str">
        <f>IF(A77="","",SUMIFS(Partidos!$E:$E,Partidos!$C:$C,A77,Partidos!$D:$D,"&gt;=0",Partidos!$E:$E,"&gt;=0")+SUMIFS(Partidos!$D:$D,Partidos!$F:$F,A77,Partidos!$D:$D,"&gt;=0",Partidos!$E:$E,"&gt;=0"))</f>
        <v/>
      </c>
      <c r="H77" t="str">
        <f t="shared" si="1"/>
        <v/>
      </c>
      <c r="I77" t="str">
        <f>IF(A77="","",SUMIFS(Partidos!$H:$H,Partidos!$C:$C,A77)+SUMIFS(Partidos!$I:$I,Partidos!$F:$F,A77))</f>
        <v/>
      </c>
      <c r="J77" t="str">
        <f t="shared" si="2"/>
        <v/>
      </c>
    </row>
    <row r="78" spans="1:10" x14ac:dyDescent="0.25">
      <c r="A78" t="str">
        <f t="shared" si="0"/>
        <v/>
      </c>
      <c r="B78" t="str">
        <f>IF(A78="","",COUNTIFS(Partidos!$C:$C,A78,Partidos!$D:$D,"&gt;=0",Partidos!$E:$E,"&gt;=0")+COUNTIFS(Partidos!$F:$F,A78,Partidos!$D:$D,"&gt;=0",Partidos!$E:$E,"&gt;=0"))</f>
        <v/>
      </c>
      <c r="C78" t="str">
        <f>IF(A78="","",SUMIFS(Partidos!$J:$J,Partidos!$C:$C,A78)+SUMIFS(Partidos!$M:$M,Partidos!$F:$F,A78))</f>
        <v/>
      </c>
      <c r="D78" t="str">
        <f>IF(A78="","",SUMIFS(Partidos!$K:$K,Partidos!$C:$C,A78)+SUMIFS(Partidos!$N:$N,Partidos!$F:$F,A78))</f>
        <v/>
      </c>
      <c r="E78" t="str">
        <f>IF(A78="","",SUMIFS(Partidos!$L:$L,Partidos!$C:$C,A78)+SUMIFS(Partidos!$O:$O,Partidos!$F:$F,A78))</f>
        <v/>
      </c>
      <c r="F78" t="str">
        <f>IF(A78="","",SUMIFS(Partidos!$D:$D,Partidos!$C:$C,A78,Partidos!$D:$D,"&gt;=0",Partidos!$E:$E,"&gt;=0")+SUMIFS(Partidos!$E:$E,Partidos!$F:$F,A78,Partidos!$D:$D,"&gt;=0",Partidos!$E:$E,"&gt;=0"))</f>
        <v/>
      </c>
      <c r="G78" t="str">
        <f>IF(A78="","",SUMIFS(Partidos!$E:$E,Partidos!$C:$C,A78,Partidos!$D:$D,"&gt;=0",Partidos!$E:$E,"&gt;=0")+SUMIFS(Partidos!$D:$D,Partidos!$F:$F,A78,Partidos!$D:$D,"&gt;=0",Partidos!$E:$E,"&gt;=0"))</f>
        <v/>
      </c>
      <c r="H78" t="str">
        <f t="shared" si="1"/>
        <v/>
      </c>
      <c r="I78" t="str">
        <f>IF(A78="","",SUMIFS(Partidos!$H:$H,Partidos!$C:$C,A78)+SUMIFS(Partidos!$I:$I,Partidos!$F:$F,A78))</f>
        <v/>
      </c>
      <c r="J78" t="str">
        <f t="shared" si="2"/>
        <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Inicio</vt:lpstr>
      <vt:lpstr>Partidos</vt:lpstr>
      <vt:lpstr>Clasificacion</vt:lpstr>
      <vt:lpstr>Calculos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Sergio Jiménez Canales</cp:lastModifiedBy>
  <dcterms:created xsi:type="dcterms:W3CDTF">2026-02-17T08:05:56Z</dcterms:created>
  <dcterms:modified xsi:type="dcterms:W3CDTF">2026-02-17T08:53:49Z</dcterms:modified>
</cp:coreProperties>
</file>