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finanzas personales\"/>
    </mc:Choice>
  </mc:AlternateContent>
  <xr:revisionPtr revIDLastSave="0" documentId="13_ncr:1_{CADDC5D5-2B7A-49A0-B58E-08EAE02278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sumen" sheetId="1" r:id="rId1"/>
    <sheet name="Transacciones" sheetId="2" r:id="rId2"/>
    <sheet name="Presupuesto" sheetId="3" r:id="rId3"/>
    <sheet name="Config" sheetId="4" r:id="rId4"/>
  </sheets>
  <definedNames>
    <definedName name="ListaCategorias">Config!$D$10:$D$24</definedName>
    <definedName name="ListaCatsGasto">Config!$A$10:$A$18</definedName>
    <definedName name="ListaCatsIngreso">Config!$B$10:$B$14</definedName>
    <definedName name="ListaCuentas">Config!$A$4:$A$6</definedName>
    <definedName name="ListaMeses">Config!$F$4:$F$15</definedName>
    <definedName name="ListaMetodos">Config!$D$4:$D$8</definedName>
    <definedName name="ListaTipos">Config!$A$22:$A$23</definedName>
    <definedName name="SaldoInicialTotal">Config!$B$7</definedName>
    <definedName name="TxCategoria">Transacciones!$D$5:$D$500</definedName>
    <definedName name="TxCuenta">Transacciones!$C$5:$C$500</definedName>
    <definedName name="TxFecha">Transacciones!$A$5:$A$500</definedName>
    <definedName name="TxImporte">Transacciones!$G$5:$G$500</definedName>
    <definedName name="TxImporteFirmado">Transacciones!$L$5:$L$500</definedName>
    <definedName name="TxTipo">Transacciones!$B$5:$B$500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4" l="1"/>
  <c r="D22" i="3"/>
  <c r="F22" i="3" s="1"/>
  <c r="D21" i="3"/>
  <c r="F21" i="3" s="1"/>
  <c r="D20" i="3"/>
  <c r="F20" i="3" s="1"/>
  <c r="D19" i="3"/>
  <c r="F19" i="3" s="1"/>
  <c r="D18" i="3"/>
  <c r="F18" i="3" s="1"/>
  <c r="D17" i="3"/>
  <c r="F17" i="3" s="1"/>
  <c r="D16" i="3"/>
  <c r="E16" i="3" s="1"/>
  <c r="E15" i="3"/>
  <c r="D15" i="3"/>
  <c r="F15" i="3" s="1"/>
  <c r="E14" i="3"/>
  <c r="D14" i="3"/>
  <c r="F14" i="3" s="1"/>
  <c r="E13" i="3"/>
  <c r="D13" i="3"/>
  <c r="F13" i="3" s="1"/>
  <c r="E12" i="3"/>
  <c r="D12" i="3"/>
  <c r="F12" i="3" s="1"/>
  <c r="D11" i="3"/>
  <c r="F11" i="3" s="1"/>
  <c r="E10" i="3"/>
  <c r="D10" i="3"/>
  <c r="F10" i="3" s="1"/>
  <c r="D9" i="3"/>
  <c r="F9" i="3" s="1"/>
  <c r="F8" i="3"/>
  <c r="E8" i="3"/>
  <c r="D8" i="3"/>
  <c r="F7" i="3"/>
  <c r="E7" i="3"/>
  <c r="D7" i="3"/>
  <c r="D6" i="3"/>
  <c r="F6" i="3" s="1"/>
  <c r="F5" i="3"/>
  <c r="E5" i="3"/>
  <c r="D5" i="3"/>
  <c r="M19" i="2"/>
  <c r="L19" i="2"/>
  <c r="K19" i="2"/>
  <c r="J19" i="2"/>
  <c r="M18" i="2"/>
  <c r="L18" i="2"/>
  <c r="K18" i="2"/>
  <c r="J18" i="2"/>
  <c r="M17" i="2"/>
  <c r="L17" i="2"/>
  <c r="K17" i="2"/>
  <c r="J17" i="2"/>
  <c r="M16" i="2"/>
  <c r="L16" i="2"/>
  <c r="K16" i="2"/>
  <c r="J16" i="2"/>
  <c r="M15" i="2"/>
  <c r="L15" i="2"/>
  <c r="K15" i="2"/>
  <c r="J15" i="2"/>
  <c r="M14" i="2"/>
  <c r="L14" i="2"/>
  <c r="K14" i="2"/>
  <c r="J14" i="2"/>
  <c r="M13" i="2"/>
  <c r="L13" i="2"/>
  <c r="K13" i="2"/>
  <c r="J13" i="2"/>
  <c r="M12" i="2"/>
  <c r="L12" i="2"/>
  <c r="K12" i="2"/>
  <c r="J12" i="2"/>
  <c r="M11" i="2"/>
  <c r="L11" i="2"/>
  <c r="K11" i="2"/>
  <c r="J11" i="2"/>
  <c r="M10" i="2"/>
  <c r="L10" i="2"/>
  <c r="K10" i="2"/>
  <c r="J10" i="2"/>
  <c r="M9" i="2"/>
  <c r="L9" i="2"/>
  <c r="K9" i="2"/>
  <c r="J9" i="2"/>
  <c r="M8" i="2"/>
  <c r="L8" i="2"/>
  <c r="K8" i="2"/>
  <c r="J8" i="2"/>
  <c r="M7" i="2"/>
  <c r="L7" i="2"/>
  <c r="K7" i="2"/>
  <c r="J7" i="2"/>
  <c r="M6" i="2"/>
  <c r="L6" i="2"/>
  <c r="K6" i="2"/>
  <c r="J6" i="2"/>
  <c r="M5" i="2"/>
  <c r="L5" i="2"/>
  <c r="K5" i="2"/>
  <c r="J5" i="2"/>
  <c r="E40" i="1"/>
  <c r="C40" i="1"/>
  <c r="B40" i="1"/>
  <c r="D40" i="1" s="1"/>
  <c r="E39" i="1"/>
  <c r="C39" i="1"/>
  <c r="B39" i="1"/>
  <c r="D39" i="1" s="1"/>
  <c r="E38" i="1"/>
  <c r="C38" i="1"/>
  <c r="B38" i="1"/>
  <c r="D38" i="1" s="1"/>
  <c r="E37" i="1"/>
  <c r="C37" i="1"/>
  <c r="B37" i="1"/>
  <c r="D37" i="1" s="1"/>
  <c r="E36" i="1"/>
  <c r="C36" i="1"/>
  <c r="B36" i="1"/>
  <c r="D36" i="1" s="1"/>
  <c r="E35" i="1"/>
  <c r="C35" i="1"/>
  <c r="B35" i="1"/>
  <c r="D35" i="1" s="1"/>
  <c r="E34" i="1"/>
  <c r="C34" i="1"/>
  <c r="B34" i="1"/>
  <c r="D34" i="1" s="1"/>
  <c r="E33" i="1"/>
  <c r="C33" i="1"/>
  <c r="B33" i="1"/>
  <c r="D33" i="1" s="1"/>
  <c r="E32" i="1"/>
  <c r="C32" i="1"/>
  <c r="B32" i="1"/>
  <c r="D32" i="1" s="1"/>
  <c r="E31" i="1"/>
  <c r="C31" i="1"/>
  <c r="B31" i="1"/>
  <c r="D31" i="1" s="1"/>
  <c r="E30" i="1"/>
  <c r="C30" i="1"/>
  <c r="B30" i="1"/>
  <c r="D30" i="1" s="1"/>
  <c r="E29" i="1"/>
  <c r="C29" i="1"/>
  <c r="B29" i="1"/>
  <c r="D29" i="1" s="1"/>
  <c r="D12" i="1"/>
  <c r="B5" i="1"/>
  <c r="G12" i="1" s="1"/>
  <c r="B4" i="1"/>
  <c r="B17" i="1" s="1"/>
  <c r="F16" i="3" l="1"/>
  <c r="E17" i="3"/>
  <c r="B18" i="1"/>
  <c r="B19" i="1"/>
  <c r="E11" i="3"/>
  <c r="E18" i="3"/>
  <c r="B20" i="1"/>
  <c r="B21" i="1"/>
  <c r="E19" i="3"/>
  <c r="E6" i="3"/>
  <c r="B22" i="1"/>
  <c r="B23" i="1"/>
  <c r="E20" i="3"/>
  <c r="A8" i="1"/>
  <c r="B24" i="1"/>
  <c r="D8" i="1"/>
  <c r="C17" i="1" s="1"/>
  <c r="E21" i="3"/>
  <c r="B25" i="1"/>
  <c r="E22" i="3"/>
  <c r="E9" i="3"/>
  <c r="G8" i="1" l="1"/>
  <c r="A12" i="1"/>
  <c r="C23" i="1"/>
  <c r="C24" i="1"/>
  <c r="C19" i="1"/>
  <c r="C20" i="1"/>
  <c r="C21" i="1"/>
  <c r="C25" i="1"/>
  <c r="C22" i="1"/>
  <c r="C18" i="1"/>
</calcChain>
</file>

<file path=xl/sharedStrings.xml><?xml version="1.0" encoding="utf-8"?>
<sst xmlns="http://schemas.openxmlformats.org/spreadsheetml/2006/main" count="215" uniqueCount="105">
  <si>
    <t>Mes a analizar</t>
  </si>
  <si>
    <t>Inicio mes</t>
  </si>
  <si>
    <t>Fin mes</t>
  </si>
  <si>
    <t>Ingresos (mes)</t>
  </si>
  <si>
    <t>Gastos (mes)</t>
  </si>
  <si>
    <t>Ahorro (mes)</t>
  </si>
  <si>
    <t>Tasa de ahorro</t>
  </si>
  <si>
    <t>Saldo estimado fin de mes</t>
  </si>
  <si>
    <t>Gasto hormiga (etiqueta 'hormiga')</t>
  </si>
  <si>
    <t>Gasto por categoría (mes)</t>
  </si>
  <si>
    <t>Categoría</t>
  </si>
  <si>
    <t>Total</t>
  </si>
  <si>
    <t>% sobre gastos</t>
  </si>
  <si>
    <t>Vivienda</t>
  </si>
  <si>
    <t>Alimentación</t>
  </si>
  <si>
    <t>Movilidad</t>
  </si>
  <si>
    <t>Salud</t>
  </si>
  <si>
    <t>Ocio</t>
  </si>
  <si>
    <t>Educación</t>
  </si>
  <si>
    <t>Hogar</t>
  </si>
  <si>
    <t>Suscripciones</t>
  </si>
  <si>
    <t>Imprevistos</t>
  </si>
  <si>
    <t>Evolución mensual (año)</t>
  </si>
  <si>
    <t>Mes</t>
  </si>
  <si>
    <t>Ingresos</t>
  </si>
  <si>
    <t>Gastos</t>
  </si>
  <si>
    <t>Ahorro</t>
  </si>
  <si>
    <t>Saldo fin de mes</t>
  </si>
  <si>
    <t>Registro de transacciones</t>
  </si>
  <si>
    <t>Rellena una fila por movimiento. Columnas con desplegables: Tipo, Cuenta, Categoría, Método.</t>
  </si>
  <si>
    <t>Fecha</t>
  </si>
  <si>
    <t>Tipo</t>
  </si>
  <si>
    <t>Cuenta</t>
  </si>
  <si>
    <t>Subcategoría</t>
  </si>
  <si>
    <t>Descripción</t>
  </si>
  <si>
    <t>Importe</t>
  </si>
  <si>
    <t>Método</t>
  </si>
  <si>
    <t>Etiquetas</t>
  </si>
  <si>
    <t>Año</t>
  </si>
  <si>
    <t>Importe firmado</t>
  </si>
  <si>
    <t>Saldo total</t>
  </si>
  <si>
    <t>Ingreso</t>
  </si>
  <si>
    <t>Cuenta nómina</t>
  </si>
  <si>
    <t>Nómina</t>
  </si>
  <si>
    <t>Salario</t>
  </si>
  <si>
    <t>Ingreso mensual</t>
  </si>
  <si>
    <t>Transferencia</t>
  </si>
  <si>
    <t>Enero</t>
  </si>
  <si>
    <t>Gasto</t>
  </si>
  <si>
    <t>Alquiler</t>
  </si>
  <si>
    <t>Renta piso</t>
  </si>
  <si>
    <t>Domiciliación</t>
  </si>
  <si>
    <t>Tarjeta débito</t>
  </si>
  <si>
    <t>Supermercado</t>
  </si>
  <si>
    <t>Compra semanal</t>
  </si>
  <si>
    <t>Tarjeta</t>
  </si>
  <si>
    <t>Transporte público</t>
  </si>
  <si>
    <t>Abono mensual</t>
  </si>
  <si>
    <t>Software</t>
  </si>
  <si>
    <t>Suscripción herramienta</t>
  </si>
  <si>
    <t>Reembolso</t>
  </si>
  <si>
    <t>Reembolso seguro</t>
  </si>
  <si>
    <t>Cine</t>
  </si>
  <si>
    <t>Entradas</t>
  </si>
  <si>
    <t>Limpieza</t>
  </si>
  <si>
    <t>Productos hogar</t>
  </si>
  <si>
    <t>Freelance</t>
  </si>
  <si>
    <t>Proyecto</t>
  </si>
  <si>
    <t>Servicio puntual</t>
  </si>
  <si>
    <t>Extra</t>
  </si>
  <si>
    <t>Suministros</t>
  </si>
  <si>
    <t>Electricidad</t>
  </si>
  <si>
    <t>Febrero</t>
  </si>
  <si>
    <t>Farmacia</t>
  </si>
  <si>
    <t>Medicinas</t>
  </si>
  <si>
    <t>Cursos</t>
  </si>
  <si>
    <t>Curso online</t>
  </si>
  <si>
    <t>Café</t>
  </si>
  <si>
    <t>Café con amigos</t>
  </si>
  <si>
    <t>Efectivo</t>
  </si>
  <si>
    <t>hormiga</t>
  </si>
  <si>
    <t>Presupuesto mensual por categoría</t>
  </si>
  <si>
    <t>Define presupuestos por mes y categoría. La columna Real se calcula desde Transacciones.</t>
  </si>
  <si>
    <t>Mes (1er día)</t>
  </si>
  <si>
    <t>Presupuesto</t>
  </si>
  <si>
    <t>Real</t>
  </si>
  <si>
    <t>Diferencia</t>
  </si>
  <si>
    <t>% ejecución</t>
  </si>
  <si>
    <t>Nota</t>
  </si>
  <si>
    <t>Configuración (edita estas listas)</t>
  </si>
  <si>
    <t>Cuentas</t>
  </si>
  <si>
    <t>Saldo inicial</t>
  </si>
  <si>
    <t>Métodos de pago</t>
  </si>
  <si>
    <t>Meses</t>
  </si>
  <si>
    <t>Total saldo inicial</t>
  </si>
  <si>
    <t>Bizum</t>
  </si>
  <si>
    <t>Categorías (gasto)</t>
  </si>
  <si>
    <t>Categorías (ingreso)</t>
  </si>
  <si>
    <t>Lista categorías (para desplegable)</t>
  </si>
  <si>
    <t>Intereses</t>
  </si>
  <si>
    <t>Venta puntual</t>
  </si>
  <si>
    <t>Tipos de movimiento</t>
  </si>
  <si>
    <t>Transferencias</t>
  </si>
  <si>
    <t>Notas:
• Para personalizar: edita las listas (cuentas, categorías, métodos). Las hojas usan validación de datos.
• Para transferencias entre cuentas: registra dos movimientos (un gasto en la cuenta origen y un ingreso en la cuenta destino).
Fuentes consultadas (inspiración de funcionalidades, no se copia contenido):
support.microsoft.com | planillaexcel.com | myonlinetraininghub.com | dost.io | smartsheet.com</t>
  </si>
  <si>
    <t xml:space="preserve">                    Resumen Finanzas Personales (dashboard)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</si>
</sst>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€\ #,##0.00"/>
    <numFmt numFmtId="165" formatCode="\€\ #,##0.00;[Red]\(\€\ #,##0.00\)"/>
    <numFmt numFmtId="166" formatCode="0.0%"/>
    <numFmt numFmtId="167" formatCode="mmm"/>
  </numFmts>
  <fonts count="9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121528"/>
      <name val="Calibri"/>
    </font>
    <font>
      <sz val="10"/>
      <color rgb="FF121528"/>
      <name val="Calibri"/>
    </font>
    <font>
      <b/>
      <sz val="11"/>
      <color rgb="FFFFFFFF"/>
      <name val="Calibri"/>
    </font>
    <font>
      <b/>
      <sz val="10"/>
      <color rgb="FF121528"/>
      <name val="Calibri"/>
    </font>
    <font>
      <b/>
      <sz val="11"/>
      <color rgb="FFFFFFFF"/>
      <name val="Calibri"/>
    </font>
    <font>
      <b/>
      <sz val="16"/>
      <color rgb="FF121528"/>
      <name val="Calibri"/>
    </font>
    <font>
      <b/>
      <sz val="12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5F5F5"/>
      </patternFill>
    </fill>
  </fills>
  <borders count="10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/>
      <diagonal/>
    </border>
    <border>
      <left style="thin">
        <color rgb="FFD9D9D9"/>
      </left>
      <right/>
      <top/>
      <bottom/>
      <diagonal/>
    </border>
    <border>
      <left/>
      <right style="thin">
        <color rgb="FFD9D9D9"/>
      </right>
      <top style="thin">
        <color rgb="FFD9D9D9"/>
      </top>
      <bottom/>
      <diagonal/>
    </border>
    <border>
      <left/>
      <right style="thin">
        <color rgb="FFD9D9D9"/>
      </right>
      <top/>
      <bottom/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/>
      <bottom style="thin">
        <color rgb="FFD9D9D9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3" borderId="1" xfId="0" applyFont="1" applyFill="1" applyBorder="1" applyAlignment="1">
      <alignment horizontal="left" vertical="center" wrapText="1"/>
    </xf>
    <xf numFmtId="17" fontId="2" fillId="3" borderId="1" xfId="0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14" fontId="3" fillId="4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64" fontId="0" fillId="0" borderId="1" xfId="0" applyNumberFormat="1" applyBorder="1" applyAlignment="1">
      <alignment horizontal="right" vertical="center" wrapText="1"/>
    </xf>
    <xf numFmtId="166" fontId="0" fillId="0" borderId="1" xfId="0" applyNumberFormat="1" applyBorder="1" applyAlignment="1">
      <alignment horizontal="right" vertical="center" wrapText="1"/>
    </xf>
    <xf numFmtId="167" fontId="0" fillId="0" borderId="1" xfId="0" applyNumberFormat="1" applyBorder="1" applyAlignment="1">
      <alignment horizontal="left" vertical="center" wrapText="1"/>
    </xf>
    <xf numFmtId="165" fontId="0" fillId="0" borderId="1" xfId="0" applyNumberForma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right" vertical="center" wrapText="1"/>
    </xf>
    <xf numFmtId="17" fontId="0" fillId="0" borderId="1" xfId="0" applyNumberFormat="1" applyBorder="1" applyAlignment="1">
      <alignment horizontal="right" vertical="center" wrapText="1"/>
    </xf>
    <xf numFmtId="17" fontId="0" fillId="0" borderId="1" xfId="0" applyNumberFormat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center" wrapText="1"/>
    </xf>
    <xf numFmtId="0" fontId="0" fillId="0" borderId="0" xfId="0"/>
    <xf numFmtId="164" fontId="7" fillId="3" borderId="1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166" fontId="7" fillId="3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8" xfId="0" applyBorder="1"/>
    <xf numFmtId="0" fontId="8" fillId="2" borderId="0" xfId="0" applyFont="1" applyFill="1" applyAlignment="1">
      <alignment horizontal="left" vertical="center" wrapText="1"/>
    </xf>
    <xf numFmtId="165" fontId="7" fillId="3" borderId="1" xfId="0" applyNumberFormat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 wrapText="1"/>
    </xf>
    <xf numFmtId="0" fontId="3" fillId="4" borderId="1" xfId="0" applyFont="1" applyFill="1" applyBorder="1" applyAlignment="1">
      <alignment vertical="top" wrapText="1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166" fontId="0" fillId="0" borderId="3" xfId="0" applyNumberFormat="1" applyBorder="1" applyAlignment="1">
      <alignment horizontal="center" vertical="center" wrapText="1"/>
    </xf>
    <xf numFmtId="166" fontId="0" fillId="0" borderId="0" xfId="0" applyNumberFormat="1" applyBorder="1" applyAlignment="1">
      <alignment horizontal="center" vertical="center" wrapText="1"/>
    </xf>
  </cellXfs>
  <cellStyles count="1">
    <cellStyle name="Normal" xfId="0" builtinId="0"/>
  </cellStyles>
  <dxfs count="1">
    <dxf>
      <fill>
        <patternFill patternType="solid">
          <fgColor rgb="FFF8CBAD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s-ES"/>
              <a:t>Distribución de gastos</a:t>
            </a:r>
          </a:p>
        </c:rich>
      </c:tx>
      <c:overlay val="1"/>
    </c:title>
    <c:autoTitleDeleted val="0"/>
    <c:plotArea>
      <c:layout/>
      <c:doughnutChart>
        <c:varyColors val="1"/>
        <c:ser>
          <c:idx val="0"/>
          <c:order val="0"/>
          <c:tx>
            <c:strRef>
              <c:f>Resumen!$B$16</c:f>
              <c:strCache>
                <c:ptCount val="1"/>
                <c:pt idx="0">
                  <c:v>Total</c:v>
                </c:pt>
              </c:strCache>
            </c:strRef>
          </c:tx>
          <c:spPr>
            <a:ln>
              <a:prstDash val="solid"/>
            </a:ln>
          </c:spPr>
          <c:dLbls>
            <c:dLbl>
              <c:idx val="0"/>
              <c:layout>
                <c:manualLayout>
                  <c:x val="0.17033773861967694"/>
                  <c:y val="0.29856850715746419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0A9-4748-923E-72241368E87F}"/>
                </c:ext>
              </c:extLst>
            </c:dLbl>
            <c:dLbl>
              <c:idx val="1"/>
              <c:layout>
                <c:manualLayout>
                  <c:x val="0.19383259911894266"/>
                  <c:y val="0.18404907975460122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0A9-4748-923E-72241368E87F}"/>
                </c:ext>
              </c:extLst>
            </c:dLbl>
            <c:dLbl>
              <c:idx val="2"/>
              <c:layout>
                <c:manualLayout>
                  <c:x val="-0.12922173274596185"/>
                  <c:y val="0.33537832310838445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D0A9-4748-923E-72241368E87F}"/>
                </c:ext>
              </c:extLst>
            </c:dLbl>
            <c:dLbl>
              <c:idx val="3"/>
              <c:layout>
                <c:manualLayout>
                  <c:x val="-0.26627508565834557"/>
                  <c:y val="0.13087934560327205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0A9-4748-923E-72241368E87F}"/>
                </c:ext>
              </c:extLst>
            </c:dLbl>
            <c:dLbl>
              <c:idx val="4"/>
              <c:layout>
                <c:manualLayout>
                  <c:x val="-0.25648556045031817"/>
                  <c:y val="2.0449897750511249E-2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0A9-4748-923E-72241368E87F}"/>
                </c:ext>
              </c:extLst>
            </c:dLbl>
            <c:dLbl>
              <c:idx val="5"/>
              <c:layout>
                <c:manualLayout>
                  <c:x val="-0.26235927557513461"/>
                  <c:y val="1.2269938650306749E-2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0A9-4748-923E-72241368E87F}"/>
                </c:ext>
              </c:extLst>
            </c:dLbl>
            <c:dLbl>
              <c:idx val="6"/>
              <c:layout>
                <c:manualLayout>
                  <c:x val="0.24278022515907979"/>
                  <c:y val="-1.6359918200409034E-2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0A9-4748-923E-72241368E87F}"/>
                </c:ext>
              </c:extLst>
            </c:dLbl>
            <c:dLbl>
              <c:idx val="7"/>
              <c:layout>
                <c:manualLayout>
                  <c:x val="-0.34263338228095935"/>
                  <c:y val="-0.114519427402863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0A9-4748-923E-72241368E87F}"/>
                </c:ext>
              </c:extLst>
            </c:dLbl>
            <c:dLbl>
              <c:idx val="8"/>
              <c:layout>
                <c:manualLayout>
                  <c:x val="0.20558002936857556"/>
                  <c:y val="-0.15950920245398773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0A9-4748-923E-72241368E87F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Resumen!$A$17:$A$25</c:f>
              <c:strCache>
                <c:ptCount val="9"/>
                <c:pt idx="0">
                  <c:v>Vivienda</c:v>
                </c:pt>
                <c:pt idx="1">
                  <c:v>Alimentación</c:v>
                </c:pt>
                <c:pt idx="2">
                  <c:v>Movilidad</c:v>
                </c:pt>
                <c:pt idx="3">
                  <c:v>Salud</c:v>
                </c:pt>
                <c:pt idx="4">
                  <c:v>Ocio</c:v>
                </c:pt>
                <c:pt idx="5">
                  <c:v>Educación</c:v>
                </c:pt>
                <c:pt idx="6">
                  <c:v>Hogar</c:v>
                </c:pt>
                <c:pt idx="7">
                  <c:v>Suscripciones</c:v>
                </c:pt>
                <c:pt idx="8">
                  <c:v>Imprevistos</c:v>
                </c:pt>
              </c:strCache>
            </c:strRef>
          </c:cat>
          <c:val>
            <c:numRef>
              <c:f>Resumen!$B$17:$B$25</c:f>
              <c:numCache>
                <c:formatCode>\€\ #,##0.00</c:formatCode>
                <c:ptCount val="9"/>
                <c:pt idx="0">
                  <c:v>58.1</c:v>
                </c:pt>
                <c:pt idx="1">
                  <c:v>64.3</c:v>
                </c:pt>
                <c:pt idx="2">
                  <c:v>0</c:v>
                </c:pt>
                <c:pt idx="3">
                  <c:v>14.25</c:v>
                </c:pt>
                <c:pt idx="4">
                  <c:v>7.8</c:v>
                </c:pt>
                <c:pt idx="5">
                  <c:v>39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A9-4748-923E-72241368E87F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  <c:holeSize val="10"/>
      </c:doughnutChart>
    </c:plotArea>
    <c:legend>
      <c:legendPos val="r"/>
      <c:layout>
        <c:manualLayout>
          <c:xMode val="edge"/>
          <c:yMode val="edge"/>
          <c:x val="0.85325532546317173"/>
          <c:y val="0.16718548218282531"/>
          <c:w val="0.14087095941201183"/>
          <c:h val="0.66562871358871556"/>
        </c:manualLayout>
      </c:layout>
      <c:overlay val="1"/>
    </c:legend>
    <c:plotVisOnly val="1"/>
    <c:dispBlanksAs val="gap"/>
    <c:showDLblsOverMax val="1"/>
  </c:chart>
  <c:spPr>
    <a:solidFill>
      <a:srgbClr val="FFFFCC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s-ES"/>
              <a:t>Saldo fin de mes</a:t>
            </a:r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Resumen!$E$28</c:f>
              <c:strCache>
                <c:ptCount val="1"/>
                <c:pt idx="0">
                  <c:v>Saldo fin de mes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numRef>
              <c:f>Resumen!$A$29:$A$40</c:f>
              <c:numCache>
                <c:formatCode>mmm</c:formatCode>
                <c:ptCount val="12"/>
                <c:pt idx="0">
                  <c:v>46023</c:v>
                </c:pt>
                <c:pt idx="1">
                  <c:v>46054</c:v>
                </c:pt>
                <c:pt idx="2">
                  <c:v>46082</c:v>
                </c:pt>
                <c:pt idx="3">
                  <c:v>46113</c:v>
                </c:pt>
                <c:pt idx="4">
                  <c:v>46143</c:v>
                </c:pt>
                <c:pt idx="5">
                  <c:v>46174</c:v>
                </c:pt>
                <c:pt idx="6">
                  <c:v>46204</c:v>
                </c:pt>
                <c:pt idx="7">
                  <c:v>46235</c:v>
                </c:pt>
                <c:pt idx="8">
                  <c:v>46266</c:v>
                </c:pt>
                <c:pt idx="9">
                  <c:v>46296</c:v>
                </c:pt>
                <c:pt idx="10">
                  <c:v>46327</c:v>
                </c:pt>
                <c:pt idx="11">
                  <c:v>46357</c:v>
                </c:pt>
              </c:numCache>
            </c:numRef>
          </c:cat>
          <c:val>
            <c:numRef>
              <c:f>Resumen!$E$29:$E$40</c:f>
              <c:numCache>
                <c:formatCode>\€\ #,##0.00;[Red]\(\€\ #,##0.00\)</c:formatCode>
                <c:ptCount val="12"/>
                <c:pt idx="0">
                  <c:v>6386.46</c:v>
                </c:pt>
                <c:pt idx="1">
                  <c:v>8353.01</c:v>
                </c:pt>
                <c:pt idx="2">
                  <c:v>8353.01</c:v>
                </c:pt>
                <c:pt idx="3">
                  <c:v>8353.01</c:v>
                </c:pt>
                <c:pt idx="4">
                  <c:v>8353.01</c:v>
                </c:pt>
                <c:pt idx="5">
                  <c:v>8353.01</c:v>
                </c:pt>
                <c:pt idx="6">
                  <c:v>8353.01</c:v>
                </c:pt>
                <c:pt idx="7">
                  <c:v>8353.01</c:v>
                </c:pt>
                <c:pt idx="8">
                  <c:v>8353.01</c:v>
                </c:pt>
                <c:pt idx="9">
                  <c:v>8353.01</c:v>
                </c:pt>
                <c:pt idx="10">
                  <c:v>8353.01</c:v>
                </c:pt>
                <c:pt idx="11">
                  <c:v>8353.01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EA9-482F-8AFE-C3366812CE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date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Mes</a:t>
                </a:r>
              </a:p>
            </c:rich>
          </c:tx>
          <c:overlay val="1"/>
        </c:title>
        <c:numFmt formatCode="mmm" sourceLinked="1"/>
        <c:majorTickMark val="none"/>
        <c:minorTickMark val="none"/>
        <c:tickLblPos val="nextTo"/>
        <c:crossAx val="100"/>
        <c:crosses val="autoZero"/>
        <c:auto val="1"/>
        <c:lblOffset val="100"/>
        <c:baseTimeUnit val="months"/>
      </c:date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€</a:t>
                </a:r>
              </a:p>
            </c:rich>
          </c:tx>
          <c:overlay val="1"/>
        </c:title>
        <c:numFmt formatCode="\€\ #,##0.00;[Red]\(\€\ #,##0.00\)" sourceLinked="1"/>
        <c:majorTickMark val="none"/>
        <c:minorTickMark val="none"/>
        <c:tickLblPos val="nextTo"/>
        <c:crossAx val="10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</c:spPr>
    </c:plotArea>
    <c:legend>
      <c:legendPos val="r"/>
      <c:overlay val="0"/>
      <c:txPr>
        <a:bodyPr/>
        <a:lstStyle/>
        <a:p>
          <a:pPr rtl="0">
            <a:defRPr/>
          </a:pPr>
          <a:endParaRPr lang="es-ES"/>
        </a:p>
      </c:txPr>
    </c:legend>
    <c:plotVisOnly val="1"/>
    <c:dispBlanksAs val="gap"/>
    <c:showDLblsOverMax val="1"/>
  </c:chart>
  <c:spPr>
    <a:solidFill>
      <a:schemeClr val="accent3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123825</xdr:colOff>
      <xdr:row>13</xdr:row>
      <xdr:rowOff>28575</xdr:rowOff>
    </xdr:from>
    <xdr:ext cx="6486525" cy="31051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6</xdr:col>
      <xdr:colOff>0</xdr:colOff>
      <xdr:row>27</xdr:row>
      <xdr:rowOff>552450</xdr:rowOff>
    </xdr:from>
    <xdr:ext cx="6480000" cy="288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Transacciones" displayName="tblTransacciones" ref="A4:M19">
  <autoFilter ref="A4:M19" xr:uid="{00000000-0009-0000-0100-000001000000}"/>
  <tableColumns count="13">
    <tableColumn id="1" xr3:uid="{00000000-0010-0000-0000-000001000000}" name="Fecha"/>
    <tableColumn id="2" xr3:uid="{00000000-0010-0000-0000-000002000000}" name="Tipo"/>
    <tableColumn id="3" xr3:uid="{00000000-0010-0000-0000-000003000000}" name="Cuenta"/>
    <tableColumn id="4" xr3:uid="{00000000-0010-0000-0000-000004000000}" name="Categoría"/>
    <tableColumn id="5" xr3:uid="{00000000-0010-0000-0000-000005000000}" name="Subcategoría"/>
    <tableColumn id="6" xr3:uid="{00000000-0010-0000-0000-000006000000}" name="Descripción"/>
    <tableColumn id="7" xr3:uid="{00000000-0010-0000-0000-000007000000}" name="Importe"/>
    <tableColumn id="8" xr3:uid="{00000000-0010-0000-0000-000008000000}" name="Método"/>
    <tableColumn id="9" xr3:uid="{00000000-0010-0000-0000-000009000000}" name="Etiquetas"/>
    <tableColumn id="10" xr3:uid="{00000000-0010-0000-0000-00000A000000}" name="Mes"/>
    <tableColumn id="11" xr3:uid="{00000000-0010-0000-0000-00000B000000}" name="Año"/>
    <tableColumn id="12" xr3:uid="{00000000-0010-0000-0000-00000C000000}" name="Importe firmado"/>
    <tableColumn id="13" xr3:uid="{00000000-0010-0000-0000-00000D000000}" name="Saldo total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Presupuesto" displayName="tblPresupuesto" ref="A4:G22">
  <autoFilter ref="A4:G22" xr:uid="{00000000-0009-0000-0100-000002000000}"/>
  <tableColumns count="7">
    <tableColumn id="1" xr3:uid="{00000000-0010-0000-0100-000001000000}" name="Mes (1er día)"/>
    <tableColumn id="2" xr3:uid="{00000000-0010-0000-0100-000002000000}" name="Categoría"/>
    <tableColumn id="3" xr3:uid="{00000000-0010-0000-0100-000003000000}" name="Presupuesto"/>
    <tableColumn id="4" xr3:uid="{00000000-0010-0000-0100-000004000000}" name="Real"/>
    <tableColumn id="5" xr3:uid="{00000000-0010-0000-0100-000005000000}" name="Diferencia"/>
    <tableColumn id="6" xr3:uid="{00000000-0010-0000-0100-000006000000}" name="% ejecución"/>
    <tableColumn id="7" xr3:uid="{00000000-0010-0000-0100-000007000000}" name="Not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showGridLines="0" tabSelected="1" workbookViewId="0">
      <selection activeCell="U30" sqref="U30"/>
    </sheetView>
  </sheetViews>
  <sheetFormatPr baseColWidth="10" defaultColWidth="9.140625" defaultRowHeight="15" x14ac:dyDescent="0.25"/>
  <cols>
    <col min="1" max="1" width="22" customWidth="1"/>
    <col min="2" max="2" width="18" customWidth="1"/>
    <col min="3" max="3" width="9.5703125" bestFit="1" customWidth="1"/>
    <col min="4" max="4" width="22" customWidth="1"/>
    <col min="5" max="5" width="18" customWidth="1"/>
    <col min="6" max="6" width="2" customWidth="1"/>
    <col min="7" max="7" width="22" customWidth="1"/>
    <col min="8" max="8" width="18" customWidth="1"/>
    <col min="9" max="9" width="2" customWidth="1"/>
    <col min="10" max="10" width="22" customWidth="1"/>
  </cols>
  <sheetData>
    <row r="1" spans="1:14" ht="24.75" customHeight="1" x14ac:dyDescent="0.25">
      <c r="A1" s="18" t="s">
        <v>104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3" spans="1:14" x14ac:dyDescent="0.25">
      <c r="A3" s="1" t="s">
        <v>0</v>
      </c>
      <c r="B3" s="2">
        <v>46054</v>
      </c>
    </row>
    <row r="4" spans="1:14" x14ac:dyDescent="0.25">
      <c r="A4" s="3" t="s">
        <v>1</v>
      </c>
      <c r="B4" s="4">
        <f>B3</f>
        <v>46054</v>
      </c>
    </row>
    <row r="5" spans="1:14" x14ac:dyDescent="0.25">
      <c r="A5" s="3" t="s">
        <v>2</v>
      </c>
      <c r="B5" s="4">
        <f>DATE(YEAR(B3),MONTH(B3)+1,0)</f>
        <v>46081</v>
      </c>
    </row>
    <row r="7" spans="1:14" x14ac:dyDescent="0.25">
      <c r="A7" s="25" t="s">
        <v>3</v>
      </c>
      <c r="B7" s="26"/>
      <c r="D7" s="25" t="s">
        <v>4</v>
      </c>
      <c r="E7" s="26"/>
      <c r="G7" s="25" t="s">
        <v>5</v>
      </c>
      <c r="H7" s="26"/>
    </row>
    <row r="8" spans="1:14" x14ac:dyDescent="0.25">
      <c r="A8" s="20">
        <f>SUMIFS(Transacciones!$G$5:$G$500,Transacciones!$B$5:$B$500,"Ingreso",Transacciones!$A$5:$A$500,"&gt;="&amp;$B$4,Transacciones!$A$5:$A$500,"&lt;="&amp;$B$5)</f>
        <v>2150</v>
      </c>
      <c r="B8" s="21"/>
      <c r="D8" s="20">
        <f>SUMIFS(Transacciones!$G$5:$G$500,Transacciones!$B$5:$B$500,"Gasto",Transacciones!$A$5:$A$500,"&gt;="&amp;$B$4,Transacciones!$A$5:$A$500,"&lt;="&amp;$B$5)</f>
        <v>183.45000000000002</v>
      </c>
      <c r="E8" s="21"/>
      <c r="G8" s="28">
        <f>A8-D8</f>
        <v>1966.55</v>
      </c>
      <c r="H8" s="21"/>
    </row>
    <row r="9" spans="1:14" x14ac:dyDescent="0.25">
      <c r="A9" s="22"/>
      <c r="B9" s="23"/>
      <c r="D9" s="22"/>
      <c r="E9" s="23"/>
      <c r="G9" s="22"/>
      <c r="H9" s="23"/>
    </row>
    <row r="11" spans="1:14" x14ac:dyDescent="0.25">
      <c r="A11" s="25" t="s">
        <v>6</v>
      </c>
      <c r="B11" s="26"/>
      <c r="D11" s="25" t="s">
        <v>7</v>
      </c>
      <c r="E11" s="26"/>
      <c r="G11" s="25" t="s">
        <v>8</v>
      </c>
      <c r="H11" s="26"/>
    </row>
    <row r="12" spans="1:14" x14ac:dyDescent="0.25">
      <c r="A12" s="24">
        <f>IF(A8=0,"",G8/A8)</f>
        <v>0.91467441860465115</v>
      </c>
      <c r="B12" s="21"/>
      <c r="D12" s="28">
        <f>Config!$B$7+SUMIFS(Transacciones!$L$5:$L$500,Transacciones!$A$5:$A$500,"&lt;="&amp;$B$5)</f>
        <v>8353.01</v>
      </c>
      <c r="E12" s="21"/>
      <c r="G12" s="20">
        <f>SUMIFS(Transacciones!$G$5:$G$500,Transacciones!$B$5:$B$500,"Gasto",Transacciones!$A$5:$A$500,"&gt;="&amp;$B$4,Transacciones!$A$5:$A$500,"&lt;="&amp;$B$5,Transacciones!$I$5:$I$500,"hormiga")</f>
        <v>7.8</v>
      </c>
      <c r="H12" s="21"/>
    </row>
    <row r="13" spans="1:14" x14ac:dyDescent="0.25">
      <c r="A13" s="22"/>
      <c r="B13" s="23"/>
      <c r="D13" s="22"/>
      <c r="E13" s="23"/>
      <c r="G13" s="22"/>
      <c r="H13" s="23"/>
    </row>
    <row r="15" spans="1:14" x14ac:dyDescent="0.25">
      <c r="A15" s="27" t="s">
        <v>9</v>
      </c>
      <c r="B15" s="19"/>
      <c r="C15" s="19"/>
      <c r="D15" s="19"/>
      <c r="E15" s="19"/>
    </row>
    <row r="16" spans="1:14" x14ac:dyDescent="0.25">
      <c r="A16" s="5" t="s">
        <v>10</v>
      </c>
      <c r="B16" s="5" t="s">
        <v>11</v>
      </c>
      <c r="C16" s="35" t="s">
        <v>12</v>
      </c>
      <c r="D16" s="36"/>
      <c r="E16" s="36"/>
    </row>
    <row r="17" spans="1:5" x14ac:dyDescent="0.25">
      <c r="A17" s="6" t="s">
        <v>13</v>
      </c>
      <c r="B17" s="7">
        <f>SUMIFS(Transacciones!$G$5:$G$500,Transacciones!$B$5:$B$500,"Gasto",Transacciones!$D$5:$D$500,A17,Transacciones!$A$5:$A$500,"&gt;="&amp;$B$4,Transacciones!$A$5:$A$500,"&lt;="&amp;$B$5)</f>
        <v>58.1</v>
      </c>
      <c r="C17" s="37">
        <f>IFERROR(B17/D8,"")</f>
        <v>0.31670754974107385</v>
      </c>
      <c r="D17" s="38"/>
      <c r="E17" s="38"/>
    </row>
    <row r="18" spans="1:5" x14ac:dyDescent="0.25">
      <c r="A18" s="6" t="s">
        <v>14</v>
      </c>
      <c r="B18" s="7">
        <f>SUMIFS(Transacciones!$G$5:$G$500,Transacciones!$B$5:$B$500,"Gasto",Transacciones!$D$5:$D$500,A18,Transacciones!$A$5:$A$500,"&gt;="&amp;$B$4,Transacciones!$A$5:$A$500,"&lt;="&amp;$B$5)</f>
        <v>64.3</v>
      </c>
      <c r="C18" s="37">
        <f>IFERROR(B18/D8,"")</f>
        <v>0.35050422458435537</v>
      </c>
      <c r="D18" s="38"/>
      <c r="E18" s="38"/>
    </row>
    <row r="19" spans="1:5" x14ac:dyDescent="0.25">
      <c r="A19" s="6" t="s">
        <v>15</v>
      </c>
      <c r="B19" s="7">
        <f>SUMIFS(Transacciones!$G$5:$G$500,Transacciones!$B$5:$B$500,"Gasto",Transacciones!$D$5:$D$500,A19,Transacciones!$A$5:$A$500,"&gt;="&amp;$B$4,Transacciones!$A$5:$A$500,"&lt;="&amp;$B$5)</f>
        <v>0</v>
      </c>
      <c r="C19" s="37">
        <f>IFERROR(B19/D8,"")</f>
        <v>0</v>
      </c>
      <c r="D19" s="38"/>
      <c r="E19" s="38"/>
    </row>
    <row r="20" spans="1:5" x14ac:dyDescent="0.25">
      <c r="A20" s="6" t="s">
        <v>16</v>
      </c>
      <c r="B20" s="7">
        <f>SUMIFS(Transacciones!$G$5:$G$500,Transacciones!$B$5:$B$500,"Gasto",Transacciones!$D$5:$D$500,A20,Transacciones!$A$5:$A$500,"&gt;="&amp;$B$4,Transacciones!$A$5:$A$500,"&lt;="&amp;$B$5)</f>
        <v>14.25</v>
      </c>
      <c r="C20" s="37">
        <f>IFERROR(B20/D8,"")</f>
        <v>7.76778413736713E-2</v>
      </c>
      <c r="D20" s="38"/>
      <c r="E20" s="38"/>
    </row>
    <row r="21" spans="1:5" x14ac:dyDescent="0.25">
      <c r="A21" s="6" t="s">
        <v>17</v>
      </c>
      <c r="B21" s="7">
        <f>SUMIFS(Transacciones!$G$5:$G$500,Transacciones!$B$5:$B$500,"Gasto",Transacciones!$D$5:$D$500,A21,Transacciones!$A$5:$A$500,"&gt;="&amp;$B$4,Transacciones!$A$5:$A$500,"&lt;="&amp;$B$5)</f>
        <v>7.8</v>
      </c>
      <c r="C21" s="37">
        <f>IFERROR(B21/D8,"")</f>
        <v>4.2518397383483231E-2</v>
      </c>
      <c r="D21" s="38"/>
      <c r="E21" s="38"/>
    </row>
    <row r="22" spans="1:5" x14ac:dyDescent="0.25">
      <c r="A22" s="6" t="s">
        <v>18</v>
      </c>
      <c r="B22" s="7">
        <f>SUMIFS(Transacciones!$G$5:$G$500,Transacciones!$B$5:$B$500,"Gasto",Transacciones!$D$5:$D$500,A22,Transacciones!$A$5:$A$500,"&gt;="&amp;$B$4,Transacciones!$A$5:$A$500,"&lt;="&amp;$B$5)</f>
        <v>39</v>
      </c>
      <c r="C22" s="37">
        <f>IFERROR(B22/D8,"")</f>
        <v>0.21259198691741618</v>
      </c>
      <c r="D22" s="38"/>
      <c r="E22" s="38"/>
    </row>
    <row r="23" spans="1:5" x14ac:dyDescent="0.25">
      <c r="A23" s="6" t="s">
        <v>19</v>
      </c>
      <c r="B23" s="7">
        <f>SUMIFS(Transacciones!$G$5:$G$500,Transacciones!$B$5:$B$500,"Gasto",Transacciones!$D$5:$D$500,A23,Transacciones!$A$5:$A$500,"&gt;="&amp;$B$4,Transacciones!$A$5:$A$500,"&lt;="&amp;$B$5)</f>
        <v>0</v>
      </c>
      <c r="C23" s="37">
        <f>IFERROR(B23/D8,"")</f>
        <v>0</v>
      </c>
      <c r="D23" s="38"/>
      <c r="E23" s="38"/>
    </row>
    <row r="24" spans="1:5" x14ac:dyDescent="0.25">
      <c r="A24" s="6" t="s">
        <v>20</v>
      </c>
      <c r="B24" s="7">
        <f>SUMIFS(Transacciones!$G$5:$G$500,Transacciones!$B$5:$B$500,"Gasto",Transacciones!$D$5:$D$500,A24,Transacciones!$A$5:$A$500,"&gt;="&amp;$B$4,Transacciones!$A$5:$A$500,"&lt;="&amp;$B$5)</f>
        <v>0</v>
      </c>
      <c r="C24" s="37">
        <f>IFERROR(B24/D8,"")</f>
        <v>0</v>
      </c>
      <c r="D24" s="38"/>
      <c r="E24" s="38"/>
    </row>
    <row r="25" spans="1:5" x14ac:dyDescent="0.25">
      <c r="A25" s="6" t="s">
        <v>21</v>
      </c>
      <c r="B25" s="7">
        <f>SUMIFS(Transacciones!$G$5:$G$500,Transacciones!$B$5:$B$500,"Gasto",Transacciones!$D$5:$D$500,A25,Transacciones!$A$5:$A$500,"&gt;="&amp;$B$4,Transacciones!$A$5:$A$500,"&lt;="&amp;$B$5)</f>
        <v>0</v>
      </c>
      <c r="C25" s="37">
        <f>IFERROR(B25/D8,"")</f>
        <v>0</v>
      </c>
      <c r="D25" s="38"/>
      <c r="E25" s="38"/>
    </row>
    <row r="27" spans="1:5" x14ac:dyDescent="0.25">
      <c r="A27" s="27" t="s">
        <v>22</v>
      </c>
      <c r="B27" s="19"/>
      <c r="C27" s="19"/>
      <c r="D27" s="19"/>
      <c r="E27" s="19"/>
    </row>
    <row r="28" spans="1:5" ht="90" x14ac:dyDescent="0.25">
      <c r="A28" s="5" t="s">
        <v>23</v>
      </c>
      <c r="B28" s="5" t="s">
        <v>24</v>
      </c>
      <c r="C28" s="5" t="s">
        <v>25</v>
      </c>
      <c r="D28" s="5" t="s">
        <v>26</v>
      </c>
      <c r="E28" s="5" t="s">
        <v>27</v>
      </c>
    </row>
    <row r="29" spans="1:5" x14ac:dyDescent="0.25">
      <c r="A29" s="9">
        <v>46023</v>
      </c>
      <c r="B29" s="10">
        <f>SUMIFS(Transacciones!$G$5:$G$500,Transacciones!$B$5:$B$500,"Ingreso",Transacciones!$A$5:$A$500,"&gt;="&amp;A29,Transacciones!$A$5:$A$500,"&lt;="&amp;DATE(YEAR(A29),MONTH(A29)+1,0))</f>
        <v>2608.1999999999998</v>
      </c>
      <c r="C29" s="10">
        <f>SUMIFS(Transacciones!$G$5:$G$500,Transacciones!$B$5:$B$500,"Gasto",Transacciones!$A$5:$A$500,"&gt;="&amp;A29,Transacciones!$A$5:$A$500,"&lt;="&amp;DATE(YEAR(A29),MONTH(A29)+1,0))</f>
        <v>1101.74</v>
      </c>
      <c r="D29" s="10">
        <f t="shared" ref="D29:D40" si="0">B29-C29</f>
        <v>1506.4599999999998</v>
      </c>
      <c r="E29" s="10">
        <f>Config!$B$7+SUMIFS(Transacciones!$L$5:$L$500,Transacciones!$A$5:$A$500,"&lt;="&amp;DATE(YEAR(A29),MONTH(A29)+1,0))</f>
        <v>6386.46</v>
      </c>
    </row>
    <row r="30" spans="1:5" x14ac:dyDescent="0.25">
      <c r="A30" s="9">
        <v>46054</v>
      </c>
      <c r="B30" s="10">
        <f>SUMIFS(Transacciones!$G$5:$G$500,Transacciones!$B$5:$B$500,"Ingreso",Transacciones!$A$5:$A$500,"&gt;="&amp;A30,Transacciones!$A$5:$A$500,"&lt;="&amp;DATE(YEAR(A30),MONTH(A30)+1,0))</f>
        <v>2150</v>
      </c>
      <c r="C30" s="10">
        <f>SUMIFS(Transacciones!$G$5:$G$500,Transacciones!$B$5:$B$500,"Gasto",Transacciones!$A$5:$A$500,"&gt;="&amp;A30,Transacciones!$A$5:$A$500,"&lt;="&amp;DATE(YEAR(A30),MONTH(A30)+1,0))</f>
        <v>183.45000000000002</v>
      </c>
      <c r="D30" s="10">
        <f t="shared" si="0"/>
        <v>1966.55</v>
      </c>
      <c r="E30" s="10">
        <f>Config!$B$7+SUMIFS(Transacciones!$L$5:$L$500,Transacciones!$A$5:$A$500,"&lt;="&amp;DATE(YEAR(A30),MONTH(A30)+1,0))</f>
        <v>8353.01</v>
      </c>
    </row>
    <row r="31" spans="1:5" x14ac:dyDescent="0.25">
      <c r="A31" s="9">
        <v>46082</v>
      </c>
      <c r="B31" s="10">
        <f>SUMIFS(Transacciones!$G$5:$G$500,Transacciones!$B$5:$B$500,"Ingreso",Transacciones!$A$5:$A$500,"&gt;="&amp;A31,Transacciones!$A$5:$A$500,"&lt;="&amp;DATE(YEAR(A31),MONTH(A31)+1,0))</f>
        <v>0</v>
      </c>
      <c r="C31" s="10">
        <f>SUMIFS(Transacciones!$G$5:$G$500,Transacciones!$B$5:$B$500,"Gasto",Transacciones!$A$5:$A$500,"&gt;="&amp;A31,Transacciones!$A$5:$A$500,"&lt;="&amp;DATE(YEAR(A31),MONTH(A31)+1,0))</f>
        <v>0</v>
      </c>
      <c r="D31" s="10">
        <f t="shared" si="0"/>
        <v>0</v>
      </c>
      <c r="E31" s="10">
        <f>Config!$B$7+SUMIFS(Transacciones!$L$5:$L$500,Transacciones!$A$5:$A$500,"&lt;="&amp;DATE(YEAR(A31),MONTH(A31)+1,0))</f>
        <v>8353.01</v>
      </c>
    </row>
    <row r="32" spans="1:5" x14ac:dyDescent="0.25">
      <c r="A32" s="9">
        <v>46113</v>
      </c>
      <c r="B32" s="10">
        <f>SUMIFS(Transacciones!$G$5:$G$500,Transacciones!$B$5:$B$500,"Ingreso",Transacciones!$A$5:$A$500,"&gt;="&amp;A32,Transacciones!$A$5:$A$500,"&lt;="&amp;DATE(YEAR(A32),MONTH(A32)+1,0))</f>
        <v>0</v>
      </c>
      <c r="C32" s="10">
        <f>SUMIFS(Transacciones!$G$5:$G$500,Transacciones!$B$5:$B$500,"Gasto",Transacciones!$A$5:$A$500,"&gt;="&amp;A32,Transacciones!$A$5:$A$500,"&lt;="&amp;DATE(YEAR(A32),MONTH(A32)+1,0))</f>
        <v>0</v>
      </c>
      <c r="D32" s="10">
        <f t="shared" si="0"/>
        <v>0</v>
      </c>
      <c r="E32" s="10">
        <f>Config!$B$7+SUMIFS(Transacciones!$L$5:$L$500,Transacciones!$A$5:$A$500,"&lt;="&amp;DATE(YEAR(A32),MONTH(A32)+1,0))</f>
        <v>8353.01</v>
      </c>
    </row>
    <row r="33" spans="1:5" x14ac:dyDescent="0.25">
      <c r="A33" s="9">
        <v>46143</v>
      </c>
      <c r="B33" s="10">
        <f>SUMIFS(Transacciones!$G$5:$G$500,Transacciones!$B$5:$B$500,"Ingreso",Transacciones!$A$5:$A$500,"&gt;="&amp;A33,Transacciones!$A$5:$A$500,"&lt;="&amp;DATE(YEAR(A33),MONTH(A33)+1,0))</f>
        <v>0</v>
      </c>
      <c r="C33" s="10">
        <f>SUMIFS(Transacciones!$G$5:$G$500,Transacciones!$B$5:$B$500,"Gasto",Transacciones!$A$5:$A$500,"&gt;="&amp;A33,Transacciones!$A$5:$A$500,"&lt;="&amp;DATE(YEAR(A33),MONTH(A33)+1,0))</f>
        <v>0</v>
      </c>
      <c r="D33" s="10">
        <f t="shared" si="0"/>
        <v>0</v>
      </c>
      <c r="E33" s="10">
        <f>Config!$B$7+SUMIFS(Transacciones!$L$5:$L$500,Transacciones!$A$5:$A$500,"&lt;="&amp;DATE(YEAR(A33),MONTH(A33)+1,0))</f>
        <v>8353.01</v>
      </c>
    </row>
    <row r="34" spans="1:5" x14ac:dyDescent="0.25">
      <c r="A34" s="9">
        <v>46174</v>
      </c>
      <c r="B34" s="10">
        <f>SUMIFS(Transacciones!$G$5:$G$500,Transacciones!$B$5:$B$500,"Ingreso",Transacciones!$A$5:$A$500,"&gt;="&amp;A34,Transacciones!$A$5:$A$500,"&lt;="&amp;DATE(YEAR(A34),MONTH(A34)+1,0))</f>
        <v>0</v>
      </c>
      <c r="C34" s="10">
        <f>SUMIFS(Transacciones!$G$5:$G$500,Transacciones!$B$5:$B$500,"Gasto",Transacciones!$A$5:$A$500,"&gt;="&amp;A34,Transacciones!$A$5:$A$500,"&lt;="&amp;DATE(YEAR(A34),MONTH(A34)+1,0))</f>
        <v>0</v>
      </c>
      <c r="D34" s="10">
        <f t="shared" si="0"/>
        <v>0</v>
      </c>
      <c r="E34" s="10">
        <f>Config!$B$7+SUMIFS(Transacciones!$L$5:$L$500,Transacciones!$A$5:$A$500,"&lt;="&amp;DATE(YEAR(A34),MONTH(A34)+1,0))</f>
        <v>8353.01</v>
      </c>
    </row>
    <row r="35" spans="1:5" x14ac:dyDescent="0.25">
      <c r="A35" s="9">
        <v>46204</v>
      </c>
      <c r="B35" s="10">
        <f>SUMIFS(Transacciones!$G$5:$G$500,Transacciones!$B$5:$B$500,"Ingreso",Transacciones!$A$5:$A$500,"&gt;="&amp;A35,Transacciones!$A$5:$A$500,"&lt;="&amp;DATE(YEAR(A35),MONTH(A35)+1,0))</f>
        <v>0</v>
      </c>
      <c r="C35" s="10">
        <f>SUMIFS(Transacciones!$G$5:$G$500,Transacciones!$B$5:$B$500,"Gasto",Transacciones!$A$5:$A$500,"&gt;="&amp;A35,Transacciones!$A$5:$A$500,"&lt;="&amp;DATE(YEAR(A35),MONTH(A35)+1,0))</f>
        <v>0</v>
      </c>
      <c r="D35" s="10">
        <f t="shared" si="0"/>
        <v>0</v>
      </c>
      <c r="E35" s="10">
        <f>Config!$B$7+SUMIFS(Transacciones!$L$5:$L$500,Transacciones!$A$5:$A$500,"&lt;="&amp;DATE(YEAR(A35),MONTH(A35)+1,0))</f>
        <v>8353.01</v>
      </c>
    </row>
    <row r="36" spans="1:5" x14ac:dyDescent="0.25">
      <c r="A36" s="9">
        <v>46235</v>
      </c>
      <c r="B36" s="10">
        <f>SUMIFS(Transacciones!$G$5:$G$500,Transacciones!$B$5:$B$500,"Ingreso",Transacciones!$A$5:$A$500,"&gt;="&amp;A36,Transacciones!$A$5:$A$500,"&lt;="&amp;DATE(YEAR(A36),MONTH(A36)+1,0))</f>
        <v>0</v>
      </c>
      <c r="C36" s="10">
        <f>SUMIFS(Transacciones!$G$5:$G$500,Transacciones!$B$5:$B$500,"Gasto",Transacciones!$A$5:$A$500,"&gt;="&amp;A36,Transacciones!$A$5:$A$500,"&lt;="&amp;DATE(YEAR(A36),MONTH(A36)+1,0))</f>
        <v>0</v>
      </c>
      <c r="D36" s="10">
        <f t="shared" si="0"/>
        <v>0</v>
      </c>
      <c r="E36" s="10">
        <f>Config!$B$7+SUMIFS(Transacciones!$L$5:$L$500,Transacciones!$A$5:$A$500,"&lt;="&amp;DATE(YEAR(A36),MONTH(A36)+1,0))</f>
        <v>8353.01</v>
      </c>
    </row>
    <row r="37" spans="1:5" x14ac:dyDescent="0.25">
      <c r="A37" s="9">
        <v>46266</v>
      </c>
      <c r="B37" s="10">
        <f>SUMIFS(Transacciones!$G$5:$G$500,Transacciones!$B$5:$B$500,"Ingreso",Transacciones!$A$5:$A$500,"&gt;="&amp;A37,Transacciones!$A$5:$A$500,"&lt;="&amp;DATE(YEAR(A37),MONTH(A37)+1,0))</f>
        <v>0</v>
      </c>
      <c r="C37" s="10">
        <f>SUMIFS(Transacciones!$G$5:$G$500,Transacciones!$B$5:$B$500,"Gasto",Transacciones!$A$5:$A$500,"&gt;="&amp;A37,Transacciones!$A$5:$A$500,"&lt;="&amp;DATE(YEAR(A37),MONTH(A37)+1,0))</f>
        <v>0</v>
      </c>
      <c r="D37" s="10">
        <f t="shared" si="0"/>
        <v>0</v>
      </c>
      <c r="E37" s="10">
        <f>Config!$B$7+SUMIFS(Transacciones!$L$5:$L$500,Transacciones!$A$5:$A$500,"&lt;="&amp;DATE(YEAR(A37),MONTH(A37)+1,0))</f>
        <v>8353.01</v>
      </c>
    </row>
    <row r="38" spans="1:5" x14ac:dyDescent="0.25">
      <c r="A38" s="9">
        <v>46296</v>
      </c>
      <c r="B38" s="10">
        <f>SUMIFS(Transacciones!$G$5:$G$500,Transacciones!$B$5:$B$500,"Ingreso",Transacciones!$A$5:$A$500,"&gt;="&amp;A38,Transacciones!$A$5:$A$500,"&lt;="&amp;DATE(YEAR(A38),MONTH(A38)+1,0))</f>
        <v>0</v>
      </c>
      <c r="C38" s="10">
        <f>SUMIFS(Transacciones!$G$5:$G$500,Transacciones!$B$5:$B$500,"Gasto",Transacciones!$A$5:$A$500,"&gt;="&amp;A38,Transacciones!$A$5:$A$500,"&lt;="&amp;DATE(YEAR(A38),MONTH(A38)+1,0))</f>
        <v>0</v>
      </c>
      <c r="D38" s="10">
        <f t="shared" si="0"/>
        <v>0</v>
      </c>
      <c r="E38" s="10">
        <f>Config!$B$7+SUMIFS(Transacciones!$L$5:$L$500,Transacciones!$A$5:$A$500,"&lt;="&amp;DATE(YEAR(A38),MONTH(A38)+1,0))</f>
        <v>8353.01</v>
      </c>
    </row>
    <row r="39" spans="1:5" x14ac:dyDescent="0.25">
      <c r="A39" s="9">
        <v>46327</v>
      </c>
      <c r="B39" s="10">
        <f>SUMIFS(Transacciones!$G$5:$G$500,Transacciones!$B$5:$B$500,"Ingreso",Transacciones!$A$5:$A$500,"&gt;="&amp;A39,Transacciones!$A$5:$A$500,"&lt;="&amp;DATE(YEAR(A39),MONTH(A39)+1,0))</f>
        <v>0</v>
      </c>
      <c r="C39" s="10">
        <f>SUMIFS(Transacciones!$G$5:$G$500,Transacciones!$B$5:$B$500,"Gasto",Transacciones!$A$5:$A$500,"&gt;="&amp;A39,Transacciones!$A$5:$A$500,"&lt;="&amp;DATE(YEAR(A39),MONTH(A39)+1,0))</f>
        <v>0</v>
      </c>
      <c r="D39" s="10">
        <f t="shared" si="0"/>
        <v>0</v>
      </c>
      <c r="E39" s="10">
        <f>Config!$B$7+SUMIFS(Transacciones!$L$5:$L$500,Transacciones!$A$5:$A$500,"&lt;="&amp;DATE(YEAR(A39),MONTH(A39)+1,0))</f>
        <v>8353.01</v>
      </c>
    </row>
    <row r="40" spans="1:5" x14ac:dyDescent="0.25">
      <c r="A40" s="9">
        <v>46357</v>
      </c>
      <c r="B40" s="10">
        <f>SUMIFS(Transacciones!$G$5:$G$500,Transacciones!$B$5:$B$500,"Ingreso",Transacciones!$A$5:$A$500,"&gt;="&amp;A40,Transacciones!$A$5:$A$500,"&lt;="&amp;DATE(YEAR(A40),MONTH(A40)+1,0))</f>
        <v>0</v>
      </c>
      <c r="C40" s="10">
        <f>SUMIFS(Transacciones!$G$5:$G$500,Transacciones!$B$5:$B$500,"Gasto",Transacciones!$A$5:$A$500,"&gt;="&amp;A40,Transacciones!$A$5:$A$500,"&lt;="&amp;DATE(YEAR(A40),MONTH(A40)+1,0))</f>
        <v>0</v>
      </c>
      <c r="D40" s="10">
        <f t="shared" si="0"/>
        <v>0</v>
      </c>
      <c r="E40" s="10">
        <f>Config!$B$7+SUMIFS(Transacciones!$L$5:$L$500,Transacciones!$A$5:$A$500,"&lt;="&amp;DATE(YEAR(A40),MONTH(A40)+1,0))</f>
        <v>8353.01</v>
      </c>
    </row>
  </sheetData>
  <mergeCells count="25">
    <mergeCell ref="A27:E27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A15:E15"/>
    <mergeCell ref="D11:E11"/>
    <mergeCell ref="A11:B11"/>
    <mergeCell ref="G11:H11"/>
    <mergeCell ref="D12:E13"/>
    <mergeCell ref="D8:E9"/>
    <mergeCell ref="A12:B13"/>
    <mergeCell ref="D7:E7"/>
    <mergeCell ref="A7:B7"/>
    <mergeCell ref="G7:H7"/>
    <mergeCell ref="G12:H13"/>
    <mergeCell ref="G8:H9"/>
    <mergeCell ref="A8:B9"/>
    <mergeCell ref="A1:N1"/>
  </mergeCells>
  <dataValidations count="1">
    <dataValidation type="list" sqref="B3" xr:uid="{00000000-0002-0000-0000-000000000000}">
      <formula1>ListaMeses</formula1>
    </dataValidation>
  </dataValidation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9"/>
  <sheetViews>
    <sheetView showGridLines="0" workbookViewId="0">
      <pane ySplit="4" topLeftCell="A5" activePane="bottomLeft" state="frozen"/>
      <selection pane="bottomLeft" sqref="A1:M1"/>
    </sheetView>
  </sheetViews>
  <sheetFormatPr baseColWidth="10" defaultColWidth="9.140625" defaultRowHeight="15" x14ac:dyDescent="0.25"/>
  <cols>
    <col min="1" max="2" width="12" customWidth="1"/>
    <col min="3" max="4" width="18" customWidth="1"/>
    <col min="5" max="5" width="16" customWidth="1"/>
    <col min="6" max="6" width="28" customWidth="1"/>
    <col min="7" max="7" width="12" customWidth="1"/>
    <col min="8" max="9" width="16" customWidth="1"/>
    <col min="10" max="10" width="12" customWidth="1"/>
    <col min="11" max="11" width="8" customWidth="1"/>
    <col min="12" max="13" width="14" customWidth="1"/>
  </cols>
  <sheetData>
    <row r="1" spans="1:13" x14ac:dyDescent="0.25">
      <c r="A1" s="18" t="s">
        <v>28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x14ac:dyDescent="0.25">
      <c r="A2" s="29" t="s">
        <v>29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4" spans="1:13" ht="30" x14ac:dyDescent="0.25">
      <c r="A4" s="11" t="s">
        <v>30</v>
      </c>
      <c r="B4" s="11" t="s">
        <v>31</v>
      </c>
      <c r="C4" s="11" t="s">
        <v>32</v>
      </c>
      <c r="D4" s="11" t="s">
        <v>10</v>
      </c>
      <c r="E4" s="11" t="s">
        <v>33</v>
      </c>
      <c r="F4" s="11" t="s">
        <v>34</v>
      </c>
      <c r="G4" s="11" t="s">
        <v>35</v>
      </c>
      <c r="H4" s="11" t="s">
        <v>36</v>
      </c>
      <c r="I4" s="11" t="s">
        <v>37</v>
      </c>
      <c r="J4" s="11" t="s">
        <v>23</v>
      </c>
      <c r="K4" s="11" t="s">
        <v>38</v>
      </c>
      <c r="L4" s="11" t="s">
        <v>39</v>
      </c>
      <c r="M4" s="11" t="s">
        <v>40</v>
      </c>
    </row>
    <row r="5" spans="1:13" x14ac:dyDescent="0.25">
      <c r="A5" s="12">
        <v>46025</v>
      </c>
      <c r="B5" s="6" t="s">
        <v>41</v>
      </c>
      <c r="C5" s="6" t="s">
        <v>42</v>
      </c>
      <c r="D5" s="6" t="s">
        <v>43</v>
      </c>
      <c r="E5" s="6" t="s">
        <v>44</v>
      </c>
      <c r="F5" s="6" t="s">
        <v>45</v>
      </c>
      <c r="G5" s="7">
        <v>2150</v>
      </c>
      <c r="H5" s="6" t="s">
        <v>46</v>
      </c>
      <c r="I5" s="6" t="s">
        <v>47</v>
      </c>
      <c r="J5" s="13" t="str">
        <f t="shared" ref="J5:J19" si="0">TEXT(A5,"mmm")</f>
        <v>ene</v>
      </c>
      <c r="K5" s="13">
        <f t="shared" ref="K5:K19" si="1">YEAR(A5)</f>
        <v>2026</v>
      </c>
      <c r="L5" s="10">
        <f t="shared" ref="L5:L19" si="2">IF(B5="Gasto",-G5,IF(B5="Ingreso",G5,0))</f>
        <v>2150</v>
      </c>
      <c r="M5" s="10">
        <f>Config!$B$7+SUM($L$5:L5)</f>
        <v>7030</v>
      </c>
    </row>
    <row r="6" spans="1:13" x14ac:dyDescent="0.25">
      <c r="A6" s="12">
        <v>46026</v>
      </c>
      <c r="B6" s="6" t="s">
        <v>48</v>
      </c>
      <c r="C6" s="6" t="s">
        <v>42</v>
      </c>
      <c r="D6" s="6" t="s">
        <v>13</v>
      </c>
      <c r="E6" s="6" t="s">
        <v>49</v>
      </c>
      <c r="F6" s="6" t="s">
        <v>50</v>
      </c>
      <c r="G6" s="7">
        <v>920</v>
      </c>
      <c r="H6" s="6" t="s">
        <v>51</v>
      </c>
      <c r="I6" s="6"/>
      <c r="J6" s="13" t="str">
        <f t="shared" si="0"/>
        <v>ene</v>
      </c>
      <c r="K6" s="13">
        <f t="shared" si="1"/>
        <v>2026</v>
      </c>
      <c r="L6" s="10">
        <f t="shared" si="2"/>
        <v>-920</v>
      </c>
      <c r="M6" s="10">
        <f>Config!$B$7+SUM($L$5:L6)</f>
        <v>6110</v>
      </c>
    </row>
    <row r="7" spans="1:13" x14ac:dyDescent="0.25">
      <c r="A7" s="12">
        <v>46028</v>
      </c>
      <c r="B7" s="6" t="s">
        <v>48</v>
      </c>
      <c r="C7" s="6" t="s">
        <v>52</v>
      </c>
      <c r="D7" s="6" t="s">
        <v>14</v>
      </c>
      <c r="E7" s="6" t="s">
        <v>53</v>
      </c>
      <c r="F7" s="6" t="s">
        <v>54</v>
      </c>
      <c r="G7" s="7">
        <v>76.45</v>
      </c>
      <c r="H7" s="6" t="s">
        <v>55</v>
      </c>
      <c r="I7" s="6"/>
      <c r="J7" s="13" t="str">
        <f t="shared" si="0"/>
        <v>ene</v>
      </c>
      <c r="K7" s="13">
        <f t="shared" si="1"/>
        <v>2026</v>
      </c>
      <c r="L7" s="10">
        <f t="shared" si="2"/>
        <v>-76.45</v>
      </c>
      <c r="M7" s="10">
        <f>Config!$B$7+SUM($L$5:L7)</f>
        <v>6033.55</v>
      </c>
    </row>
    <row r="8" spans="1:13" ht="30" x14ac:dyDescent="0.25">
      <c r="A8" s="12">
        <v>46030</v>
      </c>
      <c r="B8" s="6" t="s">
        <v>48</v>
      </c>
      <c r="C8" s="6" t="s">
        <v>52</v>
      </c>
      <c r="D8" s="6" t="s">
        <v>15</v>
      </c>
      <c r="E8" s="6" t="s">
        <v>56</v>
      </c>
      <c r="F8" s="6" t="s">
        <v>57</v>
      </c>
      <c r="G8" s="7">
        <v>49</v>
      </c>
      <c r="H8" s="6" t="s">
        <v>55</v>
      </c>
      <c r="I8" s="6"/>
      <c r="J8" s="13" t="str">
        <f t="shared" si="0"/>
        <v>ene</v>
      </c>
      <c r="K8" s="13">
        <f t="shared" si="1"/>
        <v>2026</v>
      </c>
      <c r="L8" s="10">
        <f t="shared" si="2"/>
        <v>-49</v>
      </c>
      <c r="M8" s="10">
        <f>Config!$B$7+SUM($L$5:L8)</f>
        <v>5984.55</v>
      </c>
    </row>
    <row r="9" spans="1:13" x14ac:dyDescent="0.25">
      <c r="A9" s="12">
        <v>46032</v>
      </c>
      <c r="B9" s="6" t="s">
        <v>48</v>
      </c>
      <c r="C9" s="6" t="s">
        <v>52</v>
      </c>
      <c r="D9" s="6" t="s">
        <v>20</v>
      </c>
      <c r="E9" s="6" t="s">
        <v>58</v>
      </c>
      <c r="F9" s="6" t="s">
        <v>59</v>
      </c>
      <c r="G9" s="7">
        <v>12.99</v>
      </c>
      <c r="H9" s="6" t="s">
        <v>55</v>
      </c>
      <c r="I9" s="6"/>
      <c r="J9" s="13" t="str">
        <f t="shared" si="0"/>
        <v>ene</v>
      </c>
      <c r="K9" s="13">
        <f t="shared" si="1"/>
        <v>2026</v>
      </c>
      <c r="L9" s="10">
        <f t="shared" si="2"/>
        <v>-12.99</v>
      </c>
      <c r="M9" s="10">
        <f>Config!$B$7+SUM($L$5:L9)</f>
        <v>5971.5599999999995</v>
      </c>
    </row>
    <row r="10" spans="1:13" x14ac:dyDescent="0.25">
      <c r="A10" s="12">
        <v>46034</v>
      </c>
      <c r="B10" s="6" t="s">
        <v>41</v>
      </c>
      <c r="C10" s="6" t="s">
        <v>42</v>
      </c>
      <c r="D10" s="6" t="s">
        <v>60</v>
      </c>
      <c r="E10" s="6" t="s">
        <v>16</v>
      </c>
      <c r="F10" s="6" t="s">
        <v>61</v>
      </c>
      <c r="G10" s="7">
        <v>38.200000000000003</v>
      </c>
      <c r="H10" s="6" t="s">
        <v>46</v>
      </c>
      <c r="I10" s="6"/>
      <c r="J10" s="13" t="str">
        <f t="shared" si="0"/>
        <v>ene</v>
      </c>
      <c r="K10" s="13">
        <f t="shared" si="1"/>
        <v>2026</v>
      </c>
      <c r="L10" s="10">
        <f t="shared" si="2"/>
        <v>38.200000000000003</v>
      </c>
      <c r="M10" s="10">
        <f>Config!$B$7+SUM($L$5:L10)</f>
        <v>6009.76</v>
      </c>
    </row>
    <row r="11" spans="1:13" x14ac:dyDescent="0.25">
      <c r="A11" s="12">
        <v>46037</v>
      </c>
      <c r="B11" s="6" t="s">
        <v>48</v>
      </c>
      <c r="C11" s="6" t="s">
        <v>52</v>
      </c>
      <c r="D11" s="6" t="s">
        <v>17</v>
      </c>
      <c r="E11" s="6" t="s">
        <v>62</v>
      </c>
      <c r="F11" s="6" t="s">
        <v>63</v>
      </c>
      <c r="G11" s="7">
        <v>19.5</v>
      </c>
      <c r="H11" s="6" t="s">
        <v>55</v>
      </c>
      <c r="I11" s="6"/>
      <c r="J11" s="13" t="str">
        <f t="shared" si="0"/>
        <v>ene</v>
      </c>
      <c r="K11" s="13">
        <f t="shared" si="1"/>
        <v>2026</v>
      </c>
      <c r="L11" s="10">
        <f t="shared" si="2"/>
        <v>-19.5</v>
      </c>
      <c r="M11" s="10">
        <f>Config!$B$7+SUM($L$5:L11)</f>
        <v>5990.26</v>
      </c>
    </row>
    <row r="12" spans="1:13" x14ac:dyDescent="0.25">
      <c r="A12" s="12">
        <v>46040</v>
      </c>
      <c r="B12" s="6" t="s">
        <v>48</v>
      </c>
      <c r="C12" s="6" t="s">
        <v>52</v>
      </c>
      <c r="D12" s="6" t="s">
        <v>19</v>
      </c>
      <c r="E12" s="6" t="s">
        <v>64</v>
      </c>
      <c r="F12" s="6" t="s">
        <v>65</v>
      </c>
      <c r="G12" s="7">
        <v>23.8</v>
      </c>
      <c r="H12" s="6" t="s">
        <v>55</v>
      </c>
      <c r="I12" s="6"/>
      <c r="J12" s="13" t="str">
        <f t="shared" si="0"/>
        <v>ene</v>
      </c>
      <c r="K12" s="13">
        <f t="shared" si="1"/>
        <v>2026</v>
      </c>
      <c r="L12" s="10">
        <f t="shared" si="2"/>
        <v>-23.8</v>
      </c>
      <c r="M12" s="10">
        <f>Config!$B$7+SUM($L$5:L12)</f>
        <v>5966.46</v>
      </c>
    </row>
    <row r="13" spans="1:13" x14ac:dyDescent="0.25">
      <c r="A13" s="12">
        <v>46047</v>
      </c>
      <c r="B13" s="6" t="s">
        <v>41</v>
      </c>
      <c r="C13" s="6" t="s">
        <v>42</v>
      </c>
      <c r="D13" s="6" t="s">
        <v>66</v>
      </c>
      <c r="E13" s="6" t="s">
        <v>67</v>
      </c>
      <c r="F13" s="6" t="s">
        <v>68</v>
      </c>
      <c r="G13" s="7">
        <v>420</v>
      </c>
      <c r="H13" s="6" t="s">
        <v>46</v>
      </c>
      <c r="I13" s="6" t="s">
        <v>69</v>
      </c>
      <c r="J13" s="13" t="str">
        <f t="shared" si="0"/>
        <v>ene</v>
      </c>
      <c r="K13" s="13">
        <f t="shared" si="1"/>
        <v>2026</v>
      </c>
      <c r="L13" s="10">
        <f t="shared" si="2"/>
        <v>420</v>
      </c>
      <c r="M13" s="10">
        <f>Config!$B$7+SUM($L$5:L13)</f>
        <v>6386.46</v>
      </c>
    </row>
    <row r="14" spans="1:13" x14ac:dyDescent="0.25">
      <c r="A14" s="12">
        <v>46054</v>
      </c>
      <c r="B14" s="6" t="s">
        <v>48</v>
      </c>
      <c r="C14" s="6" t="s">
        <v>42</v>
      </c>
      <c r="D14" s="6" t="s">
        <v>13</v>
      </c>
      <c r="E14" s="6" t="s">
        <v>70</v>
      </c>
      <c r="F14" s="6" t="s">
        <v>71</v>
      </c>
      <c r="G14" s="7">
        <v>58.1</v>
      </c>
      <c r="H14" s="6" t="s">
        <v>51</v>
      </c>
      <c r="I14" s="6" t="s">
        <v>72</v>
      </c>
      <c r="J14" s="13" t="str">
        <f t="shared" si="0"/>
        <v>feb</v>
      </c>
      <c r="K14" s="13">
        <f t="shared" si="1"/>
        <v>2026</v>
      </c>
      <c r="L14" s="10">
        <f t="shared" si="2"/>
        <v>-58.1</v>
      </c>
      <c r="M14" s="10">
        <f>Config!$B$7+SUM($L$5:L14)</f>
        <v>6328.3600000000006</v>
      </c>
    </row>
    <row r="15" spans="1:13" x14ac:dyDescent="0.25">
      <c r="A15" s="12">
        <v>46055</v>
      </c>
      <c r="B15" s="6" t="s">
        <v>48</v>
      </c>
      <c r="C15" s="6" t="s">
        <v>52</v>
      </c>
      <c r="D15" s="6" t="s">
        <v>14</v>
      </c>
      <c r="E15" s="6" t="s">
        <v>53</v>
      </c>
      <c r="F15" s="6" t="s">
        <v>54</v>
      </c>
      <c r="G15" s="7">
        <v>64.3</v>
      </c>
      <c r="H15" s="6" t="s">
        <v>55</v>
      </c>
      <c r="I15" s="6"/>
      <c r="J15" s="13" t="str">
        <f t="shared" si="0"/>
        <v>feb</v>
      </c>
      <c r="K15" s="13">
        <f t="shared" si="1"/>
        <v>2026</v>
      </c>
      <c r="L15" s="10">
        <f t="shared" si="2"/>
        <v>-64.3</v>
      </c>
      <c r="M15" s="10">
        <f>Config!$B$7+SUM($L$5:L15)</f>
        <v>6264.06</v>
      </c>
    </row>
    <row r="16" spans="1:13" x14ac:dyDescent="0.25">
      <c r="A16" s="12">
        <v>46058</v>
      </c>
      <c r="B16" s="6" t="s">
        <v>48</v>
      </c>
      <c r="C16" s="6" t="s">
        <v>52</v>
      </c>
      <c r="D16" s="6" t="s">
        <v>16</v>
      </c>
      <c r="E16" s="6" t="s">
        <v>73</v>
      </c>
      <c r="F16" s="6" t="s">
        <v>74</v>
      </c>
      <c r="G16" s="7">
        <v>14.25</v>
      </c>
      <c r="H16" s="6" t="s">
        <v>55</v>
      </c>
      <c r="I16" s="6"/>
      <c r="J16" s="13" t="str">
        <f t="shared" si="0"/>
        <v>feb</v>
      </c>
      <c r="K16" s="13">
        <f t="shared" si="1"/>
        <v>2026</v>
      </c>
      <c r="L16" s="10">
        <f t="shared" si="2"/>
        <v>-14.25</v>
      </c>
      <c r="M16" s="10">
        <f>Config!$B$7+SUM($L$5:L16)</f>
        <v>6249.81</v>
      </c>
    </row>
    <row r="17" spans="1:13" x14ac:dyDescent="0.25">
      <c r="A17" s="12">
        <v>46059</v>
      </c>
      <c r="B17" s="6" t="s">
        <v>41</v>
      </c>
      <c r="C17" s="6" t="s">
        <v>42</v>
      </c>
      <c r="D17" s="6" t="s">
        <v>43</v>
      </c>
      <c r="E17" s="6" t="s">
        <v>44</v>
      </c>
      <c r="F17" s="6" t="s">
        <v>45</v>
      </c>
      <c r="G17" s="7">
        <v>2150</v>
      </c>
      <c r="H17" s="6" t="s">
        <v>46</v>
      </c>
      <c r="I17" s="6"/>
      <c r="J17" s="13" t="str">
        <f t="shared" si="0"/>
        <v>feb</v>
      </c>
      <c r="K17" s="13">
        <f t="shared" si="1"/>
        <v>2026</v>
      </c>
      <c r="L17" s="10">
        <f t="shared" si="2"/>
        <v>2150</v>
      </c>
      <c r="M17" s="10">
        <f>Config!$B$7+SUM($L$5:L17)</f>
        <v>8399.8100000000013</v>
      </c>
    </row>
    <row r="18" spans="1:13" x14ac:dyDescent="0.25">
      <c r="A18" s="12">
        <v>46060</v>
      </c>
      <c r="B18" s="6" t="s">
        <v>48</v>
      </c>
      <c r="C18" s="6" t="s">
        <v>52</v>
      </c>
      <c r="D18" s="6" t="s">
        <v>18</v>
      </c>
      <c r="E18" s="6" t="s">
        <v>75</v>
      </c>
      <c r="F18" s="6" t="s">
        <v>76</v>
      </c>
      <c r="G18" s="7">
        <v>39</v>
      </c>
      <c r="H18" s="6" t="s">
        <v>55</v>
      </c>
      <c r="I18" s="6"/>
      <c r="J18" s="13" t="str">
        <f t="shared" si="0"/>
        <v>feb</v>
      </c>
      <c r="K18" s="13">
        <f t="shared" si="1"/>
        <v>2026</v>
      </c>
      <c r="L18" s="10">
        <f t="shared" si="2"/>
        <v>-39</v>
      </c>
      <c r="M18" s="10">
        <f>Config!$B$7+SUM($L$5:L18)</f>
        <v>8360.8100000000013</v>
      </c>
    </row>
    <row r="19" spans="1:13" x14ac:dyDescent="0.25">
      <c r="A19" s="12">
        <v>46062</v>
      </c>
      <c r="B19" s="6" t="s">
        <v>48</v>
      </c>
      <c r="C19" s="6" t="s">
        <v>52</v>
      </c>
      <c r="D19" s="6" t="s">
        <v>17</v>
      </c>
      <c r="E19" s="6" t="s">
        <v>77</v>
      </c>
      <c r="F19" s="6" t="s">
        <v>78</v>
      </c>
      <c r="G19" s="7">
        <v>7.8</v>
      </c>
      <c r="H19" s="6" t="s">
        <v>79</v>
      </c>
      <c r="I19" s="6" t="s">
        <v>80</v>
      </c>
      <c r="J19" s="13" t="str">
        <f t="shared" si="0"/>
        <v>feb</v>
      </c>
      <c r="K19" s="13">
        <f t="shared" si="1"/>
        <v>2026</v>
      </c>
      <c r="L19" s="10">
        <f t="shared" si="2"/>
        <v>-7.8</v>
      </c>
      <c r="M19" s="10">
        <f>Config!$B$7+SUM($L$5:L19)</f>
        <v>8353.01</v>
      </c>
    </row>
  </sheetData>
  <mergeCells count="2">
    <mergeCell ref="A2:M2"/>
    <mergeCell ref="A1:M1"/>
  </mergeCells>
  <dataValidations count="4">
    <dataValidation type="list" showErrorMessage="1" errorTitle="Valor no válido" error="Selecciona un valor del desplegable." sqref="B5:B500" xr:uid="{00000000-0002-0000-0100-000000000000}">
      <formula1>ListaTipos</formula1>
    </dataValidation>
    <dataValidation type="list" showErrorMessage="1" errorTitle="Valor no válido" error="Selecciona un valor del desplegable." sqref="C5:C500" xr:uid="{00000000-0002-0000-0100-000001000000}">
      <formula1>ListaCuentas</formula1>
    </dataValidation>
    <dataValidation type="list" showErrorMessage="1" errorTitle="Valor no válido" error="Selecciona un valor del desplegable." sqref="D5:D500" xr:uid="{00000000-0002-0000-0100-000002000000}">
      <formula1>ListaCategorias</formula1>
    </dataValidation>
    <dataValidation type="list" allowBlank="1" showErrorMessage="1" errorTitle="Valor no válido" error="Selecciona un valor del desplegable." sqref="H5:H500" xr:uid="{00000000-0002-0000-0100-000003000000}">
      <formula1>ListaMetodos</formula1>
    </dataValidation>
  </dataValidations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"/>
  <sheetViews>
    <sheetView showGridLines="0" workbookViewId="0">
      <pane ySplit="4" topLeftCell="A5" activePane="bottomLeft" state="frozen"/>
      <selection pane="bottomLeft" sqref="A1:G1"/>
    </sheetView>
  </sheetViews>
  <sheetFormatPr baseColWidth="10" defaultColWidth="9.140625" defaultRowHeight="15" x14ac:dyDescent="0.25"/>
  <cols>
    <col min="1" max="1" width="12" customWidth="1"/>
    <col min="2" max="2" width="18" customWidth="1"/>
    <col min="3" max="5" width="14" customWidth="1"/>
    <col min="6" max="6" width="12" customWidth="1"/>
    <col min="7" max="7" width="24" customWidth="1"/>
  </cols>
  <sheetData>
    <row r="1" spans="1:7" x14ac:dyDescent="0.25">
      <c r="A1" s="18" t="s">
        <v>81</v>
      </c>
      <c r="B1" s="19"/>
      <c r="C1" s="19"/>
      <c r="D1" s="19"/>
      <c r="E1" s="19"/>
      <c r="F1" s="19"/>
      <c r="G1" s="19"/>
    </row>
    <row r="2" spans="1:7" x14ac:dyDescent="0.25">
      <c r="A2" s="29" t="s">
        <v>82</v>
      </c>
      <c r="B2" s="19"/>
      <c r="C2" s="19"/>
      <c r="D2" s="19"/>
      <c r="E2" s="19"/>
      <c r="F2" s="19"/>
      <c r="G2" s="19"/>
    </row>
    <row r="4" spans="1:7" ht="30" x14ac:dyDescent="0.25">
      <c r="A4" s="11" t="s">
        <v>83</v>
      </c>
      <c r="B4" s="11" t="s">
        <v>10</v>
      </c>
      <c r="C4" s="11" t="s">
        <v>84</v>
      </c>
      <c r="D4" s="11" t="s">
        <v>85</v>
      </c>
      <c r="E4" s="11" t="s">
        <v>86</v>
      </c>
      <c r="F4" s="11" t="s">
        <v>87</v>
      </c>
      <c r="G4" s="11" t="s">
        <v>88</v>
      </c>
    </row>
    <row r="5" spans="1:7" x14ac:dyDescent="0.25">
      <c r="A5" s="14">
        <v>46023</v>
      </c>
      <c r="B5" s="6" t="s">
        <v>13</v>
      </c>
      <c r="C5" s="7">
        <v>920</v>
      </c>
      <c r="D5" s="7">
        <f>SUMIFS(Transacciones!$G$5:$G$500,Transacciones!$B$5:$B$500,"Gasto",Transacciones!$D$5:$D$500,B5,Transacciones!$A$5:$A$500,"&gt;="&amp;A5,Transacciones!$A$5:$A$500,"&lt;="&amp;DATE(YEAR(A5),MONTH(A5)+1,0))</f>
        <v>920</v>
      </c>
      <c r="E5" s="10">
        <f t="shared" ref="E5:E22" si="0">C5-D5</f>
        <v>0</v>
      </c>
      <c r="F5" s="8">
        <f t="shared" ref="F5:F22" si="1">IF(C5=0,"",D5/C5)</f>
        <v>1</v>
      </c>
      <c r="G5" s="6"/>
    </row>
    <row r="6" spans="1:7" x14ac:dyDescent="0.25">
      <c r="A6" s="14">
        <v>46023</v>
      </c>
      <c r="B6" s="6" t="s">
        <v>14</v>
      </c>
      <c r="C6" s="7">
        <v>320</v>
      </c>
      <c r="D6" s="7">
        <f>SUMIFS(Transacciones!$G$5:$G$500,Transacciones!$B$5:$B$500,"Gasto",Transacciones!$D$5:$D$500,B6,Transacciones!$A$5:$A$500,"&gt;="&amp;A6,Transacciones!$A$5:$A$500,"&lt;="&amp;DATE(YEAR(A6),MONTH(A6)+1,0))</f>
        <v>76.45</v>
      </c>
      <c r="E6" s="10">
        <f t="shared" si="0"/>
        <v>243.55</v>
      </c>
      <c r="F6" s="8">
        <f t="shared" si="1"/>
        <v>0.23890625000000001</v>
      </c>
      <c r="G6" s="6"/>
    </row>
    <row r="7" spans="1:7" x14ac:dyDescent="0.25">
      <c r="A7" s="14">
        <v>46023</v>
      </c>
      <c r="B7" s="6" t="s">
        <v>15</v>
      </c>
      <c r="C7" s="7">
        <v>70</v>
      </c>
      <c r="D7" s="7">
        <f>SUMIFS(Transacciones!$G$5:$G$500,Transacciones!$B$5:$B$500,"Gasto",Transacciones!$D$5:$D$500,B7,Transacciones!$A$5:$A$500,"&gt;="&amp;A7,Transacciones!$A$5:$A$500,"&lt;="&amp;DATE(YEAR(A7),MONTH(A7)+1,0))</f>
        <v>49</v>
      </c>
      <c r="E7" s="10">
        <f t="shared" si="0"/>
        <v>21</v>
      </c>
      <c r="F7" s="8">
        <f t="shared" si="1"/>
        <v>0.7</v>
      </c>
      <c r="G7" s="6"/>
    </row>
    <row r="8" spans="1:7" x14ac:dyDescent="0.25">
      <c r="A8" s="14">
        <v>46023</v>
      </c>
      <c r="B8" s="6" t="s">
        <v>17</v>
      </c>
      <c r="C8" s="7">
        <v>90</v>
      </c>
      <c r="D8" s="7">
        <f>SUMIFS(Transacciones!$G$5:$G$500,Transacciones!$B$5:$B$500,"Gasto",Transacciones!$D$5:$D$500,B8,Transacciones!$A$5:$A$500,"&gt;="&amp;A8,Transacciones!$A$5:$A$500,"&lt;="&amp;DATE(YEAR(A8),MONTH(A8)+1,0))</f>
        <v>19.5</v>
      </c>
      <c r="E8" s="10">
        <f t="shared" si="0"/>
        <v>70.5</v>
      </c>
      <c r="F8" s="8">
        <f t="shared" si="1"/>
        <v>0.21666666666666667</v>
      </c>
      <c r="G8" s="6"/>
    </row>
    <row r="9" spans="1:7" x14ac:dyDescent="0.25">
      <c r="A9" s="14">
        <v>46023</v>
      </c>
      <c r="B9" s="6" t="s">
        <v>20</v>
      </c>
      <c r="C9" s="7">
        <v>25</v>
      </c>
      <c r="D9" s="7">
        <f>SUMIFS(Transacciones!$G$5:$G$500,Transacciones!$B$5:$B$500,"Gasto",Transacciones!$D$5:$D$500,B9,Transacciones!$A$5:$A$500,"&gt;="&amp;A9,Transacciones!$A$5:$A$500,"&lt;="&amp;DATE(YEAR(A9),MONTH(A9)+1,0))</f>
        <v>12.99</v>
      </c>
      <c r="E9" s="10">
        <f t="shared" si="0"/>
        <v>12.01</v>
      </c>
      <c r="F9" s="8">
        <f t="shared" si="1"/>
        <v>0.51960000000000006</v>
      </c>
      <c r="G9" s="6"/>
    </row>
    <row r="10" spans="1:7" x14ac:dyDescent="0.25">
      <c r="A10" s="14">
        <v>46023</v>
      </c>
      <c r="B10" s="6" t="s">
        <v>16</v>
      </c>
      <c r="C10" s="7">
        <v>60</v>
      </c>
      <c r="D10" s="7">
        <f>SUMIFS(Transacciones!$G$5:$G$500,Transacciones!$B$5:$B$500,"Gasto",Transacciones!$D$5:$D$500,B10,Transacciones!$A$5:$A$500,"&gt;="&amp;A10,Transacciones!$A$5:$A$500,"&lt;="&amp;DATE(YEAR(A10),MONTH(A10)+1,0))</f>
        <v>0</v>
      </c>
      <c r="E10" s="10">
        <f t="shared" si="0"/>
        <v>60</v>
      </c>
      <c r="F10" s="8">
        <f t="shared" si="1"/>
        <v>0</v>
      </c>
      <c r="G10" s="6"/>
    </row>
    <row r="11" spans="1:7" x14ac:dyDescent="0.25">
      <c r="A11" s="14">
        <v>46023</v>
      </c>
      <c r="B11" s="6" t="s">
        <v>18</v>
      </c>
      <c r="C11" s="7">
        <v>40</v>
      </c>
      <c r="D11" s="7">
        <f>SUMIFS(Transacciones!$G$5:$G$500,Transacciones!$B$5:$B$500,"Gasto",Transacciones!$D$5:$D$500,B11,Transacciones!$A$5:$A$500,"&gt;="&amp;A11,Transacciones!$A$5:$A$500,"&lt;="&amp;DATE(YEAR(A11),MONTH(A11)+1,0))</f>
        <v>0</v>
      </c>
      <c r="E11" s="10">
        <f t="shared" si="0"/>
        <v>40</v>
      </c>
      <c r="F11" s="8">
        <f t="shared" si="1"/>
        <v>0</v>
      </c>
      <c r="G11" s="6"/>
    </row>
    <row r="12" spans="1:7" x14ac:dyDescent="0.25">
      <c r="A12" s="14">
        <v>46023</v>
      </c>
      <c r="B12" s="6" t="s">
        <v>19</v>
      </c>
      <c r="C12" s="7">
        <v>50</v>
      </c>
      <c r="D12" s="7">
        <f>SUMIFS(Transacciones!$G$5:$G$500,Transacciones!$B$5:$B$500,"Gasto",Transacciones!$D$5:$D$500,B12,Transacciones!$A$5:$A$500,"&gt;="&amp;A12,Transacciones!$A$5:$A$500,"&lt;="&amp;DATE(YEAR(A12),MONTH(A12)+1,0))</f>
        <v>23.8</v>
      </c>
      <c r="E12" s="10">
        <f t="shared" si="0"/>
        <v>26.2</v>
      </c>
      <c r="F12" s="8">
        <f t="shared" si="1"/>
        <v>0.47600000000000003</v>
      </c>
      <c r="G12" s="6"/>
    </row>
    <row r="13" spans="1:7" x14ac:dyDescent="0.25">
      <c r="A13" s="14">
        <v>46023</v>
      </c>
      <c r="B13" s="6" t="s">
        <v>21</v>
      </c>
      <c r="C13" s="7">
        <v>60</v>
      </c>
      <c r="D13" s="7">
        <f>SUMIFS(Transacciones!$G$5:$G$500,Transacciones!$B$5:$B$500,"Gasto",Transacciones!$D$5:$D$500,B13,Transacciones!$A$5:$A$500,"&gt;="&amp;A13,Transacciones!$A$5:$A$500,"&lt;="&amp;DATE(YEAR(A13),MONTH(A13)+1,0))</f>
        <v>0</v>
      </c>
      <c r="E13" s="10">
        <f t="shared" si="0"/>
        <v>60</v>
      </c>
      <c r="F13" s="8">
        <f t="shared" si="1"/>
        <v>0</v>
      </c>
      <c r="G13" s="6"/>
    </row>
    <row r="14" spans="1:7" x14ac:dyDescent="0.25">
      <c r="A14" s="14">
        <v>46054</v>
      </c>
      <c r="B14" s="6" t="s">
        <v>13</v>
      </c>
      <c r="C14" s="7">
        <v>920</v>
      </c>
      <c r="D14" s="7">
        <f>SUMIFS(Transacciones!$G$5:$G$500,Transacciones!$B$5:$B$500,"Gasto",Transacciones!$D$5:$D$500,B14,Transacciones!$A$5:$A$500,"&gt;="&amp;A14,Transacciones!$A$5:$A$500,"&lt;="&amp;DATE(YEAR(A14),MONTH(A14)+1,0))</f>
        <v>58.1</v>
      </c>
      <c r="E14" s="10">
        <f t="shared" si="0"/>
        <v>861.9</v>
      </c>
      <c r="F14" s="8">
        <f t="shared" si="1"/>
        <v>6.315217391304348E-2</v>
      </c>
      <c r="G14" s="6"/>
    </row>
    <row r="15" spans="1:7" x14ac:dyDescent="0.25">
      <c r="A15" s="14">
        <v>46054</v>
      </c>
      <c r="B15" s="6" t="s">
        <v>14</v>
      </c>
      <c r="C15" s="7">
        <v>320</v>
      </c>
      <c r="D15" s="7">
        <f>SUMIFS(Transacciones!$G$5:$G$500,Transacciones!$B$5:$B$500,"Gasto",Transacciones!$D$5:$D$500,B15,Transacciones!$A$5:$A$500,"&gt;="&amp;A15,Transacciones!$A$5:$A$500,"&lt;="&amp;DATE(YEAR(A15),MONTH(A15)+1,0))</f>
        <v>64.3</v>
      </c>
      <c r="E15" s="10">
        <f t="shared" si="0"/>
        <v>255.7</v>
      </c>
      <c r="F15" s="8">
        <f t="shared" si="1"/>
        <v>0.20093749999999999</v>
      </c>
      <c r="G15" s="6"/>
    </row>
    <row r="16" spans="1:7" x14ac:dyDescent="0.25">
      <c r="A16" s="14">
        <v>46054</v>
      </c>
      <c r="B16" s="6" t="s">
        <v>15</v>
      </c>
      <c r="C16" s="7">
        <v>70</v>
      </c>
      <c r="D16" s="7">
        <f>SUMIFS(Transacciones!$G$5:$G$500,Transacciones!$B$5:$B$500,"Gasto",Transacciones!$D$5:$D$500,B16,Transacciones!$A$5:$A$500,"&gt;="&amp;A16,Transacciones!$A$5:$A$500,"&lt;="&amp;DATE(YEAR(A16),MONTH(A16)+1,0))</f>
        <v>0</v>
      </c>
      <c r="E16" s="10">
        <f t="shared" si="0"/>
        <v>70</v>
      </c>
      <c r="F16" s="8">
        <f t="shared" si="1"/>
        <v>0</v>
      </c>
      <c r="G16" s="6"/>
    </row>
    <row r="17" spans="1:7" x14ac:dyDescent="0.25">
      <c r="A17" s="14">
        <v>46054</v>
      </c>
      <c r="B17" s="6" t="s">
        <v>17</v>
      </c>
      <c r="C17" s="7">
        <v>90</v>
      </c>
      <c r="D17" s="7">
        <f>SUMIFS(Transacciones!$G$5:$G$500,Transacciones!$B$5:$B$500,"Gasto",Transacciones!$D$5:$D$500,B17,Transacciones!$A$5:$A$500,"&gt;="&amp;A17,Transacciones!$A$5:$A$500,"&lt;="&amp;DATE(YEAR(A17),MONTH(A17)+1,0))</f>
        <v>7.8</v>
      </c>
      <c r="E17" s="10">
        <f t="shared" si="0"/>
        <v>82.2</v>
      </c>
      <c r="F17" s="8">
        <f t="shared" si="1"/>
        <v>8.666666666666667E-2</v>
      </c>
      <c r="G17" s="6"/>
    </row>
    <row r="18" spans="1:7" x14ac:dyDescent="0.25">
      <c r="A18" s="14">
        <v>46054</v>
      </c>
      <c r="B18" s="6" t="s">
        <v>20</v>
      </c>
      <c r="C18" s="7">
        <v>25</v>
      </c>
      <c r="D18" s="7">
        <f>SUMIFS(Transacciones!$G$5:$G$500,Transacciones!$B$5:$B$500,"Gasto",Transacciones!$D$5:$D$500,B18,Transacciones!$A$5:$A$500,"&gt;="&amp;A18,Transacciones!$A$5:$A$500,"&lt;="&amp;DATE(YEAR(A18),MONTH(A18)+1,0))</f>
        <v>0</v>
      </c>
      <c r="E18" s="10">
        <f t="shared" si="0"/>
        <v>25</v>
      </c>
      <c r="F18" s="8">
        <f t="shared" si="1"/>
        <v>0</v>
      </c>
      <c r="G18" s="6"/>
    </row>
    <row r="19" spans="1:7" x14ac:dyDescent="0.25">
      <c r="A19" s="14">
        <v>46054</v>
      </c>
      <c r="B19" s="6" t="s">
        <v>16</v>
      </c>
      <c r="C19" s="7">
        <v>60</v>
      </c>
      <c r="D19" s="7">
        <f>SUMIFS(Transacciones!$G$5:$G$500,Transacciones!$B$5:$B$500,"Gasto",Transacciones!$D$5:$D$500,B19,Transacciones!$A$5:$A$500,"&gt;="&amp;A19,Transacciones!$A$5:$A$500,"&lt;="&amp;DATE(YEAR(A19),MONTH(A19)+1,0))</f>
        <v>14.25</v>
      </c>
      <c r="E19" s="10">
        <f t="shared" si="0"/>
        <v>45.75</v>
      </c>
      <c r="F19" s="8">
        <f t="shared" si="1"/>
        <v>0.23749999999999999</v>
      </c>
      <c r="G19" s="6"/>
    </row>
    <row r="20" spans="1:7" x14ac:dyDescent="0.25">
      <c r="A20" s="14">
        <v>46054</v>
      </c>
      <c r="B20" s="6" t="s">
        <v>18</v>
      </c>
      <c r="C20" s="7">
        <v>40</v>
      </c>
      <c r="D20" s="7">
        <f>SUMIFS(Transacciones!$G$5:$G$500,Transacciones!$B$5:$B$500,"Gasto",Transacciones!$D$5:$D$500,B20,Transacciones!$A$5:$A$500,"&gt;="&amp;A20,Transacciones!$A$5:$A$500,"&lt;="&amp;DATE(YEAR(A20),MONTH(A20)+1,0))</f>
        <v>39</v>
      </c>
      <c r="E20" s="10">
        <f t="shared" si="0"/>
        <v>1</v>
      </c>
      <c r="F20" s="8">
        <f t="shared" si="1"/>
        <v>0.97499999999999998</v>
      </c>
      <c r="G20" s="6"/>
    </row>
    <row r="21" spans="1:7" x14ac:dyDescent="0.25">
      <c r="A21" s="14">
        <v>46054</v>
      </c>
      <c r="B21" s="6" t="s">
        <v>19</v>
      </c>
      <c r="C21" s="7">
        <v>50</v>
      </c>
      <c r="D21" s="7">
        <f>SUMIFS(Transacciones!$G$5:$G$500,Transacciones!$B$5:$B$500,"Gasto",Transacciones!$D$5:$D$500,B21,Transacciones!$A$5:$A$500,"&gt;="&amp;A21,Transacciones!$A$5:$A$500,"&lt;="&amp;DATE(YEAR(A21),MONTH(A21)+1,0))</f>
        <v>0</v>
      </c>
      <c r="E21" s="10">
        <f t="shared" si="0"/>
        <v>50</v>
      </c>
      <c r="F21" s="8">
        <f t="shared" si="1"/>
        <v>0</v>
      </c>
      <c r="G21" s="6"/>
    </row>
    <row r="22" spans="1:7" x14ac:dyDescent="0.25">
      <c r="A22" s="14">
        <v>46054</v>
      </c>
      <c r="B22" s="6" t="s">
        <v>21</v>
      </c>
      <c r="C22" s="7">
        <v>60</v>
      </c>
      <c r="D22" s="7">
        <f>SUMIFS(Transacciones!$G$5:$G$500,Transacciones!$B$5:$B$500,"Gasto",Transacciones!$D$5:$D$500,B22,Transacciones!$A$5:$A$500,"&gt;="&amp;A22,Transacciones!$A$5:$A$500,"&lt;="&amp;DATE(YEAR(A22),MONTH(A22)+1,0))</f>
        <v>0</v>
      </c>
      <c r="E22" s="10">
        <f t="shared" si="0"/>
        <v>60</v>
      </c>
      <c r="F22" s="8">
        <f t="shared" si="1"/>
        <v>0</v>
      </c>
      <c r="G22" s="6"/>
    </row>
  </sheetData>
  <mergeCells count="2">
    <mergeCell ref="A2:G2"/>
    <mergeCell ref="A1:G1"/>
  </mergeCells>
  <conditionalFormatting sqref="A5:G22">
    <cfRule type="expression" dxfId="0" priority="1">
      <formula>$D5&gt;$C5</formula>
    </cfRule>
  </conditionalFormatting>
  <dataValidations count="1">
    <dataValidation type="list" sqref="B5:B500" xr:uid="{00000000-0002-0000-0200-000000000000}">
      <formula1>ListaCatsGasto</formula1>
    </dataValidation>
  </dataValidations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9"/>
  <sheetViews>
    <sheetView showGridLines="0" workbookViewId="0">
      <selection sqref="A1:F1"/>
    </sheetView>
  </sheetViews>
  <sheetFormatPr baseColWidth="10" defaultColWidth="9.140625" defaultRowHeight="15" x14ac:dyDescent="0.25"/>
  <cols>
    <col min="1" max="5" width="24" customWidth="1"/>
    <col min="6" max="6" width="40" customWidth="1"/>
  </cols>
  <sheetData>
    <row r="1" spans="1:6" x14ac:dyDescent="0.25">
      <c r="A1" s="18" t="s">
        <v>89</v>
      </c>
      <c r="B1" s="19"/>
      <c r="C1" s="19"/>
      <c r="D1" s="19"/>
      <c r="E1" s="19"/>
      <c r="F1" s="19"/>
    </row>
    <row r="3" spans="1:6" x14ac:dyDescent="0.25">
      <c r="A3" s="1" t="s">
        <v>90</v>
      </c>
      <c r="B3" s="1" t="s">
        <v>91</v>
      </c>
      <c r="D3" s="1" t="s">
        <v>92</v>
      </c>
      <c r="F3" s="1" t="s">
        <v>93</v>
      </c>
    </row>
    <row r="4" spans="1:6" x14ac:dyDescent="0.25">
      <c r="A4" s="6" t="s">
        <v>42</v>
      </c>
      <c r="B4" s="7">
        <v>1450</v>
      </c>
      <c r="D4" s="6" t="s">
        <v>55</v>
      </c>
      <c r="F4" s="15">
        <v>46023</v>
      </c>
    </row>
    <row r="5" spans="1:6" x14ac:dyDescent="0.25">
      <c r="A5" s="6" t="s">
        <v>52</v>
      </c>
      <c r="B5" s="7">
        <v>230</v>
      </c>
      <c r="D5" s="6" t="s">
        <v>79</v>
      </c>
      <c r="F5" s="15">
        <v>46054</v>
      </c>
    </row>
    <row r="6" spans="1:6" x14ac:dyDescent="0.25">
      <c r="A6" s="6" t="s">
        <v>26</v>
      </c>
      <c r="B6" s="7">
        <v>3200</v>
      </c>
      <c r="D6" s="6" t="s">
        <v>46</v>
      </c>
      <c r="F6" s="15">
        <v>46082</v>
      </c>
    </row>
    <row r="7" spans="1:6" x14ac:dyDescent="0.25">
      <c r="A7" s="16" t="s">
        <v>94</v>
      </c>
      <c r="B7" s="17">
        <f>SUM($B$4:$B$6)</f>
        <v>4880</v>
      </c>
      <c r="D7" s="6" t="s">
        <v>51</v>
      </c>
      <c r="F7" s="15">
        <v>46113</v>
      </c>
    </row>
    <row r="8" spans="1:6" x14ac:dyDescent="0.25">
      <c r="D8" s="6" t="s">
        <v>95</v>
      </c>
      <c r="F8" s="15">
        <v>46143</v>
      </c>
    </row>
    <row r="9" spans="1:6" ht="30" x14ac:dyDescent="0.25">
      <c r="A9" s="1" t="s">
        <v>96</v>
      </c>
      <c r="B9" s="1" t="s">
        <v>97</v>
      </c>
      <c r="D9" s="1" t="s">
        <v>98</v>
      </c>
      <c r="F9" s="15">
        <v>46174</v>
      </c>
    </row>
    <row r="10" spans="1:6" x14ac:dyDescent="0.25">
      <c r="A10" s="6" t="s">
        <v>13</v>
      </c>
      <c r="B10" s="6" t="s">
        <v>43</v>
      </c>
      <c r="D10" s="6" t="s">
        <v>13</v>
      </c>
      <c r="F10" s="15">
        <v>46204</v>
      </c>
    </row>
    <row r="11" spans="1:6" x14ac:dyDescent="0.25">
      <c r="A11" s="6" t="s">
        <v>14</v>
      </c>
      <c r="B11" s="6" t="s">
        <v>66</v>
      </c>
      <c r="D11" s="6" t="s">
        <v>14</v>
      </c>
      <c r="F11" s="15">
        <v>46235</v>
      </c>
    </row>
    <row r="12" spans="1:6" x14ac:dyDescent="0.25">
      <c r="A12" s="6" t="s">
        <v>15</v>
      </c>
      <c r="B12" s="6" t="s">
        <v>60</v>
      </c>
      <c r="D12" s="6" t="s">
        <v>15</v>
      </c>
      <c r="F12" s="15">
        <v>46266</v>
      </c>
    </row>
    <row r="13" spans="1:6" x14ac:dyDescent="0.25">
      <c r="A13" s="6" t="s">
        <v>16</v>
      </c>
      <c r="B13" s="6" t="s">
        <v>99</v>
      </c>
      <c r="D13" s="6" t="s">
        <v>16</v>
      </c>
      <c r="F13" s="15">
        <v>46296</v>
      </c>
    </row>
    <row r="14" spans="1:6" x14ac:dyDescent="0.25">
      <c r="A14" s="6" t="s">
        <v>17</v>
      </c>
      <c r="B14" s="6" t="s">
        <v>100</v>
      </c>
      <c r="D14" s="6" t="s">
        <v>17</v>
      </c>
      <c r="F14" s="15">
        <v>46327</v>
      </c>
    </row>
    <row r="15" spans="1:6" x14ac:dyDescent="0.25">
      <c r="A15" s="6" t="s">
        <v>18</v>
      </c>
      <c r="D15" s="6" t="s">
        <v>18</v>
      </c>
      <c r="F15" s="15">
        <v>46357</v>
      </c>
    </row>
    <row r="16" spans="1:6" x14ac:dyDescent="0.25">
      <c r="A16" s="6" t="s">
        <v>19</v>
      </c>
      <c r="D16" s="6" t="s">
        <v>19</v>
      </c>
    </row>
    <row r="17" spans="1:6" x14ac:dyDescent="0.25">
      <c r="A17" s="6" t="s">
        <v>20</v>
      </c>
      <c r="D17" s="6" t="s">
        <v>20</v>
      </c>
    </row>
    <row r="18" spans="1:6" x14ac:dyDescent="0.25">
      <c r="A18" s="6" t="s">
        <v>21</v>
      </c>
      <c r="D18" s="6" t="s">
        <v>21</v>
      </c>
    </row>
    <row r="19" spans="1:6" x14ac:dyDescent="0.25">
      <c r="D19" s="6" t="s">
        <v>43</v>
      </c>
    </row>
    <row r="20" spans="1:6" x14ac:dyDescent="0.25">
      <c r="D20" s="6" t="s">
        <v>66</v>
      </c>
    </row>
    <row r="21" spans="1:6" x14ac:dyDescent="0.25">
      <c r="A21" s="1" t="s">
        <v>101</v>
      </c>
      <c r="D21" s="6" t="s">
        <v>60</v>
      </c>
    </row>
    <row r="22" spans="1:6" x14ac:dyDescent="0.25">
      <c r="A22" s="6" t="s">
        <v>41</v>
      </c>
      <c r="D22" s="6" t="s">
        <v>99</v>
      </c>
    </row>
    <row r="23" spans="1:6" x14ac:dyDescent="0.25">
      <c r="A23" s="6" t="s">
        <v>48</v>
      </c>
      <c r="D23" s="6" t="s">
        <v>100</v>
      </c>
    </row>
    <row r="24" spans="1:6" x14ac:dyDescent="0.25">
      <c r="D24" s="6" t="s">
        <v>102</v>
      </c>
    </row>
    <row r="26" spans="1:6" x14ac:dyDescent="0.25">
      <c r="A26" s="30" t="s">
        <v>103</v>
      </c>
      <c r="B26" s="31"/>
      <c r="C26" s="31"/>
      <c r="D26" s="31"/>
      <c r="E26" s="31"/>
      <c r="F26" s="21"/>
    </row>
    <row r="27" spans="1:6" x14ac:dyDescent="0.25">
      <c r="A27" s="32"/>
      <c r="B27" s="19"/>
      <c r="C27" s="19"/>
      <c r="D27" s="19"/>
      <c r="E27" s="19"/>
      <c r="F27" s="33"/>
    </row>
    <row r="28" spans="1:6" x14ac:dyDescent="0.25">
      <c r="A28" s="32"/>
      <c r="B28" s="19"/>
      <c r="C28" s="19"/>
      <c r="D28" s="19"/>
      <c r="E28" s="19"/>
      <c r="F28" s="33"/>
    </row>
    <row r="29" spans="1:6" x14ac:dyDescent="0.25">
      <c r="A29" s="22"/>
      <c r="B29" s="34"/>
      <c r="C29" s="34"/>
      <c r="D29" s="34"/>
      <c r="E29" s="34"/>
      <c r="F29" s="23"/>
    </row>
  </sheetData>
  <mergeCells count="2">
    <mergeCell ref="A26:F29"/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14</vt:i4>
      </vt:variant>
    </vt:vector>
  </HeadingPairs>
  <TitlesOfParts>
    <vt:vector size="18" baseType="lpstr">
      <vt:lpstr>Resumen</vt:lpstr>
      <vt:lpstr>Transacciones</vt:lpstr>
      <vt:lpstr>Presupuesto</vt:lpstr>
      <vt:lpstr>Config</vt:lpstr>
      <vt:lpstr>ListaCategorias</vt:lpstr>
      <vt:lpstr>ListaCatsGasto</vt:lpstr>
      <vt:lpstr>ListaCatsIngreso</vt:lpstr>
      <vt:lpstr>ListaCuentas</vt:lpstr>
      <vt:lpstr>ListaMeses</vt:lpstr>
      <vt:lpstr>ListaMetodos</vt:lpstr>
      <vt:lpstr>ListaTipos</vt:lpstr>
      <vt:lpstr>SaldoInicialTotal</vt:lpstr>
      <vt:lpstr>TxCategoria</vt:lpstr>
      <vt:lpstr>TxCuenta</vt:lpstr>
      <vt:lpstr>TxFecha</vt:lpstr>
      <vt:lpstr>TxImporte</vt:lpstr>
      <vt:lpstr>TxImporteFirmado</vt:lpstr>
      <vt:lpstr>TxTipo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2026-02-12T10:38:58Z</dcterms:created>
  <dcterms:modified xsi:type="dcterms:W3CDTF">2026-02-12T11:17:26Z</dcterms:modified>
</cp:coreProperties>
</file>