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culadora de notas para oposiciones\"/>
    </mc:Choice>
  </mc:AlternateContent>
  <xr:revisionPtr revIDLastSave="0" documentId="8_{E68768AB-C688-4805-8F85-E60D01B4D7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CULADORA" sheetId="1" r:id="rId1"/>
    <sheet name="SIMULACROS" sheetId="2" r:id="rId2"/>
    <sheet name="CONFIG" sheetId="3" r:id="rId3"/>
  </sheet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1" l="1"/>
  <c r="F32" i="1"/>
  <c r="F33" i="1"/>
  <c r="F34" i="1"/>
  <c r="F35" i="1"/>
  <c r="F30" i="1"/>
  <c r="D16" i="3"/>
  <c r="C15" i="2"/>
  <c r="E15" i="2" s="1"/>
  <c r="C14" i="2"/>
  <c r="E14" i="2" s="1"/>
  <c r="C13" i="2"/>
  <c r="E13" i="2" s="1"/>
  <c r="C12" i="2"/>
  <c r="E12" i="2" s="1"/>
  <c r="C11" i="2"/>
  <c r="E11" i="2" s="1"/>
  <c r="C10" i="2"/>
  <c r="E10" i="2" s="1"/>
  <c r="C9" i="2"/>
  <c r="E9" i="2" s="1"/>
  <c r="C8" i="2"/>
  <c r="E8" i="2" s="1"/>
  <c r="C7" i="2"/>
  <c r="E7" i="2" s="1"/>
  <c r="E6" i="2"/>
  <c r="F15" i="2" s="1"/>
  <c r="C6" i="2"/>
  <c r="E35" i="1"/>
  <c r="E34" i="1"/>
  <c r="E33" i="1"/>
  <c r="E32" i="1"/>
  <c r="E31" i="1"/>
  <c r="F20" i="1"/>
  <c r="D20" i="1"/>
  <c r="E20" i="1" s="1"/>
  <c r="G20" i="1" s="1"/>
  <c r="C20" i="1"/>
  <c r="F19" i="1"/>
  <c r="D19" i="1"/>
  <c r="E19" i="1" s="1"/>
  <c r="G19" i="1" s="1"/>
  <c r="C19" i="1"/>
  <c r="F18" i="1"/>
  <c r="D18" i="1"/>
  <c r="E18" i="1" s="1"/>
  <c r="G18" i="1" s="1"/>
  <c r="C18" i="1"/>
  <c r="F17" i="1"/>
  <c r="D17" i="1"/>
  <c r="E17" i="1" s="1"/>
  <c r="G17" i="1" s="1"/>
  <c r="C17" i="1"/>
  <c r="F16" i="1"/>
  <c r="D16" i="1"/>
  <c r="E16" i="1" s="1"/>
  <c r="G16" i="1" s="1"/>
  <c r="J16" i="1" s="1"/>
  <c r="D30" i="1" s="1"/>
  <c r="C16" i="1"/>
  <c r="M10" i="1"/>
  <c r="K10" i="1"/>
  <c r="J10" i="1"/>
  <c r="N10" i="1" s="1"/>
  <c r="I10" i="1"/>
  <c r="G10" i="1"/>
  <c r="M9" i="1"/>
  <c r="K9" i="1"/>
  <c r="J9" i="1"/>
  <c r="N9" i="1" s="1"/>
  <c r="I9" i="1"/>
  <c r="G9" i="1"/>
  <c r="M8" i="1"/>
  <c r="K8" i="1"/>
  <c r="I8" i="1"/>
  <c r="J8" i="1" s="1"/>
  <c r="G8" i="1"/>
  <c r="F11" i="2" l="1"/>
  <c r="F10" i="2"/>
  <c r="N8" i="1"/>
  <c r="L8" i="1"/>
  <c r="J12" i="1" s="1"/>
  <c r="F9" i="2"/>
  <c r="L10" i="1"/>
  <c r="F12" i="2"/>
  <c r="F6" i="2"/>
  <c r="L9" i="1"/>
  <c r="F13" i="2"/>
  <c r="F7" i="2"/>
  <c r="F14" i="2"/>
  <c r="F8" i="2"/>
  <c r="N12" i="1" l="1"/>
  <c r="L12" i="1"/>
  <c r="C30" i="1" l="1"/>
  <c r="E30" i="1" s="1"/>
  <c r="I23" i="1"/>
  <c r="I26" i="1" l="1"/>
  <c r="I25" i="1"/>
  <c r="I24" i="1"/>
</calcChain>
</file>

<file path=xl/sharedStrings.xml><?xml version="1.0" encoding="utf-8"?>
<sst xmlns="http://schemas.openxmlformats.org/spreadsheetml/2006/main" count="106" uniqueCount="85">
  <si>
    <t>Datos del candidato</t>
  </si>
  <si>
    <t>Nombre/alias</t>
  </si>
  <si>
    <t>Sergio (ejemplo)</t>
  </si>
  <si>
    <t>Convocatoria</t>
  </si>
  <si>
    <t>Ayuntamiento — Sistemas (ficticio)</t>
  </si>
  <si>
    <t>Fecha cálculo</t>
  </si>
  <si>
    <t>Objetivo (puntos totales)</t>
  </si>
  <si>
    <t>FASE DE OPOSICIÓN</t>
  </si>
  <si>
    <t>Prueba</t>
  </si>
  <si>
    <t>Tipo</t>
  </si>
  <si>
    <t>Total ítems</t>
  </si>
  <si>
    <t>Anuladas</t>
  </si>
  <si>
    <t>Aciertos</t>
  </si>
  <si>
    <t>Fallos</t>
  </si>
  <si>
    <t>Blancas</t>
  </si>
  <si>
    <t>Nota directa</t>
  </si>
  <si>
    <t>Aciertos netos</t>
  </si>
  <si>
    <t>Nota/10</t>
  </si>
  <si>
    <t>Mínimo</t>
  </si>
  <si>
    <t>¿Cumple?</t>
  </si>
  <si>
    <t>Peso</t>
  </si>
  <si>
    <t>Nota pond.</t>
  </si>
  <si>
    <t>Test de conocimientos</t>
  </si>
  <si>
    <t>Test</t>
  </si>
  <si>
    <t>Supuesto práctico</t>
  </si>
  <si>
    <t>Directa</t>
  </si>
  <si>
    <t>Defensa / entrevista</t>
  </si>
  <si>
    <t>Resumen oposición</t>
  </si>
  <si>
    <t>Nota oposición (0–10)</t>
  </si>
  <si>
    <t>Puntos oposición</t>
  </si>
  <si>
    <t>¿Apto por mínimos?</t>
  </si>
  <si>
    <t>FASE DE CONCURSO (MÉRITOS)</t>
  </si>
  <si>
    <t>Mérito</t>
  </si>
  <si>
    <t>Cantidad</t>
  </si>
  <si>
    <t>Unidad</t>
  </si>
  <si>
    <t>Puntos/Unidad</t>
  </si>
  <si>
    <t>Puntos</t>
  </si>
  <si>
    <t>Tope</t>
  </si>
  <si>
    <t>Puntos aplicados</t>
  </si>
  <si>
    <t>Experiencia profesional relacionada</t>
  </si>
  <si>
    <t>Puntos méritos</t>
  </si>
  <si>
    <t>Formación específica</t>
  </si>
  <si>
    <t>Certificaciones técnicas</t>
  </si>
  <si>
    <t>Idiomas</t>
  </si>
  <si>
    <t>Proyectos / publicaciones</t>
  </si>
  <si>
    <t>RESULTADO</t>
  </si>
  <si>
    <t>Puntos totales</t>
  </si>
  <si>
    <t>Estado</t>
  </si>
  <si>
    <t>Puntos que faltan para objetivo</t>
  </si>
  <si>
    <t>Puntos que faltan para corte</t>
  </si>
  <si>
    <t>COMPARATIVA (lista/tribunal) — pega aquí otros totales para estimar tu posición</t>
  </si>
  <si>
    <t>Nº</t>
  </si>
  <si>
    <t>Alias</t>
  </si>
  <si>
    <t>Total</t>
  </si>
  <si>
    <t>Posición (ranking)</t>
  </si>
  <si>
    <t>TU</t>
  </si>
  <si>
    <t>Candidato A</t>
  </si>
  <si>
    <t>Candidato B</t>
  </si>
  <si>
    <t>Candidato C</t>
  </si>
  <si>
    <t>Candidato D</t>
  </si>
  <si>
    <t>Candidato E</t>
  </si>
  <si>
    <t>HISTÓRICO DE SIMULACROS — para ver tendencia sin complicarte</t>
  </si>
  <si>
    <t>Cómo usar: añade cada simulacro (fecha + nota oposición/10). La plantilla traduce a puntos y calcula media móvil.</t>
  </si>
  <si>
    <t>Fecha</t>
  </si>
  <si>
    <t>Puntos méritos (opcional)</t>
  </si>
  <si>
    <t>Media móvil (5)</t>
  </si>
  <si>
    <t>CONFIGURACIÓN — Plantilla de cálculo de notas (genérica)</t>
  </si>
  <si>
    <t>Parámetros generales</t>
  </si>
  <si>
    <t>Máx. puntos fase OPOSICIÓN</t>
  </si>
  <si>
    <t>Máx. puntos fase CONCURSO (méritos)</t>
  </si>
  <si>
    <t>Nota de corte (puntos totales)</t>
  </si>
  <si>
    <t>Penalización por fallo (en test)</t>
  </si>
  <si>
    <t>Etiqueta 'Tipo' para test</t>
  </si>
  <si>
    <t>Etiqueta 'Tipo' para nota directa</t>
  </si>
  <si>
    <t>Pruebas de la fase de oposición (editable)</t>
  </si>
  <si>
    <t>Mínimo (sobre 10)</t>
  </si>
  <si>
    <t>Comprobación (el peso total debe ser 100%)</t>
  </si>
  <si>
    <t>Baremación de méritos (editable; se aplican topes)</t>
  </si>
  <si>
    <t>Tope (puntos)</t>
  </si>
  <si>
    <t>mes</t>
  </si>
  <si>
    <t>10 horas</t>
  </si>
  <si>
    <t>certificación</t>
  </si>
  <si>
    <t>nivel</t>
  </si>
  <si>
    <t>unidad</t>
  </si>
  <si>
    <t>CALCULADORA DE NOTAS — Ejemplo adaptable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</si>
</sst>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13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2"/>
      <color rgb="FF121528"/>
      <name val="Calibri"/>
    </font>
    <font>
      <b/>
      <sz val="10"/>
      <color rgb="FF121528"/>
      <name val="Calibri"/>
    </font>
    <font>
      <sz val="10"/>
      <color rgb="FF121528"/>
      <name val="Calibri"/>
    </font>
    <font>
      <b/>
      <sz val="11"/>
      <color rgb="FF121528"/>
      <name val="Calibri"/>
    </font>
    <font>
      <sz val="11"/>
      <color rgb="FF121528"/>
      <name val="Calibri"/>
    </font>
    <font>
      <i/>
      <sz val="11"/>
      <color rgb="FF121528"/>
      <name val="Calibri"/>
    </font>
    <font>
      <b/>
      <sz val="11"/>
      <color rgb="FF121528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b/>
      <sz val="14"/>
      <color rgb="FF121528"/>
      <name val="Calibri"/>
    </font>
    <font>
      <i/>
      <sz val="10"/>
      <color rgb="FF121528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DDE3FF"/>
      </patternFill>
    </fill>
  </fills>
  <borders count="5">
    <border>
      <left/>
      <right/>
      <top/>
      <bottom/>
      <diagonal/>
    </border>
    <border>
      <left style="thin">
        <color rgb="FF777777"/>
      </left>
      <right style="thin">
        <color rgb="FF777777"/>
      </right>
      <top style="thin">
        <color rgb="FF777777"/>
      </top>
      <bottom style="thin">
        <color rgb="FF777777"/>
      </bottom>
      <diagonal/>
    </border>
    <border>
      <left/>
      <right style="thin">
        <color rgb="FF777777"/>
      </right>
      <top style="thin">
        <color rgb="FF777777"/>
      </top>
      <bottom style="thin">
        <color rgb="FF777777"/>
      </bottom>
      <diagonal/>
    </border>
    <border>
      <left style="medium">
        <color rgb="FF777777"/>
      </left>
      <right style="medium">
        <color rgb="FF777777"/>
      </right>
      <top style="medium">
        <color rgb="FF777777"/>
      </top>
      <bottom style="medium">
        <color rgb="FF777777"/>
      </bottom>
      <diagonal/>
    </border>
    <border>
      <left/>
      <right/>
      <top style="thin">
        <color rgb="FF777777"/>
      </top>
      <bottom style="thin">
        <color rgb="FF777777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center" wrapText="1"/>
    </xf>
    <xf numFmtId="0" fontId="0" fillId="2" borderId="3" xfId="0" applyFill="1" applyBorder="1"/>
    <xf numFmtId="0" fontId="8" fillId="0" borderId="1" xfId="0" applyFont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2" fontId="0" fillId="5" borderId="1" xfId="0" applyNumberFormat="1" applyFill="1" applyBorder="1" applyAlignment="1">
      <alignment horizontal="center" vertical="center" wrapText="1"/>
    </xf>
    <xf numFmtId="2" fontId="8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2" fontId="0" fillId="3" borderId="1" xfId="0" applyNumberFormat="1" applyFill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64" fontId="0" fillId="3" borderId="1" xfId="0" applyNumberFormat="1" applyFill="1" applyBorder="1" applyAlignment="1">
      <alignment horizontal="center" vertical="center" wrapText="1"/>
    </xf>
    <xf numFmtId="0" fontId="7" fillId="0" borderId="1" xfId="0" applyFont="1" applyBorder="1"/>
    <xf numFmtId="9" fontId="8" fillId="0" borderId="1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0" fillId="0" borderId="4" xfId="0" applyBorder="1"/>
    <xf numFmtId="0" fontId="0" fillId="0" borderId="2" xfId="0" applyBorder="1"/>
    <xf numFmtId="0" fontId="3" fillId="0" borderId="1" xfId="0" applyFont="1" applyBorder="1" applyAlignment="1">
      <alignment horizontal="left" vertical="center" wrapText="1"/>
    </xf>
    <xf numFmtId="14" fontId="4" fillId="3" borderId="1" xfId="0" applyNumberFormat="1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0" xfId="0"/>
    <xf numFmtId="0" fontId="4" fillId="3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7">
    <dxf>
      <font>
        <b/>
        <color rgb="FF000000"/>
      </font>
      <fill>
        <patternFill>
          <bgColor rgb="FFF9A825"/>
        </patternFill>
      </fill>
    </dxf>
    <dxf>
      <font>
        <b/>
        <color rgb="FFFFFFFF"/>
      </font>
      <fill>
        <patternFill>
          <bgColor rgb="FF2E7D32"/>
        </patternFill>
      </fill>
    </dxf>
    <dxf>
      <font>
        <b/>
        <color rgb="FFFFFFFF"/>
      </font>
      <fill>
        <patternFill>
          <bgColor rgb="FFB71C1C"/>
        </patternFill>
      </fill>
    </dxf>
    <dxf>
      <fill>
        <patternFill>
          <bgColor rgb="FFB71C1C"/>
        </patternFill>
      </fill>
    </dxf>
    <dxf>
      <fill>
        <patternFill>
          <bgColor rgb="FF2E7D32"/>
        </patternFill>
      </fill>
    </dxf>
    <dxf>
      <font>
        <b/>
        <color rgb="FFFFFFFF"/>
      </font>
      <fill>
        <patternFill>
          <bgColor rgb="FFB71C1C"/>
        </patternFill>
      </fill>
    </dxf>
    <dxf>
      <font>
        <b/>
        <color rgb="FFFFFFFF"/>
      </font>
      <fill>
        <patternFill>
          <bgColor rgb="FF2E7D3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Comparativa" displayName="TablaComparativa" ref="A29:F35">
  <autoFilter ref="A29:F35" xr:uid="{00000000-0009-0000-0100-000001000000}"/>
  <tableColumns count="6">
    <tableColumn id="1" xr3:uid="{00000000-0010-0000-0000-000001000000}" name="Nº"/>
    <tableColumn id="2" xr3:uid="{00000000-0010-0000-0000-000002000000}" name="Alias"/>
    <tableColumn id="3" xr3:uid="{00000000-0010-0000-0000-000003000000}" name="Puntos oposición"/>
    <tableColumn id="4" xr3:uid="{00000000-0010-0000-0000-000004000000}" name="Puntos méritos"/>
    <tableColumn id="5" xr3:uid="{00000000-0010-0000-0000-000005000000}" name="Total"/>
    <tableColumn id="6" xr3:uid="{00000000-0010-0000-0000-000006000000}" name="Posición (ranking)">
      <calculatedColumnFormula>_xlfn.RANK.EQ(E30,$E$30:$E$35,0)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Simulacros" displayName="TablaSimulacros" ref="A5:F15">
  <autoFilter ref="A5:F15" xr:uid="{00000000-0009-0000-0100-000002000000}"/>
  <tableColumns count="6">
    <tableColumn id="1" xr3:uid="{00000000-0010-0000-0100-000001000000}" name="Fecha"/>
    <tableColumn id="2" xr3:uid="{00000000-0010-0000-0100-000002000000}" name="Nota oposición (0–10)"/>
    <tableColumn id="3" xr3:uid="{00000000-0010-0000-0100-000003000000}" name="Puntos oposición"/>
    <tableColumn id="4" xr3:uid="{00000000-0010-0000-0100-000004000000}" name="Puntos méritos (opcional)"/>
    <tableColumn id="5" xr3:uid="{00000000-0010-0000-0100-000005000000}" name="Puntos totales"/>
    <tableColumn id="6" xr3:uid="{00000000-0010-0000-0100-000006000000}" name="Media móvil (5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showGridLines="0" tabSelected="1" zoomScale="85" zoomScaleNormal="85" workbookViewId="0">
      <selection activeCell="W36" sqref="W36"/>
    </sheetView>
  </sheetViews>
  <sheetFormatPr baseColWidth="10" defaultColWidth="9.140625" defaultRowHeight="15" x14ac:dyDescent="0.25"/>
  <cols>
    <col min="1" max="1" width="33.140625" bestFit="1" customWidth="1"/>
    <col min="2" max="2" width="11.7109375" bestFit="1" customWidth="1"/>
    <col min="3" max="3" width="18.7109375" bestFit="1" customWidth="1"/>
    <col min="4" max="4" width="17.5703125" bestFit="1" customWidth="1"/>
    <col min="5" max="5" width="9.42578125" bestFit="1" customWidth="1"/>
    <col min="6" max="6" width="19.140625" bestFit="1" customWidth="1"/>
    <col min="7" max="7" width="13.85546875" bestFit="1" customWidth="1"/>
    <col min="8" max="8" width="10.7109375" bestFit="1" customWidth="1"/>
    <col min="9" max="9" width="13" bestFit="1" customWidth="1"/>
    <col min="10" max="10" width="20.7109375" bestFit="1" customWidth="1"/>
    <col min="11" max="11" width="8.28515625" bestFit="1" customWidth="1"/>
    <col min="12" max="12" width="8.7109375" bestFit="1" customWidth="1"/>
    <col min="13" max="13" width="17" bestFit="1" customWidth="1"/>
    <col min="14" max="14" width="9.7109375" bestFit="1" customWidth="1"/>
  </cols>
  <sheetData>
    <row r="1" spans="1:14" ht="30" customHeight="1" x14ac:dyDescent="0.25">
      <c r="A1" s="40" t="s">
        <v>84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ht="18" customHeight="1" x14ac:dyDescent="0.25"/>
    <row r="3" spans="1:14" ht="18" customHeight="1" x14ac:dyDescent="0.25">
      <c r="A3" s="47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ht="25.5" x14ac:dyDescent="0.25">
      <c r="A4" s="1" t="s">
        <v>1</v>
      </c>
      <c r="B4" s="42" t="s">
        <v>2</v>
      </c>
      <c r="C4" s="36"/>
      <c r="D4" s="1" t="s">
        <v>3</v>
      </c>
      <c r="E4" s="42" t="s">
        <v>4</v>
      </c>
      <c r="F4" s="36"/>
      <c r="G4" s="1" t="s">
        <v>5</v>
      </c>
      <c r="H4" s="38">
        <v>46065</v>
      </c>
      <c r="I4" s="36"/>
      <c r="J4" s="1" t="s">
        <v>6</v>
      </c>
      <c r="K4" s="39">
        <v>75</v>
      </c>
      <c r="L4" s="36"/>
    </row>
    <row r="5" spans="1:14" ht="18" customHeight="1" x14ac:dyDescent="0.25"/>
    <row r="6" spans="1:14" ht="18" customHeight="1" x14ac:dyDescent="0.25">
      <c r="A6" s="43" t="s">
        <v>7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</row>
    <row r="7" spans="1:14" ht="18" customHeight="1" x14ac:dyDescent="0.25">
      <c r="A7" s="4" t="s">
        <v>8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13</v>
      </c>
      <c r="G7" s="4" t="s">
        <v>14</v>
      </c>
      <c r="H7" s="4" t="s">
        <v>15</v>
      </c>
      <c r="I7" s="4" t="s">
        <v>16</v>
      </c>
      <c r="J7" s="4" t="s">
        <v>17</v>
      </c>
      <c r="K7" s="4" t="s">
        <v>18</v>
      </c>
      <c r="L7" s="4" t="s">
        <v>19</v>
      </c>
      <c r="M7" s="4" t="s">
        <v>20</v>
      </c>
      <c r="N7" s="4" t="s">
        <v>21</v>
      </c>
    </row>
    <row r="8" spans="1:14" ht="18" customHeight="1" x14ac:dyDescent="0.25">
      <c r="A8" s="5" t="s">
        <v>22</v>
      </c>
      <c r="B8" s="6" t="s">
        <v>23</v>
      </c>
      <c r="C8" s="6">
        <v>100</v>
      </c>
      <c r="D8" s="6">
        <v>0</v>
      </c>
      <c r="E8" s="6">
        <v>78</v>
      </c>
      <c r="F8" s="6">
        <v>12</v>
      </c>
      <c r="G8" s="7">
        <f>MAX(0,IF(C8="",0,C8)-IF(D8="",0,D8)-IF(E8="",0,E8)-IF(F8="",0,F8))</f>
        <v>10</v>
      </c>
      <c r="H8" s="6"/>
      <c r="I8" s="8">
        <f>IF(B8=CONFIG!$B$8,MAX(0,IF(E8="",0,E8)-IF(F8="",0,F8)*CONFIG!$B$7),"")</f>
        <v>74.000000000400007</v>
      </c>
      <c r="J8" s="9">
        <f>IF(B8=CONFIG!$B$9,IF(H8="",0,MIN(10,MAX(0,H8))),IF(B8=CONFIG!$B$8,IF((IF(C8="",0,C8)-IF(D8="",0,D8))&gt;0,MIN(10,MAX(0,I8/(C8-D8)*10)),0),0))</f>
        <v>7.4000000000400012</v>
      </c>
      <c r="K8" s="10">
        <f>IF(A8="Test de conocimientos",CONFIG!$F$13,IF(A8="Supuesto práctico",CONFIG!$F$14,CONFIG!$F$15))</f>
        <v>5</v>
      </c>
      <c r="L8" s="8" t="str">
        <f>IF(J8&gt;=K8,"Sí","No")</f>
        <v>Sí</v>
      </c>
      <c r="M8" s="11">
        <f>IF(A8="Test de conocimientos",CONFIG!$D$13,IF(A8="Supuesto práctico",CONFIG!$D$14,CONFIG!$D$15))</f>
        <v>0.4</v>
      </c>
      <c r="N8" s="9">
        <f>J8*M8</f>
        <v>2.9600000000160005</v>
      </c>
    </row>
    <row r="9" spans="1:14" ht="18" customHeight="1" x14ac:dyDescent="0.25">
      <c r="A9" s="5" t="s">
        <v>24</v>
      </c>
      <c r="B9" s="6" t="s">
        <v>25</v>
      </c>
      <c r="C9" s="6"/>
      <c r="D9" s="6"/>
      <c r="E9" s="6"/>
      <c r="F9" s="6"/>
      <c r="G9" s="7">
        <f>MAX(0,IF(C9="",0,C9)-IF(D9="",0,D9)-IF(E9="",0,E9)-IF(F9="",0,F9))</f>
        <v>0</v>
      </c>
      <c r="H9" s="6">
        <v>6.8</v>
      </c>
      <c r="I9" s="8" t="str">
        <f>IF(B9=CONFIG!$B$8,MAX(0,IF(E9="",0,E9)-IF(F9="",0,F9)*CONFIG!$B$7),"")</f>
        <v/>
      </c>
      <c r="J9" s="9">
        <f>IF(B9=CONFIG!$B$9,IF(H9="",0,MIN(10,MAX(0,H9))),IF(B9=CONFIG!$B$8,IF((IF(C9="",0,C9)-IF(D9="",0,D9))&gt;0,MIN(10,MAX(0,I9/(C9-D9)*10)),0),0))</f>
        <v>6.8</v>
      </c>
      <c r="K9" s="10">
        <f>IF(A9="Test de conocimientos",CONFIG!$F$13,IF(A9="Supuesto práctico",CONFIG!$F$14,CONFIG!$F$15))</f>
        <v>5</v>
      </c>
      <c r="L9" s="8" t="str">
        <f>IF(J9&gt;=K9,"Sí","No")</f>
        <v>Sí</v>
      </c>
      <c r="M9" s="11">
        <f>IF(A9="Test de conocimientos",CONFIG!$D$13,IF(A9="Supuesto práctico",CONFIG!$D$14,CONFIG!$D$15))</f>
        <v>0.4</v>
      </c>
      <c r="N9" s="9">
        <f>J9*M9</f>
        <v>2.72</v>
      </c>
    </row>
    <row r="10" spans="1:14" ht="18" customHeight="1" x14ac:dyDescent="0.25">
      <c r="A10" s="5" t="s">
        <v>26</v>
      </c>
      <c r="B10" s="6" t="s">
        <v>25</v>
      </c>
      <c r="C10" s="6"/>
      <c r="D10" s="6"/>
      <c r="E10" s="6"/>
      <c r="F10" s="6"/>
      <c r="G10" s="7">
        <f>MAX(0,IF(C10="",0,C10)-IF(D10="",0,D10)-IF(E10="",0,E10)-IF(F10="",0,F10))</f>
        <v>0</v>
      </c>
      <c r="H10" s="6">
        <v>7.3</v>
      </c>
      <c r="I10" s="8" t="str">
        <f>IF(B10=CONFIG!$B$8,MAX(0,IF(E10="",0,E10)-IF(F10="",0,F10)*CONFIG!$B$7),"")</f>
        <v/>
      </c>
      <c r="J10" s="9">
        <f>IF(B10=CONFIG!$B$9,IF(H10="",0,MIN(10,MAX(0,H10))),IF(B10=CONFIG!$B$8,IF((IF(C10="",0,C10)-IF(D10="",0,D10))&gt;0,MIN(10,MAX(0,I10/(C10-D10)*10)),0),0))</f>
        <v>7.3</v>
      </c>
      <c r="K10" s="10">
        <f>IF(A10="Test de conocimientos",CONFIG!$F$13,IF(A10="Supuesto práctico",CONFIG!$F$14,CONFIG!$F$15))</f>
        <v>5</v>
      </c>
      <c r="L10" s="8" t="str">
        <f>IF(J10&gt;=K10,"Sí","No")</f>
        <v>Sí</v>
      </c>
      <c r="M10" s="11">
        <f>IF(A10="Test de conocimientos",CONFIG!$D$13,IF(A10="Supuesto práctico",CONFIG!$D$14,CONFIG!$D$15))</f>
        <v>0.2</v>
      </c>
      <c r="N10" s="9">
        <f>J10*M10</f>
        <v>1.46</v>
      </c>
    </row>
    <row r="11" spans="1:14" ht="18" customHeight="1" x14ac:dyDescent="0.25"/>
    <row r="12" spans="1:14" ht="25.5" x14ac:dyDescent="0.25">
      <c r="A12" s="46" t="s">
        <v>27</v>
      </c>
      <c r="B12" s="49"/>
      <c r="C12" s="49"/>
      <c r="D12" s="49"/>
      <c r="E12" s="49"/>
      <c r="F12" s="49"/>
      <c r="G12" s="49"/>
      <c r="H12" s="49"/>
      <c r="I12" s="1" t="s">
        <v>28</v>
      </c>
      <c r="J12" s="12">
        <f>IF(COUNTIF(L8:L10,"No")&gt;0,0,SUM(N8:N10))</f>
        <v>7.1400000000160011</v>
      </c>
      <c r="K12" s="1" t="s">
        <v>29</v>
      </c>
      <c r="L12" s="9">
        <f>J12*CONFIG!$B$4/10</f>
        <v>49.980000000112007</v>
      </c>
      <c r="M12" s="50" t="s">
        <v>30</v>
      </c>
      <c r="N12" s="8" t="str">
        <f>IF(J12&gt;0,"Sí","No")</f>
        <v>Sí</v>
      </c>
    </row>
    <row r="13" spans="1:14" ht="13.5" customHeight="1" x14ac:dyDescent="0.25"/>
    <row r="14" spans="1:14" ht="18" customHeight="1" x14ac:dyDescent="0.25">
      <c r="A14" s="43" t="s">
        <v>31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</row>
    <row r="15" spans="1:14" ht="18" customHeight="1" x14ac:dyDescent="0.25">
      <c r="A15" s="4" t="s">
        <v>32</v>
      </c>
      <c r="B15" s="4" t="s">
        <v>33</v>
      </c>
      <c r="C15" s="4" t="s">
        <v>34</v>
      </c>
      <c r="D15" s="4" t="s">
        <v>35</v>
      </c>
      <c r="E15" s="4" t="s">
        <v>36</v>
      </c>
      <c r="F15" s="4" t="s">
        <v>37</v>
      </c>
      <c r="G15" s="4" t="s">
        <v>38</v>
      </c>
      <c r="H15" s="13"/>
      <c r="I15" s="13"/>
      <c r="J15" s="13"/>
      <c r="K15" s="13"/>
      <c r="L15" s="13"/>
      <c r="M15" s="13"/>
      <c r="N15" s="13"/>
    </row>
    <row r="16" spans="1:14" ht="30" x14ac:dyDescent="0.25">
      <c r="A16" s="14" t="s">
        <v>39</v>
      </c>
      <c r="B16" s="6">
        <v>24</v>
      </c>
      <c r="C16" s="15" t="str">
        <f>VLOOKUP(A16,CONFIG!$A$20:$D$24,2,FALSE)</f>
        <v>mes</v>
      </c>
      <c r="D16" s="12">
        <f>VLOOKUP(A16,CONFIG!$A$20:$D$24,3,FALSE)</f>
        <v>0.1</v>
      </c>
      <c r="E16" s="9">
        <f>B16*D16</f>
        <v>2.4000000000000004</v>
      </c>
      <c r="F16" s="12">
        <f>VLOOKUP(A16,CONFIG!$A$20:$D$24,4,FALSE)</f>
        <v>12</v>
      </c>
      <c r="G16" s="9">
        <f>MIN(E16,F16)</f>
        <v>2.4000000000000004</v>
      </c>
      <c r="I16" s="1" t="s">
        <v>40</v>
      </c>
      <c r="J16" s="9">
        <f>MIN(SUM(G16:G20),CONFIG!$B$5)</f>
        <v>11.5</v>
      </c>
    </row>
    <row r="17" spans="1:14" ht="18" customHeight="1" x14ac:dyDescent="0.25">
      <c r="A17" s="14" t="s">
        <v>41</v>
      </c>
      <c r="B17" s="6">
        <v>18</v>
      </c>
      <c r="C17" s="15" t="str">
        <f>VLOOKUP(A17,CONFIG!$A$20:$D$24,2,FALSE)</f>
        <v>10 horas</v>
      </c>
      <c r="D17" s="12">
        <f>VLOOKUP(A17,CONFIG!$A$20:$D$24,3,FALSE)</f>
        <v>0.2</v>
      </c>
      <c r="E17" s="9">
        <f>B17*D17</f>
        <v>3.6</v>
      </c>
      <c r="F17" s="12">
        <f>VLOOKUP(A17,CONFIG!$A$20:$D$24,4,FALSE)</f>
        <v>6</v>
      </c>
      <c r="G17" s="9">
        <f>MIN(E17,F17)</f>
        <v>3.6</v>
      </c>
    </row>
    <row r="18" spans="1:14" ht="18" customHeight="1" x14ac:dyDescent="0.25">
      <c r="A18" s="14" t="s">
        <v>42</v>
      </c>
      <c r="B18" s="6">
        <v>2</v>
      </c>
      <c r="C18" s="15" t="str">
        <f>VLOOKUP(A18,CONFIG!$A$20:$D$24,2,FALSE)</f>
        <v>certificación</v>
      </c>
      <c r="D18" s="12">
        <f>VLOOKUP(A18,CONFIG!$A$20:$D$24,3,FALSE)</f>
        <v>1</v>
      </c>
      <c r="E18" s="9">
        <f>B18*D18</f>
        <v>2</v>
      </c>
      <c r="F18" s="12">
        <f>VLOOKUP(A18,CONFIG!$A$20:$D$24,4,FALSE)</f>
        <v>4</v>
      </c>
      <c r="G18" s="9">
        <f>MIN(E18,F18)</f>
        <v>2</v>
      </c>
    </row>
    <row r="19" spans="1:14" ht="18" customHeight="1" x14ac:dyDescent="0.25">
      <c r="A19" s="14" t="s">
        <v>43</v>
      </c>
      <c r="B19" s="6">
        <v>3</v>
      </c>
      <c r="C19" s="15" t="str">
        <f>VLOOKUP(A19,CONFIG!$A$20:$D$24,2,FALSE)</f>
        <v>nivel</v>
      </c>
      <c r="D19" s="12">
        <f>VLOOKUP(A19,CONFIG!$A$20:$D$24,3,FALSE)</f>
        <v>0.5</v>
      </c>
      <c r="E19" s="9">
        <f>B19*D19</f>
        <v>1.5</v>
      </c>
      <c r="F19" s="12">
        <f>VLOOKUP(A19,CONFIG!$A$20:$D$24,4,FALSE)</f>
        <v>3</v>
      </c>
      <c r="G19" s="9">
        <f>MIN(E19,F19)</f>
        <v>1.5</v>
      </c>
    </row>
    <row r="20" spans="1:14" ht="18" customHeight="1" x14ac:dyDescent="0.25">
      <c r="A20" s="14" t="s">
        <v>44</v>
      </c>
      <c r="B20" s="6">
        <v>4</v>
      </c>
      <c r="C20" s="15" t="str">
        <f>VLOOKUP(A20,CONFIG!$A$20:$D$24,2,FALSE)</f>
        <v>unidad</v>
      </c>
      <c r="D20" s="12">
        <f>VLOOKUP(A20,CONFIG!$A$20:$D$24,3,FALSE)</f>
        <v>0.5</v>
      </c>
      <c r="E20" s="9">
        <f>B20*D20</f>
        <v>2</v>
      </c>
      <c r="F20" s="12">
        <f>VLOOKUP(A20,CONFIG!$A$20:$D$24,4,FALSE)</f>
        <v>5</v>
      </c>
      <c r="G20" s="9">
        <f>MIN(E20,F20)</f>
        <v>2</v>
      </c>
    </row>
    <row r="21" spans="1:14" ht="18" customHeight="1" x14ac:dyDescent="0.25"/>
    <row r="22" spans="1:14" ht="18" customHeight="1" x14ac:dyDescent="0.25">
      <c r="A22" s="47" t="s">
        <v>45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</row>
    <row r="23" spans="1:14" ht="18" customHeight="1" x14ac:dyDescent="0.25">
      <c r="A23" s="37" t="s">
        <v>46</v>
      </c>
      <c r="B23" s="35"/>
      <c r="C23" s="35"/>
      <c r="D23" s="35"/>
      <c r="E23" s="35"/>
      <c r="F23" s="35"/>
      <c r="G23" s="35"/>
      <c r="H23" s="36"/>
      <c r="I23" s="45">
        <f>L12+J16</f>
        <v>61.480000000112007</v>
      </c>
      <c r="J23" s="35"/>
      <c r="K23" s="35"/>
      <c r="L23" s="35"/>
      <c r="M23" s="35"/>
      <c r="N23" s="36"/>
    </row>
    <row r="24" spans="1:14" ht="18" customHeight="1" x14ac:dyDescent="0.25">
      <c r="A24" s="37" t="s">
        <v>47</v>
      </c>
      <c r="B24" s="35"/>
      <c r="C24" s="35"/>
      <c r="D24" s="35"/>
      <c r="E24" s="35"/>
      <c r="F24" s="35"/>
      <c r="G24" s="35"/>
      <c r="H24" s="36"/>
      <c r="I24" s="44" t="str">
        <f>IF(AND(N12="Sí",I23&gt;=CONFIG!$B$6),"APTO","NO APTO")</f>
        <v>APTO</v>
      </c>
      <c r="J24" s="35"/>
      <c r="K24" s="35"/>
      <c r="L24" s="35"/>
      <c r="M24" s="35"/>
      <c r="N24" s="36"/>
    </row>
    <row r="25" spans="1:14" ht="18" customHeight="1" x14ac:dyDescent="0.25">
      <c r="A25" s="37" t="s">
        <v>48</v>
      </c>
      <c r="B25" s="35"/>
      <c r="C25" s="35"/>
      <c r="D25" s="35"/>
      <c r="E25" s="35"/>
      <c r="F25" s="35"/>
      <c r="G25" s="35"/>
      <c r="H25" s="36"/>
      <c r="I25" s="34">
        <f>MAX(0,$K$4-I23)</f>
        <v>13.519999999887993</v>
      </c>
      <c r="J25" s="35"/>
      <c r="K25" s="35"/>
      <c r="L25" s="35"/>
      <c r="M25" s="35"/>
      <c r="N25" s="36"/>
    </row>
    <row r="26" spans="1:14" ht="18" customHeight="1" x14ac:dyDescent="0.25">
      <c r="A26" s="37" t="s">
        <v>49</v>
      </c>
      <c r="B26" s="35"/>
      <c r="C26" s="35"/>
      <c r="D26" s="35"/>
      <c r="E26" s="35"/>
      <c r="F26" s="35"/>
      <c r="G26" s="35"/>
      <c r="H26" s="36"/>
      <c r="I26" s="34">
        <f>MAX(0,CONFIG!$B$6-I23)</f>
        <v>0</v>
      </c>
      <c r="J26" s="35"/>
      <c r="K26" s="35"/>
      <c r="L26" s="35"/>
      <c r="M26" s="35"/>
      <c r="N26" s="36"/>
    </row>
    <row r="27" spans="1:14" ht="18" customHeight="1" x14ac:dyDescent="0.25"/>
    <row r="28" spans="1:14" ht="18" customHeight="1" x14ac:dyDescent="0.25">
      <c r="A28" s="43" t="s">
        <v>50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</row>
    <row r="29" spans="1:14" ht="18" customHeight="1" x14ac:dyDescent="0.25">
      <c r="A29" s="4" t="s">
        <v>51</v>
      </c>
      <c r="B29" s="4" t="s">
        <v>52</v>
      </c>
      <c r="C29" s="4" t="s">
        <v>29</v>
      </c>
      <c r="D29" s="4" t="s">
        <v>40</v>
      </c>
      <c r="E29" s="4" t="s">
        <v>53</v>
      </c>
      <c r="F29" s="4" t="s">
        <v>54</v>
      </c>
    </row>
    <row r="30" spans="1:14" ht="18" customHeight="1" x14ac:dyDescent="0.25">
      <c r="A30" s="16">
        <v>1</v>
      </c>
      <c r="B30" s="17" t="s">
        <v>55</v>
      </c>
      <c r="C30" s="18">
        <f>L12</f>
        <v>49.980000000112007</v>
      </c>
      <c r="D30" s="18">
        <f>J16</f>
        <v>11.5</v>
      </c>
      <c r="E30" s="19">
        <f t="shared" ref="E30:E35" si="0">C30+D30</f>
        <v>61.480000000112007</v>
      </c>
      <c r="F30" s="16">
        <f>_xlfn.RANK.EQ(E30,$E$30:$E$35,0)</f>
        <v>6</v>
      </c>
    </row>
    <row r="31" spans="1:14" ht="18" customHeight="1" x14ac:dyDescent="0.25">
      <c r="A31" s="8">
        <v>2</v>
      </c>
      <c r="B31" s="20" t="s">
        <v>56</v>
      </c>
      <c r="C31" s="21">
        <v>54.2</v>
      </c>
      <c r="D31" s="21">
        <v>18</v>
      </c>
      <c r="E31" s="22">
        <f t="shared" si="0"/>
        <v>72.2</v>
      </c>
      <c r="F31" s="16">
        <f t="shared" ref="F31:F35" si="1">_xlfn.RANK.EQ(E31,$E$30:$E$35,0)</f>
        <v>4</v>
      </c>
    </row>
    <row r="32" spans="1:14" ht="18" customHeight="1" x14ac:dyDescent="0.25">
      <c r="A32" s="8">
        <v>3</v>
      </c>
      <c r="B32" s="20" t="s">
        <v>57</v>
      </c>
      <c r="C32" s="21">
        <v>50</v>
      </c>
      <c r="D32" s="21">
        <v>22.5</v>
      </c>
      <c r="E32" s="22">
        <f t="shared" si="0"/>
        <v>72.5</v>
      </c>
      <c r="F32" s="16">
        <f t="shared" si="1"/>
        <v>3</v>
      </c>
    </row>
    <row r="33" spans="1:6" ht="18" customHeight="1" x14ac:dyDescent="0.25">
      <c r="A33" s="8">
        <v>4</v>
      </c>
      <c r="B33" s="20" t="s">
        <v>58</v>
      </c>
      <c r="C33" s="21">
        <v>61.3</v>
      </c>
      <c r="D33" s="21">
        <v>10</v>
      </c>
      <c r="E33" s="22">
        <f t="shared" si="0"/>
        <v>71.3</v>
      </c>
      <c r="F33" s="16">
        <f t="shared" si="1"/>
        <v>5</v>
      </c>
    </row>
    <row r="34" spans="1:6" ht="18" customHeight="1" x14ac:dyDescent="0.25">
      <c r="A34" s="8">
        <v>5</v>
      </c>
      <c r="B34" s="20" t="s">
        <v>59</v>
      </c>
      <c r="C34" s="21">
        <v>48.7</v>
      </c>
      <c r="D34" s="21">
        <v>25</v>
      </c>
      <c r="E34" s="22">
        <f t="shared" si="0"/>
        <v>73.7</v>
      </c>
      <c r="F34" s="16">
        <f t="shared" si="1"/>
        <v>1</v>
      </c>
    </row>
    <row r="35" spans="1:6" ht="18" customHeight="1" x14ac:dyDescent="0.25">
      <c r="A35" s="8">
        <v>6</v>
      </c>
      <c r="B35" s="20" t="s">
        <v>60</v>
      </c>
      <c r="C35" s="21">
        <v>58.9</v>
      </c>
      <c r="D35" s="21">
        <v>14</v>
      </c>
      <c r="E35" s="22">
        <f t="shared" si="0"/>
        <v>72.900000000000006</v>
      </c>
      <c r="F35" s="16">
        <f t="shared" si="1"/>
        <v>2</v>
      </c>
    </row>
    <row r="36" spans="1:6" ht="18" customHeight="1" x14ac:dyDescent="0.25"/>
    <row r="37" spans="1:6" ht="18" customHeight="1" x14ac:dyDescent="0.25"/>
    <row r="38" spans="1:6" ht="18" customHeight="1" x14ac:dyDescent="0.25"/>
    <row r="39" spans="1:6" ht="18" customHeight="1" x14ac:dyDescent="0.25"/>
  </sheetData>
  <mergeCells count="19">
    <mergeCell ref="A28:N28"/>
    <mergeCell ref="B4:C4"/>
    <mergeCell ref="A26:H26"/>
    <mergeCell ref="A3:N3"/>
    <mergeCell ref="A23:H23"/>
    <mergeCell ref="A14:N14"/>
    <mergeCell ref="A22:N22"/>
    <mergeCell ref="I26:N26"/>
    <mergeCell ref="I25:N25"/>
    <mergeCell ref="A24:H24"/>
    <mergeCell ref="H4:I4"/>
    <mergeCell ref="K4:L4"/>
    <mergeCell ref="A1:N1"/>
    <mergeCell ref="E4:F4"/>
    <mergeCell ref="A6:N6"/>
    <mergeCell ref="I24:N24"/>
    <mergeCell ref="A25:H25"/>
    <mergeCell ref="I23:N23"/>
    <mergeCell ref="A12:H12"/>
  </mergeCells>
  <conditionalFormatting sqref="I24">
    <cfRule type="expression" dxfId="6" priority="5">
      <formula>I24="APTO"</formula>
    </cfRule>
    <cfRule type="expression" dxfId="5" priority="6">
      <formula>I24="NO APTO"</formula>
    </cfRule>
  </conditionalFormatting>
  <conditionalFormatting sqref="I24:N24">
    <cfRule type="expression" dxfId="4" priority="3">
      <formula>I24="APTO"</formula>
    </cfRule>
    <cfRule type="expression" dxfId="3" priority="4">
      <formula>I24="NO APTO"</formula>
    </cfRule>
  </conditionalFormatting>
  <conditionalFormatting sqref="L8:L10">
    <cfRule type="expression" dxfId="2" priority="1">
      <formula>L8="No"</formula>
    </cfRule>
    <cfRule type="expression" dxfId="1" priority="2">
      <formula>L8="Sí"</formula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showGridLines="0" workbookViewId="0">
      <selection activeCell="J28" sqref="J28"/>
    </sheetView>
  </sheetViews>
  <sheetFormatPr baseColWidth="10" defaultColWidth="9.140625" defaultRowHeight="15" x14ac:dyDescent="0.25"/>
  <cols>
    <col min="1" max="1" width="12" customWidth="1"/>
    <col min="2" max="2" width="20" customWidth="1"/>
    <col min="3" max="3" width="16" customWidth="1"/>
    <col min="4" max="4" width="22" customWidth="1"/>
    <col min="5" max="6" width="16" customWidth="1"/>
    <col min="7" max="8" width="2" customWidth="1"/>
  </cols>
  <sheetData>
    <row r="1" spans="1:8" ht="30" customHeight="1" x14ac:dyDescent="0.25">
      <c r="A1" s="40" t="s">
        <v>61</v>
      </c>
      <c r="B1" s="41"/>
      <c r="C1" s="41"/>
      <c r="D1" s="41"/>
      <c r="E1" s="41"/>
      <c r="F1" s="41"/>
      <c r="G1" s="41"/>
      <c r="H1" s="41"/>
    </row>
    <row r="3" spans="1:8" x14ac:dyDescent="0.25">
      <c r="A3" s="48" t="s">
        <v>62</v>
      </c>
      <c r="B3" s="41"/>
      <c r="C3" s="41"/>
      <c r="D3" s="41"/>
      <c r="E3" s="41"/>
      <c r="F3" s="41"/>
      <c r="G3" s="41"/>
      <c r="H3" s="41"/>
    </row>
    <row r="4" spans="1:8" ht="18" customHeight="1" x14ac:dyDescent="0.25"/>
    <row r="5" spans="1:8" ht="18" customHeight="1" x14ac:dyDescent="0.25">
      <c r="A5" s="4" t="s">
        <v>63</v>
      </c>
      <c r="B5" s="4" t="s">
        <v>28</v>
      </c>
      <c r="C5" s="4" t="s">
        <v>29</v>
      </c>
      <c r="D5" s="4" t="s">
        <v>64</v>
      </c>
      <c r="E5" s="4" t="s">
        <v>46</v>
      </c>
      <c r="F5" s="4" t="s">
        <v>65</v>
      </c>
    </row>
    <row r="6" spans="1:8" ht="18" customHeight="1" x14ac:dyDescent="0.25">
      <c r="A6" s="23">
        <v>46025</v>
      </c>
      <c r="B6" s="24">
        <v>5.4</v>
      </c>
      <c r="C6" s="9">
        <f>B6*CONFIG!$B$4/10</f>
        <v>37.799999999999997</v>
      </c>
      <c r="D6" s="6">
        <v>0</v>
      </c>
      <c r="E6" s="9">
        <f t="shared" ref="E6:E15" si="0">C6+D6</f>
        <v>37.799999999999997</v>
      </c>
      <c r="F6" s="9">
        <f>IF(COUNT($E$6:E6)&lt;5,AVERAGE($E$6:E6),AVERAGE(E2:E6))</f>
        <v>37.799999999999997</v>
      </c>
    </row>
    <row r="7" spans="1:8" ht="18" customHeight="1" x14ac:dyDescent="0.25">
      <c r="A7" s="23">
        <v>46032</v>
      </c>
      <c r="B7" s="24">
        <v>5.65</v>
      </c>
      <c r="C7" s="9">
        <f>B7*CONFIG!$B$4/10</f>
        <v>39.549999999999997</v>
      </c>
      <c r="D7" s="6">
        <v>0</v>
      </c>
      <c r="E7" s="9">
        <f t="shared" si="0"/>
        <v>39.549999999999997</v>
      </c>
      <c r="F7" s="9">
        <f>IF(COUNT($E$6:E7)&lt;5,AVERAGE($E$6:E7),AVERAGE(E3:E7))</f>
        <v>38.674999999999997</v>
      </c>
    </row>
    <row r="8" spans="1:8" ht="18" customHeight="1" x14ac:dyDescent="0.25">
      <c r="A8" s="23">
        <v>46039</v>
      </c>
      <c r="B8" s="24">
        <v>5.9</v>
      </c>
      <c r="C8" s="9">
        <f>B8*CONFIG!$B$4/10</f>
        <v>41.3</v>
      </c>
      <c r="D8" s="6">
        <v>0</v>
      </c>
      <c r="E8" s="9">
        <f t="shared" si="0"/>
        <v>41.3</v>
      </c>
      <c r="F8" s="9">
        <f>IF(COUNT($E$6:E8)&lt;5,AVERAGE($E$6:E8),AVERAGE(E4:E8))</f>
        <v>39.549999999999997</v>
      </c>
    </row>
    <row r="9" spans="1:8" ht="18" customHeight="1" x14ac:dyDescent="0.25">
      <c r="A9" s="23">
        <v>46046</v>
      </c>
      <c r="B9" s="24">
        <v>6.15</v>
      </c>
      <c r="C9" s="9">
        <f>B9*CONFIG!$B$4/10</f>
        <v>43.05</v>
      </c>
      <c r="D9" s="6">
        <v>0</v>
      </c>
      <c r="E9" s="9">
        <f t="shared" si="0"/>
        <v>43.05</v>
      </c>
      <c r="F9" s="9">
        <f>IF(COUNT($E$6:E9)&lt;5,AVERAGE($E$6:E9),AVERAGE(E5:E9))</f>
        <v>40.424999999999997</v>
      </c>
    </row>
    <row r="10" spans="1:8" ht="18" customHeight="1" x14ac:dyDescent="0.25">
      <c r="A10" s="23">
        <v>46053</v>
      </c>
      <c r="B10" s="24">
        <v>6.4</v>
      </c>
      <c r="C10" s="9">
        <f>B10*CONFIG!$B$4/10</f>
        <v>44.8</v>
      </c>
      <c r="D10" s="6">
        <v>0</v>
      </c>
      <c r="E10" s="9">
        <f t="shared" si="0"/>
        <v>44.8</v>
      </c>
      <c r="F10" s="9">
        <f>IF(COUNT($E$6:E10)&lt;5,AVERAGE($E$6:E10),AVERAGE(E6:E10))</f>
        <v>41.3</v>
      </c>
    </row>
    <row r="11" spans="1:8" ht="18" customHeight="1" x14ac:dyDescent="0.25">
      <c r="A11" s="23">
        <v>46060</v>
      </c>
      <c r="B11" s="24">
        <v>6.65</v>
      </c>
      <c r="C11" s="9">
        <f>B11*CONFIG!$B$4/10</f>
        <v>46.55</v>
      </c>
      <c r="D11" s="6">
        <v>0</v>
      </c>
      <c r="E11" s="9">
        <f t="shared" si="0"/>
        <v>46.55</v>
      </c>
      <c r="F11" s="9">
        <f>IF(COUNT($E$6:E11)&lt;5,AVERAGE($E$6:E11),AVERAGE(E7:E11))</f>
        <v>43.05</v>
      </c>
    </row>
    <row r="12" spans="1:8" ht="18" customHeight="1" x14ac:dyDescent="0.25">
      <c r="A12" s="23">
        <v>46067</v>
      </c>
      <c r="B12" s="24">
        <v>6.9</v>
      </c>
      <c r="C12" s="9">
        <f>B12*CONFIG!$B$4/10</f>
        <v>48.3</v>
      </c>
      <c r="D12" s="6">
        <v>0</v>
      </c>
      <c r="E12" s="9">
        <f t="shared" si="0"/>
        <v>48.3</v>
      </c>
      <c r="F12" s="9">
        <f>IF(COUNT($E$6:E12)&lt;5,AVERAGE($E$6:E12),AVERAGE(E8:E12))</f>
        <v>44.8</v>
      </c>
    </row>
    <row r="13" spans="1:8" ht="18" customHeight="1" x14ac:dyDescent="0.25">
      <c r="A13" s="23">
        <v>46074</v>
      </c>
      <c r="B13" s="24">
        <v>7.15</v>
      </c>
      <c r="C13" s="9">
        <f>B13*CONFIG!$B$4/10</f>
        <v>50.05</v>
      </c>
      <c r="D13" s="6">
        <v>0</v>
      </c>
      <c r="E13" s="9">
        <f t="shared" si="0"/>
        <v>50.05</v>
      </c>
      <c r="F13" s="9">
        <f>IF(COUNT($E$6:E13)&lt;5,AVERAGE($E$6:E13),AVERAGE(E9:E13))</f>
        <v>46.55</v>
      </c>
    </row>
    <row r="14" spans="1:8" ht="18" customHeight="1" x14ac:dyDescent="0.25">
      <c r="A14" s="23">
        <v>46081</v>
      </c>
      <c r="B14" s="24">
        <v>7.4</v>
      </c>
      <c r="C14" s="9">
        <f>B14*CONFIG!$B$4/10</f>
        <v>51.8</v>
      </c>
      <c r="D14" s="6">
        <v>0</v>
      </c>
      <c r="E14" s="9">
        <f t="shared" si="0"/>
        <v>51.8</v>
      </c>
      <c r="F14" s="9">
        <f>IF(COUNT($E$6:E14)&lt;5,AVERAGE($E$6:E14),AVERAGE(E10:E14))</f>
        <v>48.3</v>
      </c>
    </row>
    <row r="15" spans="1:8" ht="18" customHeight="1" x14ac:dyDescent="0.25">
      <c r="A15" s="23">
        <v>46088</v>
      </c>
      <c r="B15" s="24">
        <v>7.65</v>
      </c>
      <c r="C15" s="9">
        <f>B15*CONFIG!$B$4/10</f>
        <v>53.55</v>
      </c>
      <c r="D15" s="6">
        <v>0</v>
      </c>
      <c r="E15" s="9">
        <f t="shared" si="0"/>
        <v>53.55</v>
      </c>
      <c r="F15" s="9">
        <f>IF(COUNT($E$6:E15)&lt;5,AVERAGE($E$6:E15),AVERAGE(E11:E15))</f>
        <v>50.05</v>
      </c>
    </row>
    <row r="16" spans="1:8" ht="18" customHeight="1" x14ac:dyDescent="0.25"/>
    <row r="17" ht="18" customHeight="1" x14ac:dyDescent="0.25"/>
  </sheetData>
  <mergeCells count="2">
    <mergeCell ref="A3:H3"/>
    <mergeCell ref="A1:H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showGridLines="0" workbookViewId="0">
      <selection activeCell="B28" sqref="B28"/>
    </sheetView>
  </sheetViews>
  <sheetFormatPr baseColWidth="10" defaultColWidth="9.140625" defaultRowHeight="15" x14ac:dyDescent="0.25"/>
  <cols>
    <col min="1" max="1" width="42" customWidth="1"/>
    <col min="2" max="2" width="14" customWidth="1"/>
    <col min="3" max="3" width="15.5703125" customWidth="1"/>
    <col min="4" max="4" width="14" customWidth="1"/>
    <col min="5" max="5" width="2" customWidth="1"/>
    <col min="6" max="8" width="18" customWidth="1"/>
  </cols>
  <sheetData>
    <row r="1" spans="1:8" ht="30" customHeight="1" x14ac:dyDescent="0.25">
      <c r="A1" s="40" t="s">
        <v>66</v>
      </c>
      <c r="B1" s="41"/>
      <c r="C1" s="41"/>
      <c r="D1" s="41"/>
      <c r="E1" s="41"/>
      <c r="F1" s="41"/>
      <c r="G1" s="41"/>
      <c r="H1" s="41"/>
    </row>
    <row r="3" spans="1:8" ht="18" customHeight="1" x14ac:dyDescent="0.25">
      <c r="A3" s="47" t="s">
        <v>67</v>
      </c>
      <c r="B3" s="41"/>
      <c r="C3" s="41"/>
      <c r="D3" s="41"/>
      <c r="E3" s="41"/>
      <c r="F3" s="41"/>
      <c r="G3" s="41"/>
      <c r="H3" s="41"/>
    </row>
    <row r="4" spans="1:8" ht="18" customHeight="1" x14ac:dyDescent="0.25">
      <c r="A4" s="1" t="s">
        <v>68</v>
      </c>
      <c r="B4" s="3">
        <v>70</v>
      </c>
    </row>
    <row r="5" spans="1:8" ht="18" customHeight="1" x14ac:dyDescent="0.25">
      <c r="A5" s="1" t="s">
        <v>69</v>
      </c>
      <c r="B5" s="3">
        <v>30</v>
      </c>
    </row>
    <row r="6" spans="1:8" ht="18" customHeight="1" x14ac:dyDescent="0.25">
      <c r="A6" s="1" t="s">
        <v>70</v>
      </c>
      <c r="B6" s="3">
        <v>60</v>
      </c>
    </row>
    <row r="7" spans="1:8" ht="18" customHeight="1" x14ac:dyDescent="0.25">
      <c r="A7" s="1" t="s">
        <v>71</v>
      </c>
      <c r="B7" s="25">
        <v>0.33333333329999998</v>
      </c>
    </row>
    <row r="8" spans="1:8" ht="18" customHeight="1" x14ac:dyDescent="0.25">
      <c r="A8" s="1" t="s">
        <v>72</v>
      </c>
      <c r="B8" s="2" t="s">
        <v>23</v>
      </c>
    </row>
    <row r="9" spans="1:8" ht="18" customHeight="1" x14ac:dyDescent="0.25">
      <c r="A9" s="1" t="s">
        <v>73</v>
      </c>
      <c r="B9" s="2" t="s">
        <v>25</v>
      </c>
    </row>
    <row r="10" spans="1:8" ht="18" customHeight="1" x14ac:dyDescent="0.25"/>
    <row r="11" spans="1:8" ht="18" customHeight="1" x14ac:dyDescent="0.25">
      <c r="A11" s="47" t="s">
        <v>74</v>
      </c>
      <c r="B11" s="41"/>
      <c r="C11" s="41"/>
      <c r="D11" s="41"/>
      <c r="E11" s="41"/>
      <c r="F11" s="41"/>
      <c r="G11" s="41"/>
      <c r="H11" s="41"/>
    </row>
    <row r="12" spans="1:8" ht="18" customHeight="1" x14ac:dyDescent="0.25">
      <c r="A12" s="26" t="s">
        <v>8</v>
      </c>
      <c r="D12" s="26" t="s">
        <v>20</v>
      </c>
      <c r="F12" s="26" t="s">
        <v>75</v>
      </c>
    </row>
    <row r="13" spans="1:8" ht="18" customHeight="1" x14ac:dyDescent="0.25">
      <c r="A13" s="27" t="s">
        <v>22</v>
      </c>
      <c r="D13" s="11">
        <v>0.4</v>
      </c>
      <c r="F13" s="28">
        <v>5</v>
      </c>
    </row>
    <row r="14" spans="1:8" ht="18" customHeight="1" x14ac:dyDescent="0.25">
      <c r="A14" s="27" t="s">
        <v>24</v>
      </c>
      <c r="D14" s="11">
        <v>0.4</v>
      </c>
      <c r="F14" s="28">
        <v>5</v>
      </c>
    </row>
    <row r="15" spans="1:8" ht="18" customHeight="1" x14ac:dyDescent="0.25">
      <c r="A15" s="27" t="s">
        <v>26</v>
      </c>
      <c r="D15" s="11">
        <v>0.2</v>
      </c>
      <c r="F15" s="28">
        <v>5</v>
      </c>
    </row>
    <row r="16" spans="1:8" ht="18" customHeight="1" x14ac:dyDescent="0.25">
      <c r="A16" s="29" t="s">
        <v>76</v>
      </c>
      <c r="D16" s="30">
        <f>SUM(D13:D15)</f>
        <v>1</v>
      </c>
    </row>
    <row r="17" spans="1:8" ht="18" customHeight="1" x14ac:dyDescent="0.25"/>
    <row r="18" spans="1:8" ht="18" customHeight="1" x14ac:dyDescent="0.25">
      <c r="A18" s="47" t="s">
        <v>77</v>
      </c>
      <c r="B18" s="41"/>
      <c r="C18" s="41"/>
      <c r="D18" s="41"/>
      <c r="E18" s="41"/>
      <c r="F18" s="41"/>
      <c r="G18" s="41"/>
      <c r="H18" s="41"/>
    </row>
    <row r="19" spans="1:8" x14ac:dyDescent="0.25">
      <c r="A19" s="26" t="s">
        <v>32</v>
      </c>
      <c r="B19" s="26" t="s">
        <v>34</v>
      </c>
      <c r="C19" s="26" t="s">
        <v>35</v>
      </c>
      <c r="D19" s="26" t="s">
        <v>78</v>
      </c>
    </row>
    <row r="20" spans="1:8" ht="18" customHeight="1" x14ac:dyDescent="0.25">
      <c r="A20" s="31" t="s">
        <v>39</v>
      </c>
      <c r="B20" s="32" t="s">
        <v>79</v>
      </c>
      <c r="C20" s="33">
        <v>0.1</v>
      </c>
      <c r="D20" s="33">
        <v>12</v>
      </c>
    </row>
    <row r="21" spans="1:8" ht="18" customHeight="1" x14ac:dyDescent="0.25">
      <c r="A21" s="31" t="s">
        <v>41</v>
      </c>
      <c r="B21" s="32" t="s">
        <v>80</v>
      </c>
      <c r="C21" s="33">
        <v>0.2</v>
      </c>
      <c r="D21" s="33">
        <v>6</v>
      </c>
    </row>
    <row r="22" spans="1:8" ht="18" customHeight="1" x14ac:dyDescent="0.25">
      <c r="A22" s="31" t="s">
        <v>42</v>
      </c>
      <c r="B22" s="32" t="s">
        <v>81</v>
      </c>
      <c r="C22" s="33">
        <v>1</v>
      </c>
      <c r="D22" s="33">
        <v>4</v>
      </c>
    </row>
    <row r="23" spans="1:8" ht="18" customHeight="1" x14ac:dyDescent="0.25">
      <c r="A23" s="31" t="s">
        <v>43</v>
      </c>
      <c r="B23" s="32" t="s">
        <v>82</v>
      </c>
      <c r="C23" s="33">
        <v>0.5</v>
      </c>
      <c r="D23" s="33">
        <v>3</v>
      </c>
    </row>
    <row r="24" spans="1:8" ht="18" customHeight="1" x14ac:dyDescent="0.25">
      <c r="A24" s="31" t="s">
        <v>44</v>
      </c>
      <c r="B24" s="32" t="s">
        <v>83</v>
      </c>
      <c r="C24" s="33">
        <v>0.5</v>
      </c>
      <c r="D24" s="33">
        <v>5</v>
      </c>
    </row>
    <row r="25" spans="1:8" ht="18" customHeight="1" x14ac:dyDescent="0.25"/>
  </sheetData>
  <mergeCells count="4">
    <mergeCell ref="A18:H18"/>
    <mergeCell ref="A3:H3"/>
    <mergeCell ref="A11:H11"/>
    <mergeCell ref="A1:H1"/>
  </mergeCells>
  <conditionalFormatting sqref="D16">
    <cfRule type="expression" dxfId="0" priority="1">
      <formula>ABS(D16-1)&gt;0.0001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CALCULADORA</vt:lpstr>
      <vt:lpstr>SIMULACROS</vt:lpstr>
      <vt:lpstr>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2026-02-12T10:37:08Z</dcterms:created>
  <dcterms:modified xsi:type="dcterms:W3CDTF">2026-02-12T10:37:08Z</dcterms:modified>
</cp:coreProperties>
</file>