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nanzas personales\"/>
    </mc:Choice>
  </mc:AlternateContent>
  <xr:revisionPtr revIDLastSave="0" documentId="13_ncr:1_{9150B8EA-347A-4F43-90C7-F0FDB524F108}" xr6:coauthVersionLast="47" xr6:coauthVersionMax="47" xr10:uidLastSave="{00000000-0000-0000-0000-000000000000}"/>
  <bookViews>
    <workbookView xWindow="3705" yWindow="3180" windowWidth="17280" windowHeight="11580" tabRatio="500" xr2:uid="{00000000-000D-0000-FFFF-FFFF00000000}"/>
  </bookViews>
  <sheets>
    <sheet name="Panel de Control" sheetId="1" r:id="rId1"/>
    <sheet name="Transacciones" sheetId="2" r:id="rId2"/>
    <sheet name="Resumen" sheetId="3" r:id="rId3"/>
    <sheet name="Planificació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4" i="4" l="1"/>
  <c r="C13" i="4"/>
  <c r="E13" i="4" s="1"/>
  <c r="F13" i="4" s="1"/>
  <c r="C12" i="4"/>
  <c r="E12" i="4" s="1"/>
  <c r="F12" i="4" s="1"/>
  <c r="C11" i="4"/>
  <c r="E11" i="4" s="1"/>
  <c r="F11" i="4" s="1"/>
  <c r="C10" i="4"/>
  <c r="E10" i="4" s="1"/>
  <c r="F10" i="4" s="1"/>
  <c r="C9" i="4"/>
  <c r="E9" i="4" s="1"/>
  <c r="F9" i="4" s="1"/>
  <c r="C8" i="4"/>
  <c r="E8" i="4" s="1"/>
  <c r="F8" i="4" s="1"/>
  <c r="C7" i="4"/>
  <c r="E7" i="4" s="1"/>
  <c r="F7" i="4" s="1"/>
  <c r="C6" i="4"/>
  <c r="E6" i="4" s="1"/>
  <c r="F6" i="4" s="1"/>
  <c r="C5" i="4"/>
  <c r="E5" i="4" s="1"/>
  <c r="F5" i="4" s="1"/>
  <c r="C4" i="4"/>
  <c r="E4" i="4" s="1"/>
  <c r="F4" i="4" s="1"/>
  <c r="D12" i="3"/>
  <c r="E12" i="3" s="1"/>
  <c r="B12" i="3"/>
  <c r="C12" i="3" s="1"/>
  <c r="D11" i="3"/>
  <c r="E11" i="3" s="1"/>
  <c r="B11" i="3"/>
  <c r="C11" i="3" s="1"/>
  <c r="D10" i="3"/>
  <c r="E10" i="3" s="1"/>
  <c r="B10" i="3"/>
  <c r="C10" i="3" s="1"/>
  <c r="D9" i="3"/>
  <c r="E9" i="3" s="1"/>
  <c r="B9" i="3"/>
  <c r="B18" i="1" s="1"/>
  <c r="C18" i="1" s="1"/>
  <c r="D8" i="3"/>
  <c r="E8" i="3" s="1"/>
  <c r="B8" i="3"/>
  <c r="C8" i="3" s="1"/>
  <c r="D7" i="3"/>
  <c r="E7" i="3" s="1"/>
  <c r="B7" i="3"/>
  <c r="C7" i="3" s="1"/>
  <c r="D6" i="3"/>
  <c r="E6" i="3" s="1"/>
  <c r="B6" i="3"/>
  <c r="C6" i="3" s="1"/>
  <c r="D5" i="3"/>
  <c r="E5" i="3" s="1"/>
  <c r="B5" i="3"/>
  <c r="C5" i="3" s="1"/>
  <c r="D4" i="3"/>
  <c r="E4" i="3" s="1"/>
  <c r="B4" i="3"/>
  <c r="B13" i="3" s="1"/>
  <c r="M3" i="2"/>
  <c r="C9" i="1" s="1"/>
  <c r="D9" i="1" s="1"/>
  <c r="M2" i="2"/>
  <c r="C10" i="1" s="1"/>
  <c r="D10" i="1" s="1"/>
  <c r="A18" i="1"/>
  <c r="A17" i="1"/>
  <c r="B16" i="1"/>
  <c r="C16" i="1" s="1"/>
  <c r="A16" i="1"/>
  <c r="A15" i="1"/>
  <c r="B14" i="1"/>
  <c r="C14" i="1" s="1"/>
  <c r="A14" i="1"/>
  <c r="D4" i="1"/>
  <c r="A4" i="1"/>
  <c r="C4" i="3" l="1"/>
  <c r="C9" i="3"/>
  <c r="D5" i="4"/>
  <c r="D10" i="4"/>
  <c r="G4" i="1"/>
  <c r="B15" i="1"/>
  <c r="C15" i="1" s="1"/>
  <c r="D6" i="4"/>
  <c r="D11" i="4"/>
  <c r="M4" i="2"/>
  <c r="M5" i="2" s="1"/>
  <c r="B17" i="1"/>
  <c r="C17" i="1" s="1"/>
  <c r="D7" i="4"/>
  <c r="D12" i="4"/>
  <c r="C8" i="1"/>
  <c r="D8" i="1" s="1"/>
  <c r="D8" i="4"/>
  <c r="D13" i="4"/>
  <c r="D4" i="4"/>
  <c r="D14" i="4" s="1"/>
  <c r="D9" i="4"/>
  <c r="C14" i="4"/>
  <c r="C13" i="3" l="1"/>
</calcChain>
</file>

<file path=xl/sharedStrings.xml><?xml version="1.0" encoding="utf-8"?>
<sst xmlns="http://schemas.openxmlformats.org/spreadsheetml/2006/main" count="215" uniqueCount="126">
  <si>
    <t>Panel Actualizado: February 2026</t>
  </si>
  <si>
    <t>INDICADORES FINANCIEROS</t>
  </si>
  <si>
    <t>INDICADOR</t>
  </si>
  <si>
    <t>OBJETIVO</t>
  </si>
  <si>
    <t>ACTUAL</t>
  </si>
  <si>
    <t>% PROGRESO</t>
  </si>
  <si>
    <t>Tasa de Ahorro</t>
  </si>
  <si>
    <t>Ratio Gastos/Ingresos</t>
  </si>
  <si>
    <t>Meta de Ahorro Mensual</t>
  </si>
  <si>
    <t>TOP 5 CATEGORÍAS DE GASTO</t>
  </si>
  <si>
    <t>CATEGORÍA</t>
  </si>
  <si>
    <t>MONTO</t>
  </si>
  <si>
    <t>% DEL TOTAL</t>
  </si>
  <si>
    <t>REGISTRO DE TRANSACCIONES FINANCIERAS</t>
  </si>
  <si>
    <t>RESUMEN MENSUAL</t>
  </si>
  <si>
    <t>Registre aquí todas sus transacciones mensuales. Los datos se actualizarán automáticamente en el Panel de Control.</t>
  </si>
  <si>
    <t>Total Ingresos:</t>
  </si>
  <si>
    <t>Total Gastos:</t>
  </si>
  <si>
    <t>FECHA</t>
  </si>
  <si>
    <t>TIPO</t>
  </si>
  <si>
    <t>SUBCATEGORÍA</t>
  </si>
  <si>
    <t>DESCRIPCIÓN</t>
  </si>
  <si>
    <t>MÉTODO PAGO</t>
  </si>
  <si>
    <t>RECURRENTE</t>
  </si>
  <si>
    <t>NOTAS</t>
  </si>
  <si>
    <t>ETIQUETAS</t>
  </si>
  <si>
    <t>Balance Neto:</t>
  </si>
  <si>
    <t>01/02/2026</t>
  </si>
  <si>
    <t>Ingreso</t>
  </si>
  <si>
    <t>Salario</t>
  </si>
  <si>
    <t>Sueldo Base</t>
  </si>
  <si>
    <t>Nómina mensual empresa</t>
  </si>
  <si>
    <t>Transferencia</t>
  </si>
  <si>
    <t>Sí</t>
  </si>
  <si>
    <t>Trabajo</t>
  </si>
  <si>
    <t>Tasa de Ahorro:</t>
  </si>
  <si>
    <t>03/02/2026</t>
  </si>
  <si>
    <t>Freelance</t>
  </si>
  <si>
    <t>Consultoría</t>
  </si>
  <si>
    <t>Proyecto diseño web</t>
  </si>
  <si>
    <t>No</t>
  </si>
  <si>
    <t>Cliente ABC</t>
  </si>
  <si>
    <t>Extra</t>
  </si>
  <si>
    <t>05/02/2026</t>
  </si>
  <si>
    <t>Gasto</t>
  </si>
  <si>
    <t>Vivienda</t>
  </si>
  <si>
    <t>Alquiler</t>
  </si>
  <si>
    <t>Renta apartamento</t>
  </si>
  <si>
    <t>Pago mensual</t>
  </si>
  <si>
    <t>Fijo</t>
  </si>
  <si>
    <t>06/02/2026</t>
  </si>
  <si>
    <t>Alimentación</t>
  </si>
  <si>
    <t>Supermercado</t>
  </si>
  <si>
    <t>Compra semanal Mercadona</t>
  </si>
  <si>
    <t>Tarjeta Débito</t>
  </si>
  <si>
    <t>Variable</t>
  </si>
  <si>
    <t>07/02/2026</t>
  </si>
  <si>
    <t>Transporte</t>
  </si>
  <si>
    <t>Combustible</t>
  </si>
  <si>
    <t>Gasolina BP</t>
  </si>
  <si>
    <t>Tarjeta Crédito</t>
  </si>
  <si>
    <t>08/02/2026</t>
  </si>
  <si>
    <t>Servicios</t>
  </si>
  <si>
    <t>Electricidad</t>
  </si>
  <si>
    <t>Factura Iberdrola</t>
  </si>
  <si>
    <t>Domiciliación</t>
  </si>
  <si>
    <t>10/02/2026</t>
  </si>
  <si>
    <t>Internet</t>
  </si>
  <si>
    <t>Fibra + Móvil</t>
  </si>
  <si>
    <t>12/02/2026</t>
  </si>
  <si>
    <t>Ocio</t>
  </si>
  <si>
    <t>Restaurantes</t>
  </si>
  <si>
    <t>Cena cumpleaños</t>
  </si>
  <si>
    <t>Amigos</t>
  </si>
  <si>
    <t>Social</t>
  </si>
  <si>
    <t>13/02/2026</t>
  </si>
  <si>
    <t>Compra semanal</t>
  </si>
  <si>
    <t>15/02/2026</t>
  </si>
  <si>
    <t>Mantenimiento</t>
  </si>
  <si>
    <t>Revisión coche</t>
  </si>
  <si>
    <t>Taller oficial</t>
  </si>
  <si>
    <t>Esporádico</t>
  </si>
  <si>
    <t>17/02/2026</t>
  </si>
  <si>
    <t>Salud</t>
  </si>
  <si>
    <t>Gimnasio</t>
  </si>
  <si>
    <t>Cuota mensual</t>
  </si>
  <si>
    <t>Bienestar</t>
  </si>
  <si>
    <t>18/02/2026</t>
  </si>
  <si>
    <t>Suscripciones</t>
  </si>
  <si>
    <t>Streaming</t>
  </si>
  <si>
    <t>Netflix + Spotify</t>
  </si>
  <si>
    <t>Entretenimiento</t>
  </si>
  <si>
    <t>20/02/2026</t>
  </si>
  <si>
    <t>Compra semanal Carrefour</t>
  </si>
  <si>
    <t>22/02/2026</t>
  </si>
  <si>
    <t>Ropa</t>
  </si>
  <si>
    <t>Vestimenta</t>
  </si>
  <si>
    <t>Zapatos nuevos</t>
  </si>
  <si>
    <t>Rebajas</t>
  </si>
  <si>
    <t>Personal</t>
  </si>
  <si>
    <t>24/02/2026</t>
  </si>
  <si>
    <t>Cine + palomitas</t>
  </si>
  <si>
    <t>Efectivo</t>
  </si>
  <si>
    <t>25/02/2026</t>
  </si>
  <si>
    <t>Educación</t>
  </si>
  <si>
    <t>Cursos Online</t>
  </si>
  <si>
    <t>Curso Python Udemy</t>
  </si>
  <si>
    <t>Desarrollo profesional</t>
  </si>
  <si>
    <t>Inversión</t>
  </si>
  <si>
    <t>26/02/2026</t>
  </si>
  <si>
    <t>Gasolina Repsol</t>
  </si>
  <si>
    <t>27/02/2026</t>
  </si>
  <si>
    <t>Compra fin de mes</t>
  </si>
  <si>
    <t>ANÁLISIS POR CATEGORÍAS</t>
  </si>
  <si>
    <t>TOTAL</t>
  </si>
  <si>
    <t>% DEL GASTO</t>
  </si>
  <si>
    <t>TRANSACCIONES</t>
  </si>
  <si>
    <t>PROMEDIO</t>
  </si>
  <si>
    <t>PRESUPUESTO Y METAS MENSUALES</t>
  </si>
  <si>
    <t>PRESUPUESTO</t>
  </si>
  <si>
    <t>GASTADO</t>
  </si>
  <si>
    <t>DIFERENCIA</t>
  </si>
  <si>
    <t>% USADO</t>
  </si>
  <si>
    <t>ESTADO</t>
  </si>
  <si>
    <t>Otros</t>
  </si>
  <si>
    <t>PLATAFORMA DE FINANZAS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</si>
</sst>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"/>
    <numFmt numFmtId="165" formatCode="0.0\%"/>
    <numFmt numFmtId="166" formatCode="0.0%"/>
  </numFmts>
  <fonts count="20" x14ac:knownFonts="1">
    <font>
      <sz val="11"/>
      <color theme="1"/>
      <name val="Calibri"/>
      <family val="2"/>
      <charset val="1"/>
    </font>
    <font>
      <b/>
      <sz val="18"/>
      <color rgb="FFEEECE1"/>
      <name val="Arial"/>
      <charset val="1"/>
    </font>
    <font>
      <i/>
      <sz val="10"/>
      <color rgb="FF333333"/>
      <name val="Arial"/>
      <charset val="1"/>
    </font>
    <font>
      <b/>
      <sz val="9"/>
      <color rgb="FFEEECE1"/>
      <name val="Arial"/>
      <charset val="1"/>
    </font>
    <font>
      <b/>
      <sz val="24"/>
      <color rgb="FF0000FF"/>
      <name val="Arial"/>
      <charset val="1"/>
    </font>
    <font>
      <b/>
      <sz val="24"/>
      <color rgb="FFFF0000"/>
      <name val="Arial"/>
      <charset val="1"/>
    </font>
    <font>
      <b/>
      <sz val="24"/>
      <color rgb="FF008000"/>
      <name val="Arial"/>
      <charset val="1"/>
    </font>
    <font>
      <b/>
      <sz val="12"/>
      <color rgb="FF121528"/>
      <name val="Arial"/>
      <charset val="1"/>
    </font>
    <font>
      <b/>
      <sz val="9"/>
      <color rgb="FF121528"/>
      <name val="Arial"/>
      <charset val="1"/>
    </font>
    <font>
      <sz val="9"/>
      <name val="Arial"/>
      <charset val="1"/>
    </font>
    <font>
      <sz val="9"/>
      <color rgb="FF0000FF"/>
      <name val="Arial"/>
      <charset val="1"/>
    </font>
    <font>
      <sz val="9"/>
      <color rgb="FF000000"/>
      <name val="Arial"/>
      <charset val="1"/>
    </font>
    <font>
      <b/>
      <sz val="9"/>
      <color rgb="FF008000"/>
      <name val="Arial"/>
      <charset val="1"/>
    </font>
    <font>
      <b/>
      <sz val="14"/>
      <color rgb="FFEEECE1"/>
      <name val="Arial"/>
      <charset val="1"/>
    </font>
    <font>
      <b/>
      <sz val="10"/>
      <color rgb="FF121528"/>
      <name val="Arial"/>
      <charset val="1"/>
    </font>
    <font>
      <i/>
      <sz val="9"/>
      <color rgb="FF333333"/>
      <name val="Arial"/>
      <charset val="1"/>
    </font>
    <font>
      <b/>
      <sz val="9"/>
      <name val="Arial"/>
      <charset val="1"/>
    </font>
    <font>
      <b/>
      <sz val="9"/>
      <color rgb="FF0000FF"/>
      <name val="Arial"/>
      <charset val="1"/>
    </font>
    <font>
      <b/>
      <sz val="9"/>
      <color rgb="FFFF0000"/>
      <name val="Arial"/>
      <charset val="1"/>
    </font>
    <font>
      <sz val="9"/>
      <color rgb="FFFF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121528"/>
        <bgColor rgb="FF000000"/>
      </patternFill>
    </fill>
    <fill>
      <patternFill patternType="solid">
        <fgColor rgb="FFEEECE1"/>
        <bgColor rgb="FFFFFFFF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5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164" fontId="6" fillId="0" borderId="0" xfId="0" applyNumberFormat="1" applyFont="1" applyAlignment="1">
      <alignment horizontal="center"/>
    </xf>
    <xf numFmtId="0" fontId="8" fillId="3" borderId="0" xfId="0" applyFont="1" applyFill="1" applyAlignment="1">
      <alignment horizontal="center"/>
    </xf>
    <xf numFmtId="0" fontId="9" fillId="0" borderId="0" xfId="0" applyFont="1"/>
    <xf numFmtId="165" fontId="10" fillId="0" borderId="0" xfId="0" applyNumberFormat="1" applyFont="1"/>
    <xf numFmtId="165" fontId="11" fillId="0" borderId="0" xfId="0" applyNumberFormat="1" applyFont="1"/>
    <xf numFmtId="165" fontId="12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166" fontId="11" fillId="0" borderId="0" xfId="0" applyNumberFormat="1" applyFont="1"/>
    <xf numFmtId="0" fontId="14" fillId="3" borderId="0" xfId="0" applyFont="1" applyFill="1"/>
    <xf numFmtId="0" fontId="16" fillId="3" borderId="0" xfId="0" applyFont="1" applyFill="1"/>
    <xf numFmtId="164" fontId="17" fillId="0" borderId="0" xfId="0" applyNumberFormat="1" applyFont="1"/>
    <xf numFmtId="164" fontId="18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12" fillId="0" borderId="0" xfId="0" applyNumberFormat="1" applyFont="1"/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164" fontId="17" fillId="0" borderId="0" xfId="0" applyNumberFormat="1" applyFont="1" applyAlignment="1">
      <alignment horizontal="center"/>
    </xf>
    <xf numFmtId="166" fontId="16" fillId="0" borderId="0" xfId="0" applyNumberFormat="1" applyFont="1"/>
    <xf numFmtId="164" fontId="19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164" fontId="0" fillId="0" borderId="0" xfId="0" applyNumberFormat="1"/>
    <xf numFmtId="164" fontId="16" fillId="3" borderId="0" xfId="0" applyNumberFormat="1" applyFont="1" applyFill="1"/>
    <xf numFmtId="166" fontId="16" fillId="3" borderId="0" xfId="0" applyNumberFormat="1" applyFont="1" applyFill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CE1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21528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Normal="100" workbookViewId="0">
      <selection activeCell="K20" sqref="K20"/>
    </sheetView>
  </sheetViews>
  <sheetFormatPr baseColWidth="10" defaultColWidth="8.7109375" defaultRowHeight="15" x14ac:dyDescent="0.25"/>
  <cols>
    <col min="1" max="1" width="20" bestFit="1" customWidth="1"/>
    <col min="2" max="3" width="15" customWidth="1"/>
    <col min="4" max="4" width="15.85546875" bestFit="1" customWidth="1"/>
    <col min="5" max="6" width="15" customWidth="1"/>
    <col min="7" max="7" width="24" bestFit="1" customWidth="1"/>
    <col min="8" max="8" width="15" customWidth="1"/>
  </cols>
  <sheetData>
    <row r="1" spans="1:8" ht="34.5" customHeight="1" x14ac:dyDescent="0.25">
      <c r="A1" s="7" t="s">
        <v>125</v>
      </c>
      <c r="B1" s="7"/>
      <c r="C1" s="7"/>
      <c r="D1" s="7"/>
      <c r="E1" s="7"/>
      <c r="F1" s="7"/>
      <c r="G1" s="7"/>
      <c r="H1" s="7"/>
    </row>
    <row r="2" spans="1:8" ht="19.5" customHeight="1" x14ac:dyDescent="0.25">
      <c r="A2" s="6" t="s">
        <v>0</v>
      </c>
      <c r="B2" s="6"/>
      <c r="C2" s="6"/>
      <c r="D2" s="6"/>
      <c r="E2" s="6"/>
      <c r="F2" s="6"/>
      <c r="G2" s="6"/>
      <c r="H2" s="6"/>
    </row>
    <row r="3" spans="1:8" ht="4.5" customHeight="1" x14ac:dyDescent="0.25"/>
    <row r="4" spans="1:8" ht="39.75" customHeight="1" x14ac:dyDescent="0.4">
      <c r="A4" s="5" t="str">
        <f>Transacciones!L2</f>
        <v>Total Ingresos:</v>
      </c>
      <c r="B4" s="5"/>
      <c r="C4" s="5"/>
      <c r="D4" s="4" t="str">
        <f>Transacciones!L3</f>
        <v>Total Gastos:</v>
      </c>
      <c r="E4" s="4"/>
      <c r="F4" s="4"/>
      <c r="G4" s="8">
        <f>Transacciones!$M$2-Transacciones!$M$3</f>
        <v>1432.7</v>
      </c>
    </row>
    <row r="5" spans="1:8" ht="9.75" customHeight="1" x14ac:dyDescent="0.25"/>
    <row r="6" spans="1:8" ht="24.75" customHeight="1" x14ac:dyDescent="0.25">
      <c r="A6" s="3" t="s">
        <v>1</v>
      </c>
      <c r="B6" s="3"/>
      <c r="C6" s="3"/>
      <c r="D6" s="3"/>
      <c r="E6" s="3"/>
      <c r="F6" s="3"/>
      <c r="G6" s="3"/>
      <c r="H6" s="3"/>
    </row>
    <row r="7" spans="1:8" ht="15" customHeight="1" x14ac:dyDescent="0.25">
      <c r="A7" s="9" t="s">
        <v>2</v>
      </c>
      <c r="B7" s="9" t="s">
        <v>3</v>
      </c>
      <c r="C7" s="9" t="s">
        <v>4</v>
      </c>
      <c r="D7" s="9" t="s">
        <v>5</v>
      </c>
    </row>
    <row r="8" spans="1:8" ht="15" customHeight="1" x14ac:dyDescent="0.25">
      <c r="A8" s="10" t="s">
        <v>6</v>
      </c>
      <c r="B8" s="11">
        <v>20</v>
      </c>
      <c r="C8" s="12">
        <f>(Transacciones!$M$2-Transacciones!$M$3)/Transacciones!$M$2*100</f>
        <v>44.083076923076923</v>
      </c>
      <c r="D8" s="13">
        <f>C8/B8*100</f>
        <v>220.41538461538462</v>
      </c>
    </row>
    <row r="9" spans="1:8" ht="15" customHeight="1" x14ac:dyDescent="0.25">
      <c r="A9" s="10" t="s">
        <v>7</v>
      </c>
      <c r="B9" s="11">
        <v>80</v>
      </c>
      <c r="C9" s="12">
        <f>Transacciones!$M$3/Transacciones!$M$2*100</f>
        <v>55.916923076923077</v>
      </c>
      <c r="D9" s="13">
        <f>C9/B9*100</f>
        <v>69.896153846153837</v>
      </c>
    </row>
    <row r="10" spans="1:8" ht="15" customHeight="1" x14ac:dyDescent="0.25">
      <c r="A10" s="10" t="s">
        <v>8</v>
      </c>
      <c r="B10" s="14">
        <v>500</v>
      </c>
      <c r="C10" s="15">
        <f>Transacciones!$M$2-Transacciones!$M$3</f>
        <v>1432.7</v>
      </c>
      <c r="D10" s="13">
        <f>C10/B10*100</f>
        <v>286.54000000000002</v>
      </c>
    </row>
    <row r="11" spans="1:8" ht="9.75" customHeight="1" x14ac:dyDescent="0.25"/>
    <row r="12" spans="1:8" ht="24.75" customHeight="1" x14ac:dyDescent="0.25">
      <c r="A12" s="3" t="s">
        <v>9</v>
      </c>
      <c r="B12" s="3"/>
      <c r="C12" s="3"/>
      <c r="D12" s="3"/>
    </row>
    <row r="13" spans="1:8" ht="15" customHeight="1" x14ac:dyDescent="0.25">
      <c r="A13" s="9" t="s">
        <v>10</v>
      </c>
      <c r="B13" s="9" t="s">
        <v>11</v>
      </c>
      <c r="C13" s="9" t="s">
        <v>12</v>
      </c>
    </row>
    <row r="14" spans="1:8" ht="15" customHeight="1" x14ac:dyDescent="0.25">
      <c r="A14" t="str">
        <f>Resumen!A5</f>
        <v>Alimentación</v>
      </c>
      <c r="B14" s="15">
        <f>Resumen!B5</f>
        <v>363</v>
      </c>
      <c r="C14" s="16">
        <f>IF(B14&gt;0,B14/Transacciones!$M$3,0)</f>
        <v>0.1997468772354592</v>
      </c>
    </row>
    <row r="15" spans="1:8" ht="15" customHeight="1" x14ac:dyDescent="0.25">
      <c r="A15" t="str">
        <f>Resumen!A6</f>
        <v>Transporte</v>
      </c>
      <c r="B15" s="15">
        <f>Resumen!B6</f>
        <v>243</v>
      </c>
      <c r="C15" s="16">
        <f>IF(B15&gt;0,B15/Transacciones!$M$3,0)</f>
        <v>0.13371485170307598</v>
      </c>
    </row>
    <row r="16" spans="1:8" ht="15" customHeight="1" x14ac:dyDescent="0.25">
      <c r="A16" t="str">
        <f>Resumen!A7</f>
        <v>Servicios</v>
      </c>
      <c r="B16" s="15">
        <f>Resumen!B7</f>
        <v>97.3</v>
      </c>
      <c r="C16" s="16">
        <f>IF(B16&gt;0,B16/Transacciones!$M$3,0)</f>
        <v>5.3540967369174047E-2</v>
      </c>
    </row>
    <row r="17" spans="1:3" ht="15" customHeight="1" x14ac:dyDescent="0.25">
      <c r="A17" t="str">
        <f>Resumen!A8</f>
        <v>Ocio</v>
      </c>
      <c r="B17" s="15">
        <f>Resumen!B8</f>
        <v>90</v>
      </c>
      <c r="C17" s="16">
        <f>IF(B17&gt;0,B17/Transacciones!$M$3,0)</f>
        <v>4.9524019149287404E-2</v>
      </c>
    </row>
    <row r="18" spans="1:3" ht="15" customHeight="1" x14ac:dyDescent="0.25">
      <c r="A18" t="str">
        <f>Resumen!A9</f>
        <v>Salud</v>
      </c>
      <c r="B18" s="15">
        <f>Resumen!B9</f>
        <v>45</v>
      </c>
      <c r="C18" s="16">
        <f>IF(B18&gt;0,B18/Transacciones!$M$3,0)</f>
        <v>2.4762009574643702E-2</v>
      </c>
    </row>
  </sheetData>
  <mergeCells count="6">
    <mergeCell ref="A6:H6"/>
    <mergeCell ref="A12:D12"/>
    <mergeCell ref="A1:H1"/>
    <mergeCell ref="A2:H2"/>
    <mergeCell ref="A4:C4"/>
    <mergeCell ref="D4:F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2"/>
  <sheetViews>
    <sheetView zoomScaleNormal="100" workbookViewId="0">
      <selection sqref="A1:K1"/>
    </sheetView>
  </sheetViews>
  <sheetFormatPr baseColWidth="10" defaultColWidth="8.7109375" defaultRowHeight="15" x14ac:dyDescent="0.25"/>
  <cols>
    <col min="1" max="1" width="12" customWidth="1"/>
    <col min="2" max="2" width="10" customWidth="1"/>
    <col min="3" max="3" width="15" customWidth="1"/>
    <col min="4" max="4" width="18" customWidth="1"/>
    <col min="5" max="5" width="25" customWidth="1"/>
    <col min="6" max="6" width="18" customWidth="1"/>
    <col min="7" max="8" width="12" customWidth="1"/>
    <col min="9" max="9" width="20" customWidth="1"/>
    <col min="10" max="11" width="15" customWidth="1"/>
    <col min="12" max="12" width="18" customWidth="1"/>
    <col min="13" max="13" width="15" customWidth="1"/>
  </cols>
  <sheetData>
    <row r="1" spans="1:13" ht="30" customHeight="1" x14ac:dyDescent="0.25">
      <c r="A1" s="2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17" t="s">
        <v>14</v>
      </c>
    </row>
    <row r="2" spans="1:13" ht="19.5" customHeight="1" x14ac:dyDescent="0.25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8" t="s">
        <v>16</v>
      </c>
      <c r="M2" s="19">
        <f>SUMIF(B:B,"Ingreso",G:G)</f>
        <v>3250</v>
      </c>
    </row>
    <row r="3" spans="1:13" x14ac:dyDescent="0.25">
      <c r="L3" s="18" t="s">
        <v>17</v>
      </c>
      <c r="M3" s="20">
        <f>SUMIF(B:B,"Gasto",G:G)</f>
        <v>1817.3</v>
      </c>
    </row>
    <row r="4" spans="1:13" ht="24.75" customHeight="1" x14ac:dyDescent="0.25">
      <c r="A4" s="21" t="s">
        <v>18</v>
      </c>
      <c r="B4" s="21" t="s">
        <v>19</v>
      </c>
      <c r="C4" s="21" t="s">
        <v>10</v>
      </c>
      <c r="D4" s="21" t="s">
        <v>20</v>
      </c>
      <c r="E4" s="21" t="s">
        <v>21</v>
      </c>
      <c r="F4" s="21" t="s">
        <v>22</v>
      </c>
      <c r="G4" s="21" t="s">
        <v>11</v>
      </c>
      <c r="H4" s="21" t="s">
        <v>23</v>
      </c>
      <c r="I4" s="21" t="s">
        <v>24</v>
      </c>
      <c r="J4" s="21" t="s">
        <v>25</v>
      </c>
      <c r="L4" s="18" t="s">
        <v>26</v>
      </c>
      <c r="M4" s="22">
        <f>M2-M3</f>
        <v>1432.7</v>
      </c>
    </row>
    <row r="5" spans="1:13" ht="15" customHeight="1" x14ac:dyDescent="0.25">
      <c r="A5" s="23" t="s">
        <v>27</v>
      </c>
      <c r="B5" s="24" t="s">
        <v>28</v>
      </c>
      <c r="C5" s="25" t="s">
        <v>29</v>
      </c>
      <c r="D5" s="25" t="s">
        <v>30</v>
      </c>
      <c r="E5" s="25" t="s">
        <v>31</v>
      </c>
      <c r="F5" s="24" t="s">
        <v>32</v>
      </c>
      <c r="G5" s="26">
        <v>2800</v>
      </c>
      <c r="H5" s="24" t="s">
        <v>33</v>
      </c>
      <c r="I5" s="25"/>
      <c r="J5" s="25" t="s">
        <v>34</v>
      </c>
      <c r="L5" s="18" t="s">
        <v>35</v>
      </c>
      <c r="M5" s="27">
        <f>M4/M2</f>
        <v>0.44083076923076925</v>
      </c>
    </row>
    <row r="6" spans="1:13" ht="15" customHeight="1" x14ac:dyDescent="0.25">
      <c r="A6" s="23" t="s">
        <v>36</v>
      </c>
      <c r="B6" s="24" t="s">
        <v>28</v>
      </c>
      <c r="C6" s="25" t="s">
        <v>37</v>
      </c>
      <c r="D6" s="25" t="s">
        <v>38</v>
      </c>
      <c r="E6" s="25" t="s">
        <v>39</v>
      </c>
      <c r="F6" s="24" t="s">
        <v>32</v>
      </c>
      <c r="G6" s="26">
        <v>450</v>
      </c>
      <c r="H6" s="24" t="s">
        <v>40</v>
      </c>
      <c r="I6" s="25" t="s">
        <v>41</v>
      </c>
      <c r="J6" s="25" t="s">
        <v>42</v>
      </c>
    </row>
    <row r="7" spans="1:13" ht="15" customHeight="1" x14ac:dyDescent="0.25">
      <c r="A7" s="23" t="s">
        <v>43</v>
      </c>
      <c r="B7" s="24" t="s">
        <v>44</v>
      </c>
      <c r="C7" s="25" t="s">
        <v>45</v>
      </c>
      <c r="D7" s="25" t="s">
        <v>46</v>
      </c>
      <c r="E7" s="25" t="s">
        <v>47</v>
      </c>
      <c r="F7" s="24" t="s">
        <v>32</v>
      </c>
      <c r="G7" s="28">
        <v>850</v>
      </c>
      <c r="H7" s="24" t="s">
        <v>33</v>
      </c>
      <c r="I7" s="25" t="s">
        <v>48</v>
      </c>
      <c r="J7" s="25" t="s">
        <v>49</v>
      </c>
    </row>
    <row r="8" spans="1:13" ht="15" customHeight="1" x14ac:dyDescent="0.25">
      <c r="A8" s="23" t="s">
        <v>50</v>
      </c>
      <c r="B8" s="24" t="s">
        <v>44</v>
      </c>
      <c r="C8" s="25" t="s">
        <v>51</v>
      </c>
      <c r="D8" s="25" t="s">
        <v>52</v>
      </c>
      <c r="E8" s="25" t="s">
        <v>53</v>
      </c>
      <c r="F8" s="24" t="s">
        <v>54</v>
      </c>
      <c r="G8" s="28">
        <v>87.5</v>
      </c>
      <c r="H8" s="24" t="s">
        <v>40</v>
      </c>
      <c r="I8" s="25"/>
      <c r="J8" s="25" t="s">
        <v>55</v>
      </c>
    </row>
    <row r="9" spans="1:13" ht="15" customHeight="1" x14ac:dyDescent="0.25">
      <c r="A9" s="23" t="s">
        <v>56</v>
      </c>
      <c r="B9" s="24" t="s">
        <v>44</v>
      </c>
      <c r="C9" s="25" t="s">
        <v>57</v>
      </c>
      <c r="D9" s="25" t="s">
        <v>58</v>
      </c>
      <c r="E9" s="25" t="s">
        <v>59</v>
      </c>
      <c r="F9" s="24" t="s">
        <v>60</v>
      </c>
      <c r="G9" s="28">
        <v>45</v>
      </c>
      <c r="H9" s="24" t="s">
        <v>40</v>
      </c>
      <c r="I9" s="25"/>
      <c r="J9" s="25" t="s">
        <v>55</v>
      </c>
    </row>
    <row r="10" spans="1:13" ht="15" customHeight="1" x14ac:dyDescent="0.25">
      <c r="A10" s="23" t="s">
        <v>61</v>
      </c>
      <c r="B10" s="24" t="s">
        <v>44</v>
      </c>
      <c r="C10" s="25" t="s">
        <v>62</v>
      </c>
      <c r="D10" s="25" t="s">
        <v>63</v>
      </c>
      <c r="E10" s="25" t="s">
        <v>64</v>
      </c>
      <c r="F10" s="24" t="s">
        <v>65</v>
      </c>
      <c r="G10" s="28">
        <v>62.3</v>
      </c>
      <c r="H10" s="24" t="s">
        <v>33</v>
      </c>
      <c r="I10" s="25"/>
      <c r="J10" s="25" t="s">
        <v>49</v>
      </c>
    </row>
    <row r="11" spans="1:13" ht="15" customHeight="1" x14ac:dyDescent="0.25">
      <c r="A11" s="23" t="s">
        <v>66</v>
      </c>
      <c r="B11" s="24" t="s">
        <v>44</v>
      </c>
      <c r="C11" s="25" t="s">
        <v>62</v>
      </c>
      <c r="D11" s="25" t="s">
        <v>67</v>
      </c>
      <c r="E11" s="25" t="s">
        <v>68</v>
      </c>
      <c r="F11" s="24" t="s">
        <v>65</v>
      </c>
      <c r="G11" s="28">
        <v>35</v>
      </c>
      <c r="H11" s="24" t="s">
        <v>33</v>
      </c>
      <c r="I11" s="25"/>
      <c r="J11" s="25" t="s">
        <v>49</v>
      </c>
    </row>
    <row r="12" spans="1:13" ht="15" customHeight="1" x14ac:dyDescent="0.25">
      <c r="A12" s="23" t="s">
        <v>69</v>
      </c>
      <c r="B12" s="24" t="s">
        <v>44</v>
      </c>
      <c r="C12" s="25" t="s">
        <v>70</v>
      </c>
      <c r="D12" s="25" t="s">
        <v>71</v>
      </c>
      <c r="E12" s="25" t="s">
        <v>72</v>
      </c>
      <c r="F12" s="24" t="s">
        <v>60</v>
      </c>
      <c r="G12" s="28">
        <v>68</v>
      </c>
      <c r="H12" s="24" t="s">
        <v>40</v>
      </c>
      <c r="I12" s="25" t="s">
        <v>73</v>
      </c>
      <c r="J12" s="25" t="s">
        <v>74</v>
      </c>
    </row>
    <row r="13" spans="1:13" ht="15" customHeight="1" x14ac:dyDescent="0.25">
      <c r="A13" s="23" t="s">
        <v>75</v>
      </c>
      <c r="B13" s="24" t="s">
        <v>44</v>
      </c>
      <c r="C13" s="25" t="s">
        <v>51</v>
      </c>
      <c r="D13" s="25" t="s">
        <v>52</v>
      </c>
      <c r="E13" s="25" t="s">
        <v>76</v>
      </c>
      <c r="F13" s="24" t="s">
        <v>54</v>
      </c>
      <c r="G13" s="28">
        <v>92</v>
      </c>
      <c r="H13" s="24" t="s">
        <v>40</v>
      </c>
      <c r="I13" s="25"/>
      <c r="J13" s="25" t="s">
        <v>55</v>
      </c>
    </row>
    <row r="14" spans="1:13" ht="15" customHeight="1" x14ac:dyDescent="0.25">
      <c r="A14" s="23" t="s">
        <v>77</v>
      </c>
      <c r="B14" s="24" t="s">
        <v>44</v>
      </c>
      <c r="C14" s="25" t="s">
        <v>57</v>
      </c>
      <c r="D14" s="25" t="s">
        <v>78</v>
      </c>
      <c r="E14" s="25" t="s">
        <v>79</v>
      </c>
      <c r="F14" s="24" t="s">
        <v>54</v>
      </c>
      <c r="G14" s="28">
        <v>150</v>
      </c>
      <c r="H14" s="24" t="s">
        <v>40</v>
      </c>
      <c r="I14" s="25" t="s">
        <v>80</v>
      </c>
      <c r="J14" s="25" t="s">
        <v>81</v>
      </c>
    </row>
    <row r="15" spans="1:13" ht="15" customHeight="1" x14ac:dyDescent="0.25">
      <c r="A15" s="23" t="s">
        <v>82</v>
      </c>
      <c r="B15" s="24" t="s">
        <v>44</v>
      </c>
      <c r="C15" s="25" t="s">
        <v>83</v>
      </c>
      <c r="D15" s="25" t="s">
        <v>84</v>
      </c>
      <c r="E15" s="25" t="s">
        <v>85</v>
      </c>
      <c r="F15" s="24" t="s">
        <v>65</v>
      </c>
      <c r="G15" s="28">
        <v>45</v>
      </c>
      <c r="H15" s="24" t="s">
        <v>33</v>
      </c>
      <c r="I15" s="25"/>
      <c r="J15" s="25" t="s">
        <v>86</v>
      </c>
    </row>
    <row r="16" spans="1:13" ht="15" customHeight="1" x14ac:dyDescent="0.25">
      <c r="A16" s="23" t="s">
        <v>87</v>
      </c>
      <c r="B16" s="24" t="s">
        <v>44</v>
      </c>
      <c r="C16" s="25" t="s">
        <v>88</v>
      </c>
      <c r="D16" s="25" t="s">
        <v>89</v>
      </c>
      <c r="E16" s="25" t="s">
        <v>90</v>
      </c>
      <c r="F16" s="24" t="s">
        <v>60</v>
      </c>
      <c r="G16" s="28">
        <v>25</v>
      </c>
      <c r="H16" s="24" t="s">
        <v>33</v>
      </c>
      <c r="I16" s="25"/>
      <c r="J16" s="25" t="s">
        <v>91</v>
      </c>
    </row>
    <row r="17" spans="1:10" ht="15" customHeight="1" x14ac:dyDescent="0.25">
      <c r="A17" s="23" t="s">
        <v>92</v>
      </c>
      <c r="B17" s="24" t="s">
        <v>44</v>
      </c>
      <c r="C17" s="25" t="s">
        <v>51</v>
      </c>
      <c r="D17" s="25" t="s">
        <v>52</v>
      </c>
      <c r="E17" s="25" t="s">
        <v>93</v>
      </c>
      <c r="F17" s="24" t="s">
        <v>54</v>
      </c>
      <c r="G17" s="28">
        <v>78.5</v>
      </c>
      <c r="H17" s="24" t="s">
        <v>40</v>
      </c>
      <c r="I17" s="25"/>
      <c r="J17" s="25" t="s">
        <v>55</v>
      </c>
    </row>
    <row r="18" spans="1:10" ht="15" customHeight="1" x14ac:dyDescent="0.25">
      <c r="A18" s="23" t="s">
        <v>94</v>
      </c>
      <c r="B18" s="24" t="s">
        <v>44</v>
      </c>
      <c r="C18" s="25" t="s">
        <v>95</v>
      </c>
      <c r="D18" s="25" t="s">
        <v>96</v>
      </c>
      <c r="E18" s="25" t="s">
        <v>97</v>
      </c>
      <c r="F18" s="24" t="s">
        <v>60</v>
      </c>
      <c r="G18" s="28">
        <v>89</v>
      </c>
      <c r="H18" s="24" t="s">
        <v>40</v>
      </c>
      <c r="I18" s="25" t="s">
        <v>98</v>
      </c>
      <c r="J18" s="25" t="s">
        <v>99</v>
      </c>
    </row>
    <row r="19" spans="1:10" ht="15" customHeight="1" x14ac:dyDescent="0.25">
      <c r="A19" s="23" t="s">
        <v>100</v>
      </c>
      <c r="B19" s="24" t="s">
        <v>44</v>
      </c>
      <c r="C19" s="25" t="s">
        <v>70</v>
      </c>
      <c r="D19" s="25" t="s">
        <v>91</v>
      </c>
      <c r="E19" s="25" t="s">
        <v>101</v>
      </c>
      <c r="F19" s="24" t="s">
        <v>102</v>
      </c>
      <c r="G19" s="28">
        <v>22</v>
      </c>
      <c r="H19" s="24" t="s">
        <v>40</v>
      </c>
      <c r="I19" s="25"/>
      <c r="J19" s="25" t="s">
        <v>74</v>
      </c>
    </row>
    <row r="20" spans="1:10" ht="15" customHeight="1" x14ac:dyDescent="0.25">
      <c r="A20" s="23" t="s">
        <v>103</v>
      </c>
      <c r="B20" s="24" t="s">
        <v>44</v>
      </c>
      <c r="C20" s="25" t="s">
        <v>104</v>
      </c>
      <c r="D20" s="25" t="s">
        <v>105</v>
      </c>
      <c r="E20" s="25" t="s">
        <v>106</v>
      </c>
      <c r="F20" s="24" t="s">
        <v>60</v>
      </c>
      <c r="G20" s="28">
        <v>15</v>
      </c>
      <c r="H20" s="24" t="s">
        <v>40</v>
      </c>
      <c r="I20" s="25" t="s">
        <v>107</v>
      </c>
      <c r="J20" s="25" t="s">
        <v>108</v>
      </c>
    </row>
    <row r="21" spans="1:10" ht="15" customHeight="1" x14ac:dyDescent="0.25">
      <c r="A21" s="23" t="s">
        <v>109</v>
      </c>
      <c r="B21" s="24" t="s">
        <v>44</v>
      </c>
      <c r="C21" s="25" t="s">
        <v>57</v>
      </c>
      <c r="D21" s="25" t="s">
        <v>58</v>
      </c>
      <c r="E21" s="25" t="s">
        <v>110</v>
      </c>
      <c r="F21" s="24" t="s">
        <v>60</v>
      </c>
      <c r="G21" s="28">
        <v>48</v>
      </c>
      <c r="H21" s="24" t="s">
        <v>40</v>
      </c>
      <c r="I21" s="25"/>
      <c r="J21" s="25" t="s">
        <v>55</v>
      </c>
    </row>
    <row r="22" spans="1:10" ht="15" customHeight="1" x14ac:dyDescent="0.25">
      <c r="A22" s="23" t="s">
        <v>111</v>
      </c>
      <c r="B22" s="24" t="s">
        <v>44</v>
      </c>
      <c r="C22" s="25" t="s">
        <v>51</v>
      </c>
      <c r="D22" s="25" t="s">
        <v>52</v>
      </c>
      <c r="E22" s="25" t="s">
        <v>112</v>
      </c>
      <c r="F22" s="24" t="s">
        <v>54</v>
      </c>
      <c r="G22" s="28">
        <v>105</v>
      </c>
      <c r="H22" s="24" t="s">
        <v>40</v>
      </c>
      <c r="I22" s="25"/>
      <c r="J22" s="25" t="s">
        <v>55</v>
      </c>
    </row>
  </sheetData>
  <mergeCells count="2">
    <mergeCell ref="A1:K1"/>
    <mergeCell ref="A2:K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zoomScaleNormal="100" workbookViewId="0">
      <selection sqref="A1:E1"/>
    </sheetView>
  </sheetViews>
  <sheetFormatPr baseColWidth="10" defaultColWidth="8.7109375" defaultRowHeight="15" x14ac:dyDescent="0.25"/>
  <cols>
    <col min="1" max="1" width="20" customWidth="1"/>
    <col min="2" max="5" width="15" customWidth="1"/>
  </cols>
  <sheetData>
    <row r="1" spans="1:5" ht="30" customHeight="1" x14ac:dyDescent="0.25">
      <c r="A1" s="2" t="s">
        <v>113</v>
      </c>
      <c r="B1" s="2"/>
      <c r="C1" s="2"/>
      <c r="D1" s="2"/>
      <c r="E1" s="2"/>
    </row>
    <row r="2" spans="1:5" ht="9.75" customHeight="1" x14ac:dyDescent="0.25"/>
    <row r="3" spans="1:5" ht="15" customHeight="1" x14ac:dyDescent="0.25">
      <c r="A3" s="29" t="s">
        <v>10</v>
      </c>
      <c r="B3" s="29" t="s">
        <v>114</v>
      </c>
      <c r="C3" s="29" t="s">
        <v>115</v>
      </c>
      <c r="D3" s="29" t="s">
        <v>116</v>
      </c>
      <c r="E3" s="29" t="s">
        <v>117</v>
      </c>
    </row>
    <row r="4" spans="1:5" ht="15" customHeight="1" x14ac:dyDescent="0.25">
      <c r="A4" t="s">
        <v>45</v>
      </c>
      <c r="B4" s="15">
        <f>SUMIFS(Transacciones!$G:$G,Transacciones!$B:$B,"Gasto",Transacciones!$C:$C,A4)</f>
        <v>850</v>
      </c>
      <c r="C4" s="16">
        <f>B4/Transacciones!$M$3</f>
        <v>0.46772684752104771</v>
      </c>
      <c r="D4">
        <f>COUNTIFS(Transacciones!$B:$B,"Gasto",Transacciones!$C:$C,A4)</f>
        <v>1</v>
      </c>
      <c r="E4" s="30">
        <f t="shared" ref="E4:E12" si="0">IF(D4&gt;0,B4/D4,0)</f>
        <v>850</v>
      </c>
    </row>
    <row r="5" spans="1:5" ht="15" customHeight="1" x14ac:dyDescent="0.25">
      <c r="A5" t="s">
        <v>51</v>
      </c>
      <c r="B5" s="15">
        <f>SUMIFS(Transacciones!$G:$G,Transacciones!$B:$B,"Gasto",Transacciones!$C:$C,A5)</f>
        <v>363</v>
      </c>
      <c r="C5" s="16">
        <f>B5/Transacciones!$M$3</f>
        <v>0.1997468772354592</v>
      </c>
      <c r="D5">
        <f>COUNTIFS(Transacciones!$B:$B,"Gasto",Transacciones!$C:$C,A5)</f>
        <v>4</v>
      </c>
      <c r="E5" s="30">
        <f t="shared" si="0"/>
        <v>90.75</v>
      </c>
    </row>
    <row r="6" spans="1:5" ht="15" customHeight="1" x14ac:dyDescent="0.25">
      <c r="A6" t="s">
        <v>57</v>
      </c>
      <c r="B6" s="15">
        <f>SUMIFS(Transacciones!$G:$G,Transacciones!$B:$B,"Gasto",Transacciones!$C:$C,A6)</f>
        <v>243</v>
      </c>
      <c r="C6" s="16">
        <f>B6/Transacciones!$M$3</f>
        <v>0.13371485170307598</v>
      </c>
      <c r="D6">
        <f>COUNTIFS(Transacciones!$B:$B,"Gasto",Transacciones!$C:$C,A6)</f>
        <v>3</v>
      </c>
      <c r="E6" s="30">
        <f t="shared" si="0"/>
        <v>81</v>
      </c>
    </row>
    <row r="7" spans="1:5" ht="15" customHeight="1" x14ac:dyDescent="0.25">
      <c r="A7" t="s">
        <v>62</v>
      </c>
      <c r="B7" s="15">
        <f>SUMIFS(Transacciones!$G:$G,Transacciones!$B:$B,"Gasto",Transacciones!$C:$C,A7)</f>
        <v>97.3</v>
      </c>
      <c r="C7" s="16">
        <f>B7/Transacciones!$M$3</f>
        <v>5.3540967369174047E-2</v>
      </c>
      <c r="D7">
        <f>COUNTIFS(Transacciones!$B:$B,"Gasto",Transacciones!$C:$C,A7)</f>
        <v>2</v>
      </c>
      <c r="E7" s="30">
        <f t="shared" si="0"/>
        <v>48.65</v>
      </c>
    </row>
    <row r="8" spans="1:5" ht="15" customHeight="1" x14ac:dyDescent="0.25">
      <c r="A8" t="s">
        <v>70</v>
      </c>
      <c r="B8" s="15">
        <f>SUMIFS(Transacciones!$G:$G,Transacciones!$B:$B,"Gasto",Transacciones!$C:$C,A8)</f>
        <v>90</v>
      </c>
      <c r="C8" s="16">
        <f>B8/Transacciones!$M$3</f>
        <v>4.9524019149287404E-2</v>
      </c>
      <c r="D8">
        <f>COUNTIFS(Transacciones!$B:$B,"Gasto",Transacciones!$C:$C,A8)</f>
        <v>2</v>
      </c>
      <c r="E8" s="30">
        <f t="shared" si="0"/>
        <v>45</v>
      </c>
    </row>
    <row r="9" spans="1:5" ht="15" customHeight="1" x14ac:dyDescent="0.25">
      <c r="A9" t="s">
        <v>83</v>
      </c>
      <c r="B9" s="15">
        <f>SUMIFS(Transacciones!$G:$G,Transacciones!$B:$B,"Gasto",Transacciones!$C:$C,A9)</f>
        <v>45</v>
      </c>
      <c r="C9" s="16">
        <f>B9/Transacciones!$M$3</f>
        <v>2.4762009574643702E-2</v>
      </c>
      <c r="D9">
        <f>COUNTIFS(Transacciones!$B:$B,"Gasto",Transacciones!$C:$C,A9)</f>
        <v>1</v>
      </c>
      <c r="E9" s="30">
        <f t="shared" si="0"/>
        <v>45</v>
      </c>
    </row>
    <row r="10" spans="1:5" ht="15" customHeight="1" x14ac:dyDescent="0.25">
      <c r="A10" t="s">
        <v>88</v>
      </c>
      <c r="B10" s="15">
        <f>SUMIFS(Transacciones!$G:$G,Transacciones!$B:$B,"Gasto",Transacciones!$C:$C,A10)</f>
        <v>25</v>
      </c>
      <c r="C10" s="16">
        <f>B10/Transacciones!$M$3</f>
        <v>1.3756671985913169E-2</v>
      </c>
      <c r="D10">
        <f>COUNTIFS(Transacciones!$B:$B,"Gasto",Transacciones!$C:$C,A10)</f>
        <v>1</v>
      </c>
      <c r="E10" s="30">
        <f t="shared" si="0"/>
        <v>25</v>
      </c>
    </row>
    <row r="11" spans="1:5" ht="15" customHeight="1" x14ac:dyDescent="0.25">
      <c r="A11" t="s">
        <v>95</v>
      </c>
      <c r="B11" s="15">
        <f>SUMIFS(Transacciones!$G:$G,Transacciones!$B:$B,"Gasto",Transacciones!$C:$C,A11)</f>
        <v>89</v>
      </c>
      <c r="C11" s="16">
        <f>B11/Transacciones!$M$3</f>
        <v>4.897375226985088E-2</v>
      </c>
      <c r="D11">
        <f>COUNTIFS(Transacciones!$B:$B,"Gasto",Transacciones!$C:$C,A11)</f>
        <v>1</v>
      </c>
      <c r="E11" s="30">
        <f t="shared" si="0"/>
        <v>89</v>
      </c>
    </row>
    <row r="12" spans="1:5" ht="15" customHeight="1" x14ac:dyDescent="0.25">
      <c r="A12" t="s">
        <v>104</v>
      </c>
      <c r="B12" s="15">
        <f>SUMIFS(Transacciones!$G:$G,Transacciones!$B:$B,"Gasto",Transacciones!$C:$C,A12)</f>
        <v>15</v>
      </c>
      <c r="C12" s="16">
        <f>B12/Transacciones!$M$3</f>
        <v>8.2540031915479001E-3</v>
      </c>
      <c r="D12">
        <f>COUNTIFS(Transacciones!$B:$B,"Gasto",Transacciones!$C:$C,A12)</f>
        <v>1</v>
      </c>
      <c r="E12" s="30">
        <f t="shared" si="0"/>
        <v>15</v>
      </c>
    </row>
    <row r="13" spans="1:5" ht="15" customHeight="1" x14ac:dyDescent="0.25">
      <c r="A13" s="18" t="s">
        <v>114</v>
      </c>
      <c r="B13" s="31">
        <f>SUM(B4:B12)</f>
        <v>1817.3</v>
      </c>
      <c r="C13" s="32">
        <f>SUM(C4:C12)</f>
        <v>0.99999999999999989</v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"/>
  <sheetViews>
    <sheetView zoomScaleNormal="100" workbookViewId="0">
      <selection sqref="A1:F1"/>
    </sheetView>
  </sheetViews>
  <sheetFormatPr baseColWidth="10" defaultColWidth="8.7109375" defaultRowHeight="15" x14ac:dyDescent="0.25"/>
  <cols>
    <col min="1" max="1" width="18" customWidth="1"/>
    <col min="2" max="4" width="15" customWidth="1"/>
    <col min="5" max="5" width="12" customWidth="1"/>
    <col min="6" max="6" width="15" customWidth="1"/>
  </cols>
  <sheetData>
    <row r="1" spans="1:6" ht="30" customHeight="1" x14ac:dyDescent="0.25">
      <c r="A1" s="2" t="s">
        <v>118</v>
      </c>
      <c r="B1" s="2"/>
      <c r="C1" s="2"/>
      <c r="D1" s="2"/>
      <c r="E1" s="2"/>
      <c r="F1" s="2"/>
    </row>
    <row r="2" spans="1:6" ht="9.75" customHeight="1" x14ac:dyDescent="0.25"/>
    <row r="3" spans="1:6" ht="15" customHeight="1" x14ac:dyDescent="0.25">
      <c r="A3" s="29" t="s">
        <v>10</v>
      </c>
      <c r="B3" s="29" t="s">
        <v>119</v>
      </c>
      <c r="C3" s="29" t="s">
        <v>120</v>
      </c>
      <c r="D3" s="29" t="s">
        <v>121</v>
      </c>
      <c r="E3" s="29" t="s">
        <v>122</v>
      </c>
      <c r="F3" s="29" t="s">
        <v>123</v>
      </c>
    </row>
    <row r="4" spans="1:6" ht="15" customHeight="1" x14ac:dyDescent="0.25">
      <c r="A4" t="s">
        <v>45</v>
      </c>
      <c r="B4" s="14">
        <v>900</v>
      </c>
      <c r="C4" s="15">
        <f>SUMIFS(Transacciones!$G:$G,Transacciones!$B:$B,"Gasto",Transacciones!$C:$C,A4)</f>
        <v>850</v>
      </c>
      <c r="D4" s="15">
        <f t="shared" ref="D4:D13" si="0">B4-C4</f>
        <v>50</v>
      </c>
      <c r="E4" s="33">
        <f t="shared" ref="E4:E13" si="1">C4/B4</f>
        <v>0.94444444444444442</v>
      </c>
      <c r="F4" t="str">
        <f t="shared" ref="F4:F13" si="2">IF(E4&lt;=0.7,"✓ Bien",IF(E4&lt;=0.9,"⚠ Alerta","✗ Excedido"))</f>
        <v>✗ Excedido</v>
      </c>
    </row>
    <row r="5" spans="1:6" ht="15" customHeight="1" x14ac:dyDescent="0.25">
      <c r="A5" t="s">
        <v>51</v>
      </c>
      <c r="B5" s="14">
        <v>400</v>
      </c>
      <c r="C5" s="15">
        <f>SUMIFS(Transacciones!$G:$G,Transacciones!$B:$B,"Gasto",Transacciones!$C:$C,A5)</f>
        <v>363</v>
      </c>
      <c r="D5" s="15">
        <f t="shared" si="0"/>
        <v>37</v>
      </c>
      <c r="E5" s="33">
        <f t="shared" si="1"/>
        <v>0.90749999999999997</v>
      </c>
      <c r="F5" t="str">
        <f t="shared" si="2"/>
        <v>✗ Excedido</v>
      </c>
    </row>
    <row r="6" spans="1:6" ht="15" customHeight="1" x14ac:dyDescent="0.25">
      <c r="A6" t="s">
        <v>57</v>
      </c>
      <c r="B6" s="14">
        <v>250</v>
      </c>
      <c r="C6" s="15">
        <f>SUMIFS(Transacciones!$G:$G,Transacciones!$B:$B,"Gasto",Transacciones!$C:$C,A6)</f>
        <v>243</v>
      </c>
      <c r="D6" s="15">
        <f t="shared" si="0"/>
        <v>7</v>
      </c>
      <c r="E6" s="33">
        <f t="shared" si="1"/>
        <v>0.97199999999999998</v>
      </c>
      <c r="F6" t="str">
        <f t="shared" si="2"/>
        <v>✗ Excedido</v>
      </c>
    </row>
    <row r="7" spans="1:6" ht="15" customHeight="1" x14ac:dyDescent="0.25">
      <c r="A7" t="s">
        <v>62</v>
      </c>
      <c r="B7" s="14">
        <v>150</v>
      </c>
      <c r="C7" s="15">
        <f>SUMIFS(Transacciones!$G:$G,Transacciones!$B:$B,"Gasto",Transacciones!$C:$C,A7)</f>
        <v>97.3</v>
      </c>
      <c r="D7" s="15">
        <f t="shared" si="0"/>
        <v>52.7</v>
      </c>
      <c r="E7" s="33">
        <f t="shared" si="1"/>
        <v>0.64866666666666661</v>
      </c>
      <c r="F7" t="str">
        <f t="shared" si="2"/>
        <v>✓ Bien</v>
      </c>
    </row>
    <row r="8" spans="1:6" ht="15" customHeight="1" x14ac:dyDescent="0.25">
      <c r="A8" t="s">
        <v>70</v>
      </c>
      <c r="B8" s="14">
        <v>200</v>
      </c>
      <c r="C8" s="15">
        <f>SUMIFS(Transacciones!$G:$G,Transacciones!$B:$B,"Gasto",Transacciones!$C:$C,A8)</f>
        <v>90</v>
      </c>
      <c r="D8" s="15">
        <f t="shared" si="0"/>
        <v>110</v>
      </c>
      <c r="E8" s="33">
        <f t="shared" si="1"/>
        <v>0.45</v>
      </c>
      <c r="F8" t="str">
        <f t="shared" si="2"/>
        <v>✓ Bien</v>
      </c>
    </row>
    <row r="9" spans="1:6" ht="15" customHeight="1" x14ac:dyDescent="0.25">
      <c r="A9" t="s">
        <v>83</v>
      </c>
      <c r="B9" s="14">
        <v>80</v>
      </c>
      <c r="C9" s="15">
        <f>SUMIFS(Transacciones!$G:$G,Transacciones!$B:$B,"Gasto",Transacciones!$C:$C,A9)</f>
        <v>45</v>
      </c>
      <c r="D9" s="15">
        <f t="shared" si="0"/>
        <v>35</v>
      </c>
      <c r="E9" s="33">
        <f t="shared" si="1"/>
        <v>0.5625</v>
      </c>
      <c r="F9" t="str">
        <f t="shared" si="2"/>
        <v>✓ Bien</v>
      </c>
    </row>
    <row r="10" spans="1:6" ht="15" customHeight="1" x14ac:dyDescent="0.25">
      <c r="A10" t="s">
        <v>88</v>
      </c>
      <c r="B10" s="14">
        <v>50</v>
      </c>
      <c r="C10" s="15">
        <f>SUMIFS(Transacciones!$G:$G,Transacciones!$B:$B,"Gasto",Transacciones!$C:$C,A10)</f>
        <v>25</v>
      </c>
      <c r="D10" s="15">
        <f t="shared" si="0"/>
        <v>25</v>
      </c>
      <c r="E10" s="33">
        <f t="shared" si="1"/>
        <v>0.5</v>
      </c>
      <c r="F10" t="str">
        <f t="shared" si="2"/>
        <v>✓ Bien</v>
      </c>
    </row>
    <row r="11" spans="1:6" ht="15" customHeight="1" x14ac:dyDescent="0.25">
      <c r="A11" t="s">
        <v>95</v>
      </c>
      <c r="B11" s="14">
        <v>100</v>
      </c>
      <c r="C11" s="15">
        <f>SUMIFS(Transacciones!$G:$G,Transacciones!$B:$B,"Gasto",Transacciones!$C:$C,A11)</f>
        <v>89</v>
      </c>
      <c r="D11" s="15">
        <f t="shared" si="0"/>
        <v>11</v>
      </c>
      <c r="E11" s="33">
        <f t="shared" si="1"/>
        <v>0.89</v>
      </c>
      <c r="F11" t="str">
        <f t="shared" si="2"/>
        <v>⚠ Alerta</v>
      </c>
    </row>
    <row r="12" spans="1:6" ht="15" customHeight="1" x14ac:dyDescent="0.25">
      <c r="A12" t="s">
        <v>104</v>
      </c>
      <c r="B12" s="14">
        <v>50</v>
      </c>
      <c r="C12" s="15">
        <f>SUMIFS(Transacciones!$G:$G,Transacciones!$B:$B,"Gasto",Transacciones!$C:$C,A12)</f>
        <v>15</v>
      </c>
      <c r="D12" s="15">
        <f t="shared" si="0"/>
        <v>35</v>
      </c>
      <c r="E12" s="33">
        <f t="shared" si="1"/>
        <v>0.3</v>
      </c>
      <c r="F12" t="str">
        <f t="shared" si="2"/>
        <v>✓ Bien</v>
      </c>
    </row>
    <row r="13" spans="1:6" ht="15" customHeight="1" x14ac:dyDescent="0.25">
      <c r="A13" t="s">
        <v>124</v>
      </c>
      <c r="B13" s="14">
        <v>100</v>
      </c>
      <c r="C13" s="15">
        <f>SUMIFS(Transacciones!$G:$G,Transacciones!$B:$B,"Gasto",Transacciones!$C:$C,A13)</f>
        <v>0</v>
      </c>
      <c r="D13" s="15">
        <f t="shared" si="0"/>
        <v>100</v>
      </c>
      <c r="E13" s="33">
        <f t="shared" si="1"/>
        <v>0</v>
      </c>
      <c r="F13" t="str">
        <f t="shared" si="2"/>
        <v>✓ Bien</v>
      </c>
    </row>
    <row r="14" spans="1:6" ht="15" customHeight="1" x14ac:dyDescent="0.25">
      <c r="A14" s="18" t="s">
        <v>114</v>
      </c>
      <c r="B14" s="31">
        <f>SUM(B4:B13)</f>
        <v>2280</v>
      </c>
      <c r="C14" s="31">
        <f>SUM(C4:C13)</f>
        <v>1817.3</v>
      </c>
      <c r="D14" s="31">
        <f>SUM(D4:D13)</f>
        <v>462.7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Panel de Control</vt:lpstr>
      <vt:lpstr>Transacciones</vt:lpstr>
      <vt:lpstr>Resumen</vt:lpstr>
      <vt:lpstr>Planificación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2026-02-11T14:37:12Z</dcterms:created>
  <dcterms:modified xsi:type="dcterms:W3CDTF">2026-02-12T10:14:11Z</dcterms:modified>
  <dc:language>en-US</dc:language>
</cp:coreProperties>
</file>