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asistencia\"/>
    </mc:Choice>
  </mc:AlternateContent>
  <xr:revisionPtr revIDLastSave="0" documentId="8_{74F39A44-7A7A-4D6D-98C8-8F0C77045B5C}" xr6:coauthVersionLast="47" xr6:coauthVersionMax="47" xr10:uidLastSave="{00000000-0000-0000-0000-000000000000}"/>
  <bookViews>
    <workbookView xWindow="2910" yWindow="2790" windowWidth="24555" windowHeight="11895" activeTab="1" xr2:uid="{00000000-000D-0000-FFFF-FFFF00000000}"/>
  </bookViews>
  <sheets>
    <sheet name="Registro" sheetId="1" r:id="rId1"/>
    <sheet name="Resumen" sheetId="2" r:id="rId2"/>
    <sheet name="Configuración" sheetId="3" r:id="rId3"/>
  </sheets>
  <definedNames>
    <definedName name="ListaSemestre">Configuración!$D$5:$D$10</definedName>
    <definedName name="Peso_Asistencia">Configuración!$B$9</definedName>
    <definedName name="Peso_Examenes">Configuración!$B$6</definedName>
    <definedName name="Peso_Participacion">Configuración!$B$8</definedName>
    <definedName name="Peso_Proyectos">Configuración!$B$7</definedName>
    <definedName name="Peso_Tareas">Configuración!$B$5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3" l="1"/>
  <c r="B28" i="2"/>
  <c r="B27" i="2"/>
  <c r="B26" i="2"/>
  <c r="B25" i="2"/>
  <c r="B24" i="2"/>
  <c r="B15" i="2"/>
  <c r="C15" i="2" s="1"/>
  <c r="B14" i="2"/>
  <c r="C14" i="2" s="1"/>
  <c r="B13" i="2"/>
  <c r="C13" i="2" s="1"/>
  <c r="B12" i="2"/>
  <c r="C12" i="2" s="1"/>
  <c r="B11" i="2"/>
  <c r="C11" i="2" s="1"/>
  <c r="G5" i="2"/>
  <c r="A5" i="2"/>
  <c r="M47" i="1"/>
  <c r="E47" i="1"/>
  <c r="A47" i="1"/>
  <c r="J43" i="1"/>
  <c r="L43" i="1" s="1"/>
  <c r="K42" i="1"/>
  <c r="J42" i="1"/>
  <c r="L42" i="1" s="1"/>
  <c r="J41" i="1"/>
  <c r="L41" i="1" s="1"/>
  <c r="J40" i="1"/>
  <c r="K40" i="1" s="1"/>
  <c r="J39" i="1"/>
  <c r="L39" i="1" s="1"/>
  <c r="J38" i="1"/>
  <c r="L38" i="1" s="1"/>
  <c r="L37" i="1"/>
  <c r="J37" i="1"/>
  <c r="K37" i="1" s="1"/>
  <c r="K36" i="1"/>
  <c r="J36" i="1"/>
  <c r="L36" i="1" s="1"/>
  <c r="J35" i="1"/>
  <c r="L35" i="1" s="1"/>
  <c r="J34" i="1"/>
  <c r="K34" i="1" s="1"/>
  <c r="J33" i="1"/>
  <c r="L33" i="1" s="1"/>
  <c r="J32" i="1"/>
  <c r="L32" i="1" s="1"/>
  <c r="J31" i="1"/>
  <c r="L31" i="1" s="1"/>
  <c r="J30" i="1"/>
  <c r="L30" i="1" s="1"/>
  <c r="L29" i="1"/>
  <c r="J29" i="1"/>
  <c r="K29" i="1" s="1"/>
  <c r="J28" i="1"/>
  <c r="L28" i="1" s="1"/>
  <c r="J27" i="1"/>
  <c r="K27" i="1" s="1"/>
  <c r="J26" i="1"/>
  <c r="L26" i="1" s="1"/>
  <c r="J25" i="1"/>
  <c r="L25" i="1" s="1"/>
  <c r="L24" i="1"/>
  <c r="K24" i="1"/>
  <c r="J24" i="1"/>
  <c r="J23" i="1"/>
  <c r="L23" i="1" s="1"/>
  <c r="K22" i="1"/>
  <c r="J22" i="1"/>
  <c r="L22" i="1" s="1"/>
  <c r="J21" i="1"/>
  <c r="L21" i="1" s="1"/>
  <c r="J20" i="1"/>
  <c r="L20" i="1" s="1"/>
  <c r="J19" i="1"/>
  <c r="L19" i="1" s="1"/>
  <c r="J18" i="1"/>
  <c r="L18" i="1" s="1"/>
  <c r="L17" i="1"/>
  <c r="J17" i="1"/>
  <c r="K17" i="1" s="1"/>
  <c r="L16" i="1"/>
  <c r="K16" i="1"/>
  <c r="J16" i="1"/>
  <c r="J15" i="1"/>
  <c r="L15" i="1" s="1"/>
  <c r="J14" i="1"/>
  <c r="C5" i="2" s="1"/>
  <c r="M10" i="1"/>
  <c r="M9" i="1"/>
  <c r="M8" i="1"/>
  <c r="M7" i="1"/>
  <c r="M6" i="1"/>
  <c r="M11" i="1" s="1"/>
  <c r="C47" i="1" l="1"/>
  <c r="K31" i="1"/>
  <c r="K38" i="1"/>
  <c r="L40" i="1"/>
  <c r="K18" i="1"/>
  <c r="L34" i="1"/>
  <c r="K41" i="1"/>
  <c r="K33" i="1"/>
  <c r="K20" i="1"/>
  <c r="K28" i="1"/>
  <c r="K15" i="1"/>
  <c r="K35" i="1"/>
  <c r="L27" i="1"/>
  <c r="L14" i="1"/>
  <c r="K21" i="1"/>
  <c r="I47" i="1"/>
  <c r="K32" i="1"/>
  <c r="K19" i="1"/>
  <c r="K39" i="1"/>
  <c r="K43" i="1"/>
  <c r="G47" i="1"/>
  <c r="K25" i="1"/>
  <c r="K26" i="1"/>
  <c r="K14" i="1"/>
  <c r="K23" i="1"/>
  <c r="K30" i="1"/>
  <c r="B20" i="2" l="1"/>
  <c r="B19" i="2"/>
  <c r="K47" i="1"/>
  <c r="E5" i="2"/>
</calcChain>
</file>

<file path=xl/sharedStrings.xml><?xml version="1.0" encoding="utf-8"?>
<sst xmlns="http://schemas.openxmlformats.org/spreadsheetml/2006/main" count="146" uniqueCount="111">
  <si>
    <t>FORMATO DE CALIFICACIONES</t>
  </si>
  <si>
    <t>Registro de evaluación por alumno · con promedios automáticos, validaciones y resumen</t>
  </si>
  <si>
    <t>DATOS DEL CURSO</t>
  </si>
  <si>
    <t>PONDERACIONES (se editan en Configuración)</t>
  </si>
  <si>
    <t>Escuela</t>
  </si>
  <si>
    <t>Colegio Ejemplo San Martín</t>
  </si>
  <si>
    <t>Grupo</t>
  </si>
  <si>
    <t>A</t>
  </si>
  <si>
    <t>Criterio</t>
  </si>
  <si>
    <t>Peso</t>
  </si>
  <si>
    <t>Ciclo escolar</t>
  </si>
  <si>
    <t>2025–2026</t>
  </si>
  <si>
    <t>Grado</t>
  </si>
  <si>
    <t>3°</t>
  </si>
  <si>
    <t>Tareas y actividades</t>
  </si>
  <si>
    <t>Materia</t>
  </si>
  <si>
    <t>Matemáticas</t>
  </si>
  <si>
    <t>Periodo</t>
  </si>
  <si>
    <t>Ene–Jun</t>
  </si>
  <si>
    <t>Exámenes</t>
  </si>
  <si>
    <t>Maestro/a</t>
  </si>
  <si>
    <t>María González</t>
  </si>
  <si>
    <t>Fecha de corte</t>
  </si>
  <si>
    <t>2026-01-14</t>
  </si>
  <si>
    <t>Proyectos</t>
  </si>
  <si>
    <t>Participación</t>
  </si>
  <si>
    <t>Asistencia</t>
  </si>
  <si>
    <t>Total</t>
  </si>
  <si>
    <t>No</t>
  </si>
  <si>
    <t>ID</t>
  </si>
  <si>
    <t>Nombre del alumno</t>
  </si>
  <si>
    <t>Semestre</t>
  </si>
  <si>
    <t>Tareas</t>
  </si>
  <si>
    <t>Asistencia (%)</t>
  </si>
  <si>
    <t>Promedio (0–10)</t>
  </si>
  <si>
    <t>Final (0–100)</t>
  </si>
  <si>
    <t>Estatus</t>
  </si>
  <si>
    <t>Observaciones</t>
  </si>
  <si>
    <t>Tutor/Contacto</t>
  </si>
  <si>
    <t>A0031</t>
  </si>
  <si>
    <t>Joaquín Pérez</t>
  </si>
  <si>
    <t>1er</t>
  </si>
  <si>
    <t>Buen desempeño; reforzar geometría.</t>
  </si>
  <si>
    <t>Padre: +52 555-0101</t>
  </si>
  <si>
    <t>A0032</t>
  </si>
  <si>
    <t>Lucía Ramírez</t>
  </si>
  <si>
    <t>Excelente participación.</t>
  </si>
  <si>
    <t>Madre: +52 555-0102</t>
  </si>
  <si>
    <t>A0033</t>
  </si>
  <si>
    <t>Diego Torres</t>
  </si>
  <si>
    <t>Mejora constante; cuidar entregas.</t>
  </si>
  <si>
    <t>Tutor: +52 555-0103</t>
  </si>
  <si>
    <t>A0034</t>
  </si>
  <si>
    <t>Sofía Morales</t>
  </si>
  <si>
    <t>Destaca en proyectos.</t>
  </si>
  <si>
    <t>Padre: +52 555-0104</t>
  </si>
  <si>
    <t>A0035</t>
  </si>
  <si>
    <t>Mateo Herrera</t>
  </si>
  <si>
    <t>Riesgo: plan de apoyo recomendado.</t>
  </si>
  <si>
    <t>Madre: +52 555-0105</t>
  </si>
  <si>
    <t>A0036</t>
  </si>
  <si>
    <t>Valentina Cruz</t>
  </si>
  <si>
    <t>Cumple; mejorar en exámenes.</t>
  </si>
  <si>
    <t>Padre: +52 555-0106</t>
  </si>
  <si>
    <t>A0037</t>
  </si>
  <si>
    <t>Emiliano Navarro</t>
  </si>
  <si>
    <t>Buen nivel; evitar descuidos.</t>
  </si>
  <si>
    <t>Tutor: +52 555-0107</t>
  </si>
  <si>
    <t>A0038</t>
  </si>
  <si>
    <t>Camila Rojas</t>
  </si>
  <si>
    <t>Trabajo estable.</t>
  </si>
  <si>
    <t>Madre: +52 555-0108</t>
  </si>
  <si>
    <t>A0039</t>
  </si>
  <si>
    <t>Daniela Vega</t>
  </si>
  <si>
    <t>Muy constante.</t>
  </si>
  <si>
    <t>Padre: +52 555-0109</t>
  </si>
  <si>
    <t>A0040</t>
  </si>
  <si>
    <t>Bruno Sánchez</t>
  </si>
  <si>
    <t>Seguimiento semanal.</t>
  </si>
  <si>
    <t>Tutor: +52 555-0110</t>
  </si>
  <si>
    <t>MÉTRICAS DEL GRUPO</t>
  </si>
  <si>
    <t>Alumnos</t>
  </si>
  <si>
    <t>Mediana</t>
  </si>
  <si>
    <t>Máximo</t>
  </si>
  <si>
    <t>Mínimo</t>
  </si>
  <si>
    <t>% Aprobados</t>
  </si>
  <si>
    <t>Asistencia prom.</t>
  </si>
  <si>
    <t>Indicadores y gráficos alimentados desde Registro</t>
  </si>
  <si>
    <t>Distribución de promedios (0–10)</t>
  </si>
  <si>
    <t>Rango</t>
  </si>
  <si>
    <t>Cantidad</t>
  </si>
  <si>
    <t>Porcentaje</t>
  </si>
  <si>
    <t>0.0–5.9</t>
  </si>
  <si>
    <t>6.0–6.9</t>
  </si>
  <si>
    <t>7.0–7.9</t>
  </si>
  <si>
    <t>8.0–8.9</t>
  </si>
  <si>
    <t>9.0–10.0</t>
  </si>
  <si>
    <t>Aprobados vs Reprobados</t>
  </si>
  <si>
    <t>Aprobado</t>
  </si>
  <si>
    <t>Reprobado</t>
  </si>
  <si>
    <t>Promedio por criterio</t>
  </si>
  <si>
    <t>Promedio</t>
  </si>
  <si>
    <t>Configuración (ajusta pesos y listas)</t>
  </si>
  <si>
    <t>Ponderaciones</t>
  </si>
  <si>
    <t>Listas</t>
  </si>
  <si>
    <t>2do</t>
  </si>
  <si>
    <t>3er</t>
  </si>
  <si>
    <t>4to</t>
  </si>
  <si>
    <t>5to</t>
  </si>
  <si>
    <t>6to</t>
  </si>
  <si>
    <t>Verificación (debe ser 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</si>
</sst>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1" x14ac:knownFonts="1">
    <font>
      <sz val="11"/>
      <color theme="1"/>
      <name val="Calibri"/>
      <family val="2"/>
      <scheme val="minor"/>
    </font>
    <font>
      <b/>
      <sz val="14"/>
      <color rgb="FF121528"/>
      <name val="Calibri"/>
    </font>
    <font>
      <b/>
      <sz val="10"/>
      <color rgb="FF121528"/>
      <name val="Calibri"/>
    </font>
    <font>
      <b/>
      <sz val="11"/>
      <color rgb="FFFFFFFF"/>
      <name val="Calibri"/>
    </font>
    <font>
      <b/>
      <sz val="11"/>
      <name val="Calibri"/>
    </font>
    <font>
      <b/>
      <sz val="20"/>
      <color rgb="FF121528"/>
      <name val="Calibri"/>
    </font>
    <font>
      <i/>
      <sz val="11"/>
      <color rgb="FF444444"/>
      <name val="Calibri"/>
    </font>
    <font>
      <b/>
      <sz val="11"/>
      <color rgb="FF121528"/>
      <name val="Calibri"/>
    </font>
    <font>
      <sz val="10"/>
      <color rgb="FF1F2937"/>
      <name val="Calibri"/>
    </font>
    <font>
      <b/>
      <sz val="9"/>
      <color rgb="FF121528"/>
      <name val="Calibri"/>
    </font>
    <font>
      <b/>
      <sz val="18"/>
      <color rgb="FF12152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F6F7FB"/>
      </patternFill>
    </fill>
    <fill>
      <patternFill patternType="solid">
        <fgColor rgb="FFE9ECF5"/>
      </patternFill>
    </fill>
  </fills>
  <borders count="7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/>
      <right style="thin">
        <color rgb="FFA0A0A0"/>
      </right>
      <top style="thin">
        <color rgb="FFA0A0A0"/>
      </top>
      <bottom/>
      <diagonal/>
    </border>
    <border>
      <left/>
      <right/>
      <top style="thin">
        <color rgb="FFA0A0A0"/>
      </top>
      <bottom style="thin">
        <color rgb="FFA0A0A0"/>
      </bottom>
      <diagonal/>
    </border>
    <border>
      <left/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/>
      <bottom style="thin">
        <color rgb="FFA0A0A0"/>
      </bottom>
      <diagonal/>
    </border>
    <border>
      <left/>
      <right style="thin">
        <color rgb="FFA0A0A0"/>
      </right>
      <top/>
      <bottom style="thin">
        <color rgb="FFA0A0A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7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1" fontId="0" fillId="3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9" fontId="4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0" xfId="0"/>
    <xf numFmtId="0" fontId="5" fillId="0" borderId="0" xfId="0" applyFont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164" fontId="10" fillId="3" borderId="1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5" xfId="0" applyBorder="1"/>
    <xf numFmtId="0" fontId="0" fillId="0" borderId="6" xfId="0" applyBorder="1"/>
    <xf numFmtId="1" fontId="10" fillId="3" borderId="1" xfId="0" applyNumberFormat="1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2">
    <dxf>
      <fill>
        <patternFill>
          <bgColor rgb="FFFFF1D6"/>
        </patternFill>
      </fill>
    </dxf>
    <dxf>
      <fill>
        <patternFill>
          <bgColor rgb="FFFD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Distribución de promedios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3.8880649932680332E-2"/>
          <c:y val="0.38583942964576234"/>
          <c:w val="0.75655993197006965"/>
          <c:h val="0.37726550138679471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Resumen!$B$10</c:f>
              <c:strCache>
                <c:ptCount val="1"/>
                <c:pt idx="0">
                  <c:v>Cantidad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Resumen!$A$11:$A$15</c:f>
              <c:strCache>
                <c:ptCount val="5"/>
                <c:pt idx="0">
                  <c:v>0.0–5.9</c:v>
                </c:pt>
                <c:pt idx="1">
                  <c:v>6.0–6.9</c:v>
                </c:pt>
                <c:pt idx="2">
                  <c:v>7.0–7.9</c:v>
                </c:pt>
                <c:pt idx="3">
                  <c:v>8.0–8.9</c:v>
                </c:pt>
                <c:pt idx="4">
                  <c:v>9.0–10.0</c:v>
                </c:pt>
              </c:strCache>
            </c:strRef>
          </c:cat>
          <c:val>
            <c:numRef>
              <c:f>Resumen!$B$11:$B$15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25-406E-9B79-27BCF08F72D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Estatus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Resumen!$B$18</c:f>
              <c:strCache>
                <c:ptCount val="1"/>
                <c:pt idx="0">
                  <c:v>Cantidad</c:v>
                </c:pt>
              </c:strCache>
            </c:strRef>
          </c:tx>
          <c:spPr>
            <a:ln/>
          </c:spPr>
          <c:cat>
            <c:strRef>
              <c:f>Resumen!$A$19:$A$20</c:f>
              <c:strCache>
                <c:ptCount val="2"/>
                <c:pt idx="0">
                  <c:v>Aprobado</c:v>
                </c:pt>
                <c:pt idx="1">
                  <c:v>Reprobado</c:v>
                </c:pt>
              </c:strCache>
            </c:strRef>
          </c:cat>
          <c:val>
            <c:numRef>
              <c:f>Resumen!$B$19:$B$20</c:f>
              <c:numCache>
                <c:formatCode>General</c:formatCode>
                <c:ptCount val="2"/>
                <c:pt idx="0">
                  <c:v>8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2C-48DE-824F-FDEFA8346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Promedio por criterio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3.1647068345531701E-2"/>
          <c:y val="0.2626967310904319"/>
          <c:w val="0.71167660452699821"/>
          <c:h val="0.58547506561679785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Resumen!$B$23</c:f>
              <c:strCache>
                <c:ptCount val="1"/>
                <c:pt idx="0">
                  <c:v>Promedio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Resumen!$A$24:$A$28</c:f>
              <c:strCache>
                <c:ptCount val="5"/>
                <c:pt idx="0">
                  <c:v>Tareas</c:v>
                </c:pt>
                <c:pt idx="1">
                  <c:v>Exámenes</c:v>
                </c:pt>
                <c:pt idx="2">
                  <c:v>Proyectos</c:v>
                </c:pt>
                <c:pt idx="3">
                  <c:v>Participación</c:v>
                </c:pt>
                <c:pt idx="4">
                  <c:v>Asistencia (%)</c:v>
                </c:pt>
              </c:strCache>
            </c:strRef>
          </c:cat>
          <c:val>
            <c:numRef>
              <c:f>Resumen!$B$24:$B$28</c:f>
              <c:numCache>
                <c:formatCode>0.0</c:formatCode>
                <c:ptCount val="5"/>
                <c:pt idx="0">
                  <c:v>7.23</c:v>
                </c:pt>
                <c:pt idx="1">
                  <c:v>7.37</c:v>
                </c:pt>
                <c:pt idx="2">
                  <c:v>7.54</c:v>
                </c:pt>
                <c:pt idx="3">
                  <c:v>7.7</c:v>
                </c:pt>
                <c:pt idx="4" formatCode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13-4FDB-9C91-06B5F3DDD6D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834829620656387"/>
          <c:y val="0.31601622524457168"/>
          <c:w val="0.16695084909258137"/>
          <c:h val="0.54796707229778097"/>
        </c:manualLayout>
      </c:layout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15</xdr:row>
      <xdr:rowOff>114299</xdr:rowOff>
    </xdr:from>
    <xdr:to>
      <xdr:col>8</xdr:col>
      <xdr:colOff>19051</xdr:colOff>
      <xdr:row>23</xdr:row>
      <xdr:rowOff>104774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123824</xdr:colOff>
      <xdr:row>15</xdr:row>
      <xdr:rowOff>114299</xdr:rowOff>
    </xdr:from>
    <xdr:to>
      <xdr:col>4</xdr:col>
      <xdr:colOff>1114425</xdr:colOff>
      <xdr:row>23</xdr:row>
      <xdr:rowOff>133350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95250</xdr:colOff>
      <xdr:row>6</xdr:row>
      <xdr:rowOff>57149</xdr:rowOff>
    </xdr:from>
    <xdr:to>
      <xdr:col>7</xdr:col>
      <xdr:colOff>1200149</xdr:colOff>
      <xdr:row>15</xdr:row>
      <xdr:rowOff>28574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showGridLines="0" workbookViewId="0">
      <selection sqref="A1:N1"/>
    </sheetView>
  </sheetViews>
  <sheetFormatPr baseColWidth="10" defaultColWidth="9.140625" defaultRowHeight="15" x14ac:dyDescent="0.25"/>
  <cols>
    <col min="1" max="1" width="14" customWidth="1"/>
    <col min="2" max="2" width="10" customWidth="1"/>
    <col min="3" max="3" width="26" customWidth="1"/>
    <col min="4" max="7" width="10" customWidth="1"/>
    <col min="8" max="8" width="13" customWidth="1"/>
    <col min="9" max="11" width="14" customWidth="1"/>
    <col min="12" max="12" width="16" customWidth="1"/>
    <col min="13" max="13" width="10" customWidth="1"/>
    <col min="14" max="14" width="20" customWidth="1"/>
  </cols>
  <sheetData>
    <row r="1" spans="1:14" ht="30" customHeight="1" x14ac:dyDescent="0.25">
      <c r="A1" s="27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8" customHeight="1" x14ac:dyDescent="0.25">
      <c r="A2" s="30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4" spans="1:14" ht="18" customHeight="1" x14ac:dyDescent="0.25">
      <c r="A4" s="25" t="s">
        <v>2</v>
      </c>
      <c r="B4" s="26"/>
      <c r="C4" s="26"/>
      <c r="D4" s="26"/>
      <c r="E4" s="26"/>
      <c r="F4" s="26"/>
      <c r="H4" s="25" t="s">
        <v>3</v>
      </c>
      <c r="I4" s="26"/>
      <c r="J4" s="26"/>
      <c r="K4" s="26"/>
      <c r="L4" s="26"/>
      <c r="M4" s="26"/>
      <c r="N4" s="26"/>
    </row>
    <row r="5" spans="1:14" ht="18" customHeight="1" x14ac:dyDescent="0.25">
      <c r="A5" s="17" t="s">
        <v>4</v>
      </c>
      <c r="B5" s="21" t="s">
        <v>5</v>
      </c>
      <c r="C5" s="22"/>
      <c r="D5" s="22"/>
      <c r="E5" s="22"/>
      <c r="F5" s="23"/>
      <c r="H5" s="2" t="s">
        <v>6</v>
      </c>
      <c r="I5" s="21" t="s">
        <v>7</v>
      </c>
      <c r="J5" s="22"/>
      <c r="K5" s="23"/>
      <c r="L5" s="3" t="s">
        <v>8</v>
      </c>
      <c r="M5" s="3" t="s">
        <v>9</v>
      </c>
    </row>
    <row r="6" spans="1:14" ht="18" customHeight="1" x14ac:dyDescent="0.25">
      <c r="A6" s="17" t="s">
        <v>10</v>
      </c>
      <c r="B6" s="21" t="s">
        <v>11</v>
      </c>
      <c r="C6" s="22"/>
      <c r="D6" s="22"/>
      <c r="E6" s="22"/>
      <c r="F6" s="23"/>
      <c r="H6" s="2" t="s">
        <v>12</v>
      </c>
      <c r="I6" s="21" t="s">
        <v>13</v>
      </c>
      <c r="J6" s="22"/>
      <c r="K6" s="23"/>
      <c r="L6" s="4" t="s">
        <v>14</v>
      </c>
      <c r="M6" s="5">
        <f>Configuración!B5</f>
        <v>0.25</v>
      </c>
    </row>
    <row r="7" spans="1:14" ht="18" customHeight="1" x14ac:dyDescent="0.25">
      <c r="A7" s="17" t="s">
        <v>15</v>
      </c>
      <c r="B7" s="21" t="s">
        <v>16</v>
      </c>
      <c r="C7" s="22"/>
      <c r="D7" s="22"/>
      <c r="E7" s="22"/>
      <c r="F7" s="23"/>
      <c r="H7" s="2" t="s">
        <v>17</v>
      </c>
      <c r="I7" s="21" t="s">
        <v>18</v>
      </c>
      <c r="J7" s="22"/>
      <c r="K7" s="23"/>
      <c r="L7" s="4" t="s">
        <v>19</v>
      </c>
      <c r="M7" s="5">
        <f>Configuración!B6</f>
        <v>0.35</v>
      </c>
    </row>
    <row r="8" spans="1:14" ht="18" customHeight="1" x14ac:dyDescent="0.25">
      <c r="A8" s="17" t="s">
        <v>20</v>
      </c>
      <c r="B8" s="21" t="s">
        <v>21</v>
      </c>
      <c r="C8" s="22"/>
      <c r="D8" s="22"/>
      <c r="E8" s="22"/>
      <c r="F8" s="23"/>
      <c r="H8" s="2" t="s">
        <v>22</v>
      </c>
      <c r="I8" s="21" t="s">
        <v>23</v>
      </c>
      <c r="J8" s="22"/>
      <c r="K8" s="23"/>
      <c r="L8" s="4" t="s">
        <v>24</v>
      </c>
      <c r="M8" s="5">
        <f>Configuración!B7</f>
        <v>0.2</v>
      </c>
    </row>
    <row r="9" spans="1:14" ht="18" customHeight="1" x14ac:dyDescent="0.25">
      <c r="L9" s="4" t="s">
        <v>25</v>
      </c>
      <c r="M9" s="5">
        <f>Configuración!B8</f>
        <v>0.1</v>
      </c>
    </row>
    <row r="10" spans="1:14" ht="18" customHeight="1" x14ac:dyDescent="0.25">
      <c r="L10" s="4" t="s">
        <v>26</v>
      </c>
      <c r="M10" s="5">
        <f>Configuración!B9</f>
        <v>0.1</v>
      </c>
    </row>
    <row r="11" spans="1:14" ht="18" customHeight="1" x14ac:dyDescent="0.25">
      <c r="L11" s="6" t="s">
        <v>27</v>
      </c>
      <c r="M11" s="7">
        <f>SUM(M6:M10)</f>
        <v>1</v>
      </c>
    </row>
    <row r="13" spans="1:14" ht="24" customHeight="1" x14ac:dyDescent="0.25">
      <c r="A13" s="18" t="s">
        <v>28</v>
      </c>
      <c r="B13" s="18" t="s">
        <v>29</v>
      </c>
      <c r="C13" s="18" t="s">
        <v>30</v>
      </c>
      <c r="D13" s="18" t="s">
        <v>31</v>
      </c>
      <c r="E13" s="18" t="s">
        <v>32</v>
      </c>
      <c r="F13" s="18" t="s">
        <v>19</v>
      </c>
      <c r="G13" s="18" t="s">
        <v>24</v>
      </c>
      <c r="H13" s="18" t="s">
        <v>25</v>
      </c>
      <c r="I13" s="18" t="s">
        <v>33</v>
      </c>
      <c r="J13" s="18" t="s">
        <v>34</v>
      </c>
      <c r="K13" s="18" t="s">
        <v>35</v>
      </c>
      <c r="L13" s="18" t="s">
        <v>36</v>
      </c>
      <c r="M13" s="18" t="s">
        <v>37</v>
      </c>
      <c r="N13" s="18" t="s">
        <v>38</v>
      </c>
    </row>
    <row r="14" spans="1:14" ht="90" x14ac:dyDescent="0.25">
      <c r="A14" s="8">
        <v>1</v>
      </c>
      <c r="B14" s="8" t="s">
        <v>39</v>
      </c>
      <c r="C14" s="9" t="s">
        <v>40</v>
      </c>
      <c r="D14" s="8" t="s">
        <v>41</v>
      </c>
      <c r="E14" s="10">
        <v>7</v>
      </c>
      <c r="F14" s="10">
        <v>9</v>
      </c>
      <c r="G14" s="10">
        <v>8</v>
      </c>
      <c r="H14" s="10">
        <v>8</v>
      </c>
      <c r="I14" s="11">
        <v>95</v>
      </c>
      <c r="J14" s="10">
        <f>IF($C14="","",ROUND($E14*Configuración!$B$5 + $F14*Configuración!$B$6 + $G14*Configuración!$B$7 + $H14*Configuración!$B$8 + ($I14/10)*Configuración!$B$9,2))</f>
        <v>8.25</v>
      </c>
      <c r="K14" s="11">
        <f t="shared" ref="K14:K43" si="0">IF($J14="","",ROUND($J14*10,0))</f>
        <v>83</v>
      </c>
      <c r="L14" s="19" t="str">
        <f t="shared" ref="L14:L43" si="1">IF($J14="","",IF($J14&gt;=6,"Aprobado","Reprobado"))</f>
        <v>Aprobado</v>
      </c>
      <c r="M14" s="9" t="s">
        <v>42</v>
      </c>
      <c r="N14" s="9" t="s">
        <v>43</v>
      </c>
    </row>
    <row r="15" spans="1:14" ht="45" x14ac:dyDescent="0.25">
      <c r="A15" s="12">
        <v>2</v>
      </c>
      <c r="B15" s="12" t="s">
        <v>44</v>
      </c>
      <c r="C15" s="4" t="s">
        <v>45</v>
      </c>
      <c r="D15" s="12" t="s">
        <v>41</v>
      </c>
      <c r="E15" s="13">
        <v>8.5</v>
      </c>
      <c r="F15" s="13">
        <v>8</v>
      </c>
      <c r="G15" s="13">
        <v>9</v>
      </c>
      <c r="H15" s="13">
        <v>9.5</v>
      </c>
      <c r="I15" s="14">
        <v>98</v>
      </c>
      <c r="J15" s="13">
        <f>IF($C15="","",ROUND($E15*Configuración!$B$5 + $F15*Configuración!$B$6 + $G15*Configuración!$B$7 + $H15*Configuración!$B$8 + ($I15/10)*Configuración!$B$9,2))</f>
        <v>8.66</v>
      </c>
      <c r="K15" s="14">
        <f t="shared" si="0"/>
        <v>87</v>
      </c>
      <c r="L15" s="20" t="str">
        <f t="shared" si="1"/>
        <v>Aprobado</v>
      </c>
      <c r="M15" s="4" t="s">
        <v>46</v>
      </c>
      <c r="N15" s="4" t="s">
        <v>47</v>
      </c>
    </row>
    <row r="16" spans="1:14" ht="60" x14ac:dyDescent="0.25">
      <c r="A16" s="8">
        <v>3</v>
      </c>
      <c r="B16" s="8" t="s">
        <v>48</v>
      </c>
      <c r="C16" s="9" t="s">
        <v>49</v>
      </c>
      <c r="D16" s="8" t="s">
        <v>41</v>
      </c>
      <c r="E16" s="10">
        <v>6</v>
      </c>
      <c r="F16" s="10">
        <v>6.5</v>
      </c>
      <c r="G16" s="10">
        <v>6</v>
      </c>
      <c r="H16" s="10">
        <v>7</v>
      </c>
      <c r="I16" s="11">
        <v>82</v>
      </c>
      <c r="J16" s="10">
        <f>IF($C16="","",ROUND($E16*Configuración!$B$5 + $F16*Configuración!$B$6 + $G16*Configuración!$B$7 + $H16*Configuración!$B$8 + ($I16/10)*Configuración!$B$9,2))</f>
        <v>6.5</v>
      </c>
      <c r="K16" s="11">
        <f t="shared" si="0"/>
        <v>65</v>
      </c>
      <c r="L16" s="19" t="str">
        <f t="shared" si="1"/>
        <v>Aprobado</v>
      </c>
      <c r="M16" s="9" t="s">
        <v>50</v>
      </c>
      <c r="N16" s="9" t="s">
        <v>51</v>
      </c>
    </row>
    <row r="17" spans="1:14" ht="60" x14ac:dyDescent="0.25">
      <c r="A17" s="12">
        <v>4</v>
      </c>
      <c r="B17" s="12" t="s">
        <v>52</v>
      </c>
      <c r="C17" s="4" t="s">
        <v>53</v>
      </c>
      <c r="D17" s="12" t="s">
        <v>41</v>
      </c>
      <c r="E17" s="13">
        <v>9</v>
      </c>
      <c r="F17" s="13">
        <v>9.5</v>
      </c>
      <c r="G17" s="13">
        <v>9</v>
      </c>
      <c r="H17" s="13">
        <v>9</v>
      </c>
      <c r="I17" s="14">
        <v>100</v>
      </c>
      <c r="J17" s="13">
        <f>IF($C17="","",ROUND($E17*Configuración!$B$5 + $F17*Configuración!$B$6 + $G17*Configuración!$B$7 + $H17*Configuración!$B$8 + ($I17/10)*Configuración!$B$9,2))</f>
        <v>9.2799999999999994</v>
      </c>
      <c r="K17" s="14">
        <f t="shared" si="0"/>
        <v>93</v>
      </c>
      <c r="L17" s="20" t="str">
        <f t="shared" si="1"/>
        <v>Aprobado</v>
      </c>
      <c r="M17" s="4" t="s">
        <v>54</v>
      </c>
      <c r="N17" s="4" t="s">
        <v>55</v>
      </c>
    </row>
    <row r="18" spans="1:14" ht="75" x14ac:dyDescent="0.25">
      <c r="A18" s="8">
        <v>5</v>
      </c>
      <c r="B18" s="8" t="s">
        <v>56</v>
      </c>
      <c r="C18" s="9" t="s">
        <v>57</v>
      </c>
      <c r="D18" s="8" t="s">
        <v>41</v>
      </c>
      <c r="E18" s="10">
        <v>5.5</v>
      </c>
      <c r="F18" s="10">
        <v>5</v>
      </c>
      <c r="G18" s="10">
        <v>6</v>
      </c>
      <c r="H18" s="10">
        <v>6</v>
      </c>
      <c r="I18" s="11">
        <v>76</v>
      </c>
      <c r="J18" s="10">
        <f>IF($C18="","",ROUND($E18*Configuración!$B$5 + $F18*Configuración!$B$6 + $G18*Configuración!$B$7 + $H18*Configuración!$B$8 + ($I18/10)*Configuración!$B$9,2))</f>
        <v>5.69</v>
      </c>
      <c r="K18" s="11">
        <f t="shared" si="0"/>
        <v>57</v>
      </c>
      <c r="L18" s="19" t="str">
        <f t="shared" si="1"/>
        <v>Reprobado</v>
      </c>
      <c r="M18" s="9" t="s">
        <v>58</v>
      </c>
      <c r="N18" s="9" t="s">
        <v>59</v>
      </c>
    </row>
    <row r="19" spans="1:14" ht="75" x14ac:dyDescent="0.25">
      <c r="A19" s="12">
        <v>6</v>
      </c>
      <c r="B19" s="12" t="s">
        <v>60</v>
      </c>
      <c r="C19" s="4" t="s">
        <v>61</v>
      </c>
      <c r="D19" s="12" t="s">
        <v>41</v>
      </c>
      <c r="E19" s="13">
        <v>7.5</v>
      </c>
      <c r="F19" s="13">
        <v>7</v>
      </c>
      <c r="G19" s="13">
        <v>7.5</v>
      </c>
      <c r="H19" s="13">
        <v>8</v>
      </c>
      <c r="I19" s="14">
        <v>90</v>
      </c>
      <c r="J19" s="13">
        <f>IF($C19="","",ROUND($E19*Configuración!$B$5 + $F19*Configuración!$B$6 + $G19*Configuración!$B$7 + $H19*Configuración!$B$8 + ($I19/10)*Configuración!$B$9,2))</f>
        <v>7.53</v>
      </c>
      <c r="K19" s="14">
        <f t="shared" si="0"/>
        <v>75</v>
      </c>
      <c r="L19" s="20" t="str">
        <f t="shared" si="1"/>
        <v>Aprobado</v>
      </c>
      <c r="M19" s="4" t="s">
        <v>62</v>
      </c>
      <c r="N19" s="4" t="s">
        <v>63</v>
      </c>
    </row>
    <row r="20" spans="1:14" ht="75" x14ac:dyDescent="0.25">
      <c r="A20" s="8">
        <v>7</v>
      </c>
      <c r="B20" s="8" t="s">
        <v>64</v>
      </c>
      <c r="C20" s="9" t="s">
        <v>65</v>
      </c>
      <c r="D20" s="8" t="s">
        <v>41</v>
      </c>
      <c r="E20" s="10">
        <v>8</v>
      </c>
      <c r="F20" s="10">
        <v>7.5</v>
      </c>
      <c r="G20" s="10">
        <v>8</v>
      </c>
      <c r="H20" s="10">
        <v>7</v>
      </c>
      <c r="I20" s="11">
        <v>88</v>
      </c>
      <c r="J20" s="10">
        <f>IF($C20="","",ROUND($E20*Configuración!$B$5 + $F20*Configuración!$B$6 + $G20*Configuración!$B$7 + $H20*Configuración!$B$8 + ($I20/10)*Configuración!$B$9,2))</f>
        <v>7.81</v>
      </c>
      <c r="K20" s="11">
        <f t="shared" si="0"/>
        <v>78</v>
      </c>
      <c r="L20" s="19" t="str">
        <f t="shared" si="1"/>
        <v>Aprobado</v>
      </c>
      <c r="M20" s="9" t="s">
        <v>66</v>
      </c>
      <c r="N20" s="9" t="s">
        <v>67</v>
      </c>
    </row>
    <row r="21" spans="1:14" ht="30" x14ac:dyDescent="0.25">
      <c r="A21" s="12">
        <v>8</v>
      </c>
      <c r="B21" s="12" t="s">
        <v>68</v>
      </c>
      <c r="C21" s="4" t="s">
        <v>69</v>
      </c>
      <c r="D21" s="12" t="s">
        <v>41</v>
      </c>
      <c r="E21" s="13">
        <v>6.8</v>
      </c>
      <c r="F21" s="13">
        <v>7.2</v>
      </c>
      <c r="G21" s="13">
        <v>7</v>
      </c>
      <c r="H21" s="13">
        <v>7.5</v>
      </c>
      <c r="I21" s="14">
        <v>85</v>
      </c>
      <c r="J21" s="13">
        <f>IF($C21="","",ROUND($E21*Configuración!$B$5 + $F21*Configuración!$B$6 + $G21*Configuración!$B$7 + $H21*Configuración!$B$8 + ($I21/10)*Configuración!$B$9,2))</f>
        <v>7.22</v>
      </c>
      <c r="K21" s="14">
        <f t="shared" si="0"/>
        <v>72</v>
      </c>
      <c r="L21" s="20" t="str">
        <f t="shared" si="1"/>
        <v>Aprobado</v>
      </c>
      <c r="M21" s="4" t="s">
        <v>70</v>
      </c>
      <c r="N21" s="4" t="s">
        <v>71</v>
      </c>
    </row>
    <row r="22" spans="1:14" ht="45" x14ac:dyDescent="0.25">
      <c r="A22" s="8">
        <v>9</v>
      </c>
      <c r="B22" s="8" t="s">
        <v>72</v>
      </c>
      <c r="C22" s="9" t="s">
        <v>73</v>
      </c>
      <c r="D22" s="8" t="s">
        <v>41</v>
      </c>
      <c r="E22" s="10">
        <v>9.1999999999999993</v>
      </c>
      <c r="F22" s="10">
        <v>8.8000000000000007</v>
      </c>
      <c r="G22" s="10">
        <v>9.4</v>
      </c>
      <c r="H22" s="10">
        <v>9</v>
      </c>
      <c r="I22" s="11">
        <v>96</v>
      </c>
      <c r="J22" s="10">
        <f>IF($C22="","",ROUND($E22*Configuración!$B$5 + $F22*Configuración!$B$6 + $G22*Configuración!$B$7 + $H22*Configuración!$B$8 + ($I22/10)*Configuración!$B$9,2))</f>
        <v>9.1199999999999992</v>
      </c>
      <c r="K22" s="11">
        <f t="shared" si="0"/>
        <v>91</v>
      </c>
      <c r="L22" s="19" t="str">
        <f t="shared" si="1"/>
        <v>Aprobado</v>
      </c>
      <c r="M22" s="9" t="s">
        <v>74</v>
      </c>
      <c r="N22" s="9" t="s">
        <v>75</v>
      </c>
    </row>
    <row r="23" spans="1:14" ht="45" x14ac:dyDescent="0.25">
      <c r="A23" s="12">
        <v>10</v>
      </c>
      <c r="B23" s="12" t="s">
        <v>76</v>
      </c>
      <c r="C23" s="4" t="s">
        <v>77</v>
      </c>
      <c r="D23" s="12" t="s">
        <v>41</v>
      </c>
      <c r="E23" s="13">
        <v>4.8</v>
      </c>
      <c r="F23" s="13">
        <v>5.2</v>
      </c>
      <c r="G23" s="13">
        <v>5.5</v>
      </c>
      <c r="H23" s="13">
        <v>6</v>
      </c>
      <c r="I23" s="14">
        <v>70</v>
      </c>
      <c r="J23" s="13">
        <f>IF($C23="","",ROUND($E23*Configuración!$B$5 + $F23*Configuración!$B$6 + $G23*Configuración!$B$7 + $H23*Configuración!$B$8 + ($I23/10)*Configuración!$B$9,2))</f>
        <v>5.42</v>
      </c>
      <c r="K23" s="14">
        <f t="shared" si="0"/>
        <v>54</v>
      </c>
      <c r="L23" s="20" t="str">
        <f t="shared" si="1"/>
        <v>Reprobado</v>
      </c>
      <c r="M23" s="4" t="s">
        <v>78</v>
      </c>
      <c r="N23" s="4" t="s">
        <v>79</v>
      </c>
    </row>
    <row r="24" spans="1:14" x14ac:dyDescent="0.25">
      <c r="A24" s="8">
        <v>11</v>
      </c>
      <c r="B24" s="8"/>
      <c r="C24" s="9"/>
      <c r="D24" s="8"/>
      <c r="E24" s="10"/>
      <c r="F24" s="10"/>
      <c r="G24" s="10"/>
      <c r="H24" s="10"/>
      <c r="I24" s="11"/>
      <c r="J24" s="10" t="str">
        <f>IF($C24="","",ROUND($E24*Configuración!$B$5 + $F24*Configuración!$B$6 + $G24*Configuración!$B$7 + $H24*Configuración!$B$8 + ($I24/10)*Configuración!$B$9,2))</f>
        <v/>
      </c>
      <c r="K24" s="11" t="str">
        <f t="shared" si="0"/>
        <v/>
      </c>
      <c r="L24" s="19" t="str">
        <f t="shared" si="1"/>
        <v/>
      </c>
      <c r="M24" s="9"/>
      <c r="N24" s="9"/>
    </row>
    <row r="25" spans="1:14" x14ac:dyDescent="0.25">
      <c r="A25" s="12">
        <v>12</v>
      </c>
      <c r="B25" s="12"/>
      <c r="C25" s="4"/>
      <c r="D25" s="12"/>
      <c r="E25" s="13"/>
      <c r="F25" s="13"/>
      <c r="G25" s="13"/>
      <c r="H25" s="13"/>
      <c r="I25" s="14"/>
      <c r="J25" s="13" t="str">
        <f>IF($C25="","",ROUND($E25*Configuración!$B$5 + $F25*Configuración!$B$6 + $G25*Configuración!$B$7 + $H25*Configuración!$B$8 + ($I25/10)*Configuración!$B$9,2))</f>
        <v/>
      </c>
      <c r="K25" s="14" t="str">
        <f t="shared" si="0"/>
        <v/>
      </c>
      <c r="L25" s="20" t="str">
        <f t="shared" si="1"/>
        <v/>
      </c>
      <c r="M25" s="4"/>
      <c r="N25" s="4"/>
    </row>
    <row r="26" spans="1:14" x14ac:dyDescent="0.25">
      <c r="A26" s="8">
        <v>13</v>
      </c>
      <c r="B26" s="8"/>
      <c r="C26" s="9"/>
      <c r="D26" s="8"/>
      <c r="E26" s="10"/>
      <c r="F26" s="10"/>
      <c r="G26" s="10"/>
      <c r="H26" s="10"/>
      <c r="I26" s="11"/>
      <c r="J26" s="10" t="str">
        <f>IF($C26="","",ROUND($E26*Configuración!$B$5 + $F26*Configuración!$B$6 + $G26*Configuración!$B$7 + $H26*Configuración!$B$8 + ($I26/10)*Configuración!$B$9,2))</f>
        <v/>
      </c>
      <c r="K26" s="11" t="str">
        <f t="shared" si="0"/>
        <v/>
      </c>
      <c r="L26" s="19" t="str">
        <f t="shared" si="1"/>
        <v/>
      </c>
      <c r="M26" s="9"/>
      <c r="N26" s="9"/>
    </row>
    <row r="27" spans="1:14" x14ac:dyDescent="0.25">
      <c r="A27" s="12">
        <v>14</v>
      </c>
      <c r="B27" s="12"/>
      <c r="C27" s="4"/>
      <c r="D27" s="12"/>
      <c r="E27" s="13"/>
      <c r="F27" s="13"/>
      <c r="G27" s="13"/>
      <c r="H27" s="13"/>
      <c r="I27" s="14"/>
      <c r="J27" s="13" t="str">
        <f>IF($C27="","",ROUND($E27*Configuración!$B$5 + $F27*Configuración!$B$6 + $G27*Configuración!$B$7 + $H27*Configuración!$B$8 + ($I27/10)*Configuración!$B$9,2))</f>
        <v/>
      </c>
      <c r="K27" s="14" t="str">
        <f t="shared" si="0"/>
        <v/>
      </c>
      <c r="L27" s="20" t="str">
        <f t="shared" si="1"/>
        <v/>
      </c>
      <c r="M27" s="4"/>
      <c r="N27" s="4"/>
    </row>
    <row r="28" spans="1:14" x14ac:dyDescent="0.25">
      <c r="A28" s="8">
        <v>15</v>
      </c>
      <c r="B28" s="8"/>
      <c r="C28" s="9"/>
      <c r="D28" s="8"/>
      <c r="E28" s="10"/>
      <c r="F28" s="10"/>
      <c r="G28" s="10"/>
      <c r="H28" s="10"/>
      <c r="I28" s="11"/>
      <c r="J28" s="10" t="str">
        <f>IF($C28="","",ROUND($E28*Configuración!$B$5 + $F28*Configuración!$B$6 + $G28*Configuración!$B$7 + $H28*Configuración!$B$8 + ($I28/10)*Configuración!$B$9,2))</f>
        <v/>
      </c>
      <c r="K28" s="11" t="str">
        <f t="shared" si="0"/>
        <v/>
      </c>
      <c r="L28" s="19" t="str">
        <f t="shared" si="1"/>
        <v/>
      </c>
      <c r="M28" s="9"/>
      <c r="N28" s="9"/>
    </row>
    <row r="29" spans="1:14" x14ac:dyDescent="0.25">
      <c r="A29" s="12">
        <v>16</v>
      </c>
      <c r="B29" s="12"/>
      <c r="C29" s="4"/>
      <c r="D29" s="12"/>
      <c r="E29" s="13"/>
      <c r="F29" s="13"/>
      <c r="G29" s="13"/>
      <c r="H29" s="13"/>
      <c r="I29" s="14"/>
      <c r="J29" s="13" t="str">
        <f>IF($C29="","",ROUND($E29*Configuración!$B$5 + $F29*Configuración!$B$6 + $G29*Configuración!$B$7 + $H29*Configuración!$B$8 + ($I29/10)*Configuración!$B$9,2))</f>
        <v/>
      </c>
      <c r="K29" s="14" t="str">
        <f t="shared" si="0"/>
        <v/>
      </c>
      <c r="L29" s="20" t="str">
        <f t="shared" si="1"/>
        <v/>
      </c>
      <c r="M29" s="4"/>
      <c r="N29" s="4"/>
    </row>
    <row r="30" spans="1:14" x14ac:dyDescent="0.25">
      <c r="A30" s="8">
        <v>17</v>
      </c>
      <c r="B30" s="8"/>
      <c r="C30" s="9"/>
      <c r="D30" s="8"/>
      <c r="E30" s="10"/>
      <c r="F30" s="10"/>
      <c r="G30" s="10"/>
      <c r="H30" s="10"/>
      <c r="I30" s="11"/>
      <c r="J30" s="10" t="str">
        <f>IF($C30="","",ROUND($E30*Configuración!$B$5 + $F30*Configuración!$B$6 + $G30*Configuración!$B$7 + $H30*Configuración!$B$8 + ($I30/10)*Configuración!$B$9,2))</f>
        <v/>
      </c>
      <c r="K30" s="11" t="str">
        <f t="shared" si="0"/>
        <v/>
      </c>
      <c r="L30" s="19" t="str">
        <f t="shared" si="1"/>
        <v/>
      </c>
      <c r="M30" s="9"/>
      <c r="N30" s="9"/>
    </row>
    <row r="31" spans="1:14" x14ac:dyDescent="0.25">
      <c r="A31" s="12">
        <v>18</v>
      </c>
      <c r="B31" s="12"/>
      <c r="C31" s="4"/>
      <c r="D31" s="12"/>
      <c r="E31" s="13"/>
      <c r="F31" s="13"/>
      <c r="G31" s="13"/>
      <c r="H31" s="13"/>
      <c r="I31" s="14"/>
      <c r="J31" s="13" t="str">
        <f>IF($C31="","",ROUND($E31*Configuración!$B$5 + $F31*Configuración!$B$6 + $G31*Configuración!$B$7 + $H31*Configuración!$B$8 + ($I31/10)*Configuración!$B$9,2))</f>
        <v/>
      </c>
      <c r="K31" s="14" t="str">
        <f t="shared" si="0"/>
        <v/>
      </c>
      <c r="L31" s="20" t="str">
        <f t="shared" si="1"/>
        <v/>
      </c>
      <c r="M31" s="4"/>
      <c r="N31" s="4"/>
    </row>
    <row r="32" spans="1:14" x14ac:dyDescent="0.25">
      <c r="A32" s="8">
        <v>19</v>
      </c>
      <c r="B32" s="8"/>
      <c r="C32" s="9"/>
      <c r="D32" s="8"/>
      <c r="E32" s="10"/>
      <c r="F32" s="10"/>
      <c r="G32" s="10"/>
      <c r="H32" s="10"/>
      <c r="I32" s="11"/>
      <c r="J32" s="10" t="str">
        <f>IF($C32="","",ROUND($E32*Configuración!$B$5 + $F32*Configuración!$B$6 + $G32*Configuración!$B$7 + $H32*Configuración!$B$8 + ($I32/10)*Configuración!$B$9,2))</f>
        <v/>
      </c>
      <c r="K32" s="11" t="str">
        <f t="shared" si="0"/>
        <v/>
      </c>
      <c r="L32" s="19" t="str">
        <f t="shared" si="1"/>
        <v/>
      </c>
      <c r="M32" s="9"/>
      <c r="N32" s="9"/>
    </row>
    <row r="33" spans="1:14" x14ac:dyDescent="0.25">
      <c r="A33" s="12">
        <v>20</v>
      </c>
      <c r="B33" s="12"/>
      <c r="C33" s="4"/>
      <c r="D33" s="12"/>
      <c r="E33" s="13"/>
      <c r="F33" s="13"/>
      <c r="G33" s="13"/>
      <c r="H33" s="13"/>
      <c r="I33" s="14"/>
      <c r="J33" s="13" t="str">
        <f>IF($C33="","",ROUND($E33*Configuración!$B$5 + $F33*Configuración!$B$6 + $G33*Configuración!$B$7 + $H33*Configuración!$B$8 + ($I33/10)*Configuración!$B$9,2))</f>
        <v/>
      </c>
      <c r="K33" s="14" t="str">
        <f t="shared" si="0"/>
        <v/>
      </c>
      <c r="L33" s="20" t="str">
        <f t="shared" si="1"/>
        <v/>
      </c>
      <c r="M33" s="4"/>
      <c r="N33" s="4"/>
    </row>
    <row r="34" spans="1:14" x14ac:dyDescent="0.25">
      <c r="A34" s="8">
        <v>21</v>
      </c>
      <c r="B34" s="8"/>
      <c r="C34" s="9"/>
      <c r="D34" s="8"/>
      <c r="E34" s="10"/>
      <c r="F34" s="10"/>
      <c r="G34" s="10"/>
      <c r="H34" s="10"/>
      <c r="I34" s="11"/>
      <c r="J34" s="10" t="str">
        <f>IF($C34="","",ROUND($E34*Configuración!$B$5 + $F34*Configuración!$B$6 + $G34*Configuración!$B$7 + $H34*Configuración!$B$8 + ($I34/10)*Configuración!$B$9,2))</f>
        <v/>
      </c>
      <c r="K34" s="11" t="str">
        <f t="shared" si="0"/>
        <v/>
      </c>
      <c r="L34" s="19" t="str">
        <f t="shared" si="1"/>
        <v/>
      </c>
      <c r="M34" s="9"/>
      <c r="N34" s="9"/>
    </row>
    <row r="35" spans="1:14" x14ac:dyDescent="0.25">
      <c r="A35" s="12">
        <v>22</v>
      </c>
      <c r="B35" s="12"/>
      <c r="C35" s="4"/>
      <c r="D35" s="12"/>
      <c r="E35" s="13"/>
      <c r="F35" s="13"/>
      <c r="G35" s="13"/>
      <c r="H35" s="13"/>
      <c r="I35" s="14"/>
      <c r="J35" s="13" t="str">
        <f>IF($C35="","",ROUND($E35*Configuración!$B$5 + $F35*Configuración!$B$6 + $G35*Configuración!$B$7 + $H35*Configuración!$B$8 + ($I35/10)*Configuración!$B$9,2))</f>
        <v/>
      </c>
      <c r="K35" s="14" t="str">
        <f t="shared" si="0"/>
        <v/>
      </c>
      <c r="L35" s="20" t="str">
        <f t="shared" si="1"/>
        <v/>
      </c>
      <c r="M35" s="4"/>
      <c r="N35" s="4"/>
    </row>
    <row r="36" spans="1:14" x14ac:dyDescent="0.25">
      <c r="A36" s="8">
        <v>23</v>
      </c>
      <c r="B36" s="8"/>
      <c r="C36" s="9"/>
      <c r="D36" s="8"/>
      <c r="E36" s="10"/>
      <c r="F36" s="10"/>
      <c r="G36" s="10"/>
      <c r="H36" s="10"/>
      <c r="I36" s="11"/>
      <c r="J36" s="10" t="str">
        <f>IF($C36="","",ROUND($E36*Configuración!$B$5 + $F36*Configuración!$B$6 + $G36*Configuración!$B$7 + $H36*Configuración!$B$8 + ($I36/10)*Configuración!$B$9,2))</f>
        <v/>
      </c>
      <c r="K36" s="11" t="str">
        <f t="shared" si="0"/>
        <v/>
      </c>
      <c r="L36" s="19" t="str">
        <f t="shared" si="1"/>
        <v/>
      </c>
      <c r="M36" s="9"/>
      <c r="N36" s="9"/>
    </row>
    <row r="37" spans="1:14" x14ac:dyDescent="0.25">
      <c r="A37" s="12">
        <v>24</v>
      </c>
      <c r="B37" s="12"/>
      <c r="C37" s="4"/>
      <c r="D37" s="12"/>
      <c r="E37" s="13"/>
      <c r="F37" s="13"/>
      <c r="G37" s="13"/>
      <c r="H37" s="13"/>
      <c r="I37" s="14"/>
      <c r="J37" s="13" t="str">
        <f>IF($C37="","",ROUND($E37*Configuración!$B$5 + $F37*Configuración!$B$6 + $G37*Configuración!$B$7 + $H37*Configuración!$B$8 + ($I37/10)*Configuración!$B$9,2))</f>
        <v/>
      </c>
      <c r="K37" s="14" t="str">
        <f t="shared" si="0"/>
        <v/>
      </c>
      <c r="L37" s="20" t="str">
        <f t="shared" si="1"/>
        <v/>
      </c>
      <c r="M37" s="4"/>
      <c r="N37" s="4"/>
    </row>
    <row r="38" spans="1:14" x14ac:dyDescent="0.25">
      <c r="A38" s="8">
        <v>25</v>
      </c>
      <c r="B38" s="8"/>
      <c r="C38" s="9"/>
      <c r="D38" s="8"/>
      <c r="E38" s="10"/>
      <c r="F38" s="10"/>
      <c r="G38" s="10"/>
      <c r="H38" s="10"/>
      <c r="I38" s="11"/>
      <c r="J38" s="10" t="str">
        <f>IF($C38="","",ROUND($E38*Configuración!$B$5 + $F38*Configuración!$B$6 + $G38*Configuración!$B$7 + $H38*Configuración!$B$8 + ($I38/10)*Configuración!$B$9,2))</f>
        <v/>
      </c>
      <c r="K38" s="11" t="str">
        <f t="shared" si="0"/>
        <v/>
      </c>
      <c r="L38" s="19" t="str">
        <f t="shared" si="1"/>
        <v/>
      </c>
      <c r="M38" s="9"/>
      <c r="N38" s="9"/>
    </row>
    <row r="39" spans="1:14" x14ac:dyDescent="0.25">
      <c r="A39" s="12">
        <v>26</v>
      </c>
      <c r="B39" s="12"/>
      <c r="C39" s="4"/>
      <c r="D39" s="12"/>
      <c r="E39" s="13"/>
      <c r="F39" s="13"/>
      <c r="G39" s="13"/>
      <c r="H39" s="13"/>
      <c r="I39" s="14"/>
      <c r="J39" s="13" t="str">
        <f>IF($C39="","",ROUND($E39*Configuración!$B$5 + $F39*Configuración!$B$6 + $G39*Configuración!$B$7 + $H39*Configuración!$B$8 + ($I39/10)*Configuración!$B$9,2))</f>
        <v/>
      </c>
      <c r="K39" s="14" t="str">
        <f t="shared" si="0"/>
        <v/>
      </c>
      <c r="L39" s="20" t="str">
        <f t="shared" si="1"/>
        <v/>
      </c>
      <c r="M39" s="4"/>
      <c r="N39" s="4"/>
    </row>
    <row r="40" spans="1:14" x14ac:dyDescent="0.25">
      <c r="A40" s="8">
        <v>27</v>
      </c>
      <c r="B40" s="8"/>
      <c r="C40" s="9"/>
      <c r="D40" s="8"/>
      <c r="E40" s="10"/>
      <c r="F40" s="10"/>
      <c r="G40" s="10"/>
      <c r="H40" s="10"/>
      <c r="I40" s="11"/>
      <c r="J40" s="10" t="str">
        <f>IF($C40="","",ROUND($E40*Configuración!$B$5 + $F40*Configuración!$B$6 + $G40*Configuración!$B$7 + $H40*Configuración!$B$8 + ($I40/10)*Configuración!$B$9,2))</f>
        <v/>
      </c>
      <c r="K40" s="11" t="str">
        <f t="shared" si="0"/>
        <v/>
      </c>
      <c r="L40" s="19" t="str">
        <f t="shared" si="1"/>
        <v/>
      </c>
      <c r="M40" s="9"/>
      <c r="N40" s="9"/>
    </row>
    <row r="41" spans="1:14" x14ac:dyDescent="0.25">
      <c r="A41" s="12">
        <v>28</v>
      </c>
      <c r="B41" s="12"/>
      <c r="C41" s="4"/>
      <c r="D41" s="12"/>
      <c r="E41" s="13"/>
      <c r="F41" s="13"/>
      <c r="G41" s="13"/>
      <c r="H41" s="13"/>
      <c r="I41" s="14"/>
      <c r="J41" s="13" t="str">
        <f>IF($C41="","",ROUND($E41*Configuración!$B$5 + $F41*Configuración!$B$6 + $G41*Configuración!$B$7 + $H41*Configuración!$B$8 + ($I41/10)*Configuración!$B$9,2))</f>
        <v/>
      </c>
      <c r="K41" s="14" t="str">
        <f t="shared" si="0"/>
        <v/>
      </c>
      <c r="L41" s="20" t="str">
        <f t="shared" si="1"/>
        <v/>
      </c>
      <c r="M41" s="4"/>
      <c r="N41" s="4"/>
    </row>
    <row r="42" spans="1:14" x14ac:dyDescent="0.25">
      <c r="A42" s="8">
        <v>29</v>
      </c>
      <c r="B42" s="8"/>
      <c r="C42" s="9"/>
      <c r="D42" s="8"/>
      <c r="E42" s="10"/>
      <c r="F42" s="10"/>
      <c r="G42" s="10"/>
      <c r="H42" s="10"/>
      <c r="I42" s="11"/>
      <c r="J42" s="10" t="str">
        <f>IF($C42="","",ROUND($E42*Configuración!$B$5 + $F42*Configuración!$B$6 + $G42*Configuración!$B$7 + $H42*Configuración!$B$8 + ($I42/10)*Configuración!$B$9,2))</f>
        <v/>
      </c>
      <c r="K42" s="11" t="str">
        <f t="shared" si="0"/>
        <v/>
      </c>
      <c r="L42" s="19" t="str">
        <f t="shared" si="1"/>
        <v/>
      </c>
      <c r="M42" s="9"/>
      <c r="N42" s="9"/>
    </row>
    <row r="43" spans="1:14" x14ac:dyDescent="0.25">
      <c r="A43" s="12">
        <v>30</v>
      </c>
      <c r="B43" s="12"/>
      <c r="C43" s="4"/>
      <c r="D43" s="12"/>
      <c r="E43" s="13"/>
      <c r="F43" s="13"/>
      <c r="G43" s="13"/>
      <c r="H43" s="13"/>
      <c r="I43" s="14"/>
      <c r="J43" s="13" t="str">
        <f>IF($C43="","",ROUND($E43*Configuración!$B$5 + $F43*Configuración!$B$6 + $G43*Configuración!$B$7 + $H43*Configuración!$B$8 + ($I43/10)*Configuración!$B$9,2))</f>
        <v/>
      </c>
      <c r="K43" s="14" t="str">
        <f t="shared" si="0"/>
        <v/>
      </c>
      <c r="L43" s="20" t="str">
        <f t="shared" si="1"/>
        <v/>
      </c>
      <c r="M43" s="4"/>
      <c r="N43" s="4"/>
    </row>
    <row r="45" spans="1:14" x14ac:dyDescent="0.25">
      <c r="A45" s="25" t="s">
        <v>80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</row>
    <row r="46" spans="1:14" x14ac:dyDescent="0.25">
      <c r="A46" s="24" t="s">
        <v>81</v>
      </c>
      <c r="B46" s="23"/>
      <c r="C46" s="24" t="s">
        <v>34</v>
      </c>
      <c r="D46" s="23"/>
      <c r="E46" s="24" t="s">
        <v>82</v>
      </c>
      <c r="F46" s="23"/>
      <c r="G46" s="24" t="s">
        <v>83</v>
      </c>
      <c r="H46" s="23"/>
      <c r="I46" s="24" t="s">
        <v>84</v>
      </c>
      <c r="J46" s="23"/>
      <c r="K46" s="24" t="s">
        <v>85</v>
      </c>
      <c r="L46" s="23"/>
      <c r="M46" s="24" t="s">
        <v>86</v>
      </c>
      <c r="N46" s="23"/>
    </row>
    <row r="47" spans="1:14" x14ac:dyDescent="0.25">
      <c r="A47" s="31">
        <f>COUNTA(C14:C43)</f>
        <v>10</v>
      </c>
      <c r="B47" s="23"/>
      <c r="C47" s="28">
        <f>IFERROR(ROUND(SUM(J14:J43)/COUNT(J14:J43),2),"")</f>
        <v>7.55</v>
      </c>
      <c r="D47" s="23"/>
      <c r="E47" s="28">
        <f>IFERROR(ROUND(MEDIAN(J14:J43),2),"")</f>
        <v>7.67</v>
      </c>
      <c r="F47" s="23"/>
      <c r="G47" s="28">
        <f>IFERROR(ROUND(MAX(J14:J43),2),"")</f>
        <v>9.2799999999999994</v>
      </c>
      <c r="H47" s="23"/>
      <c r="I47" s="28">
        <f>IFERROR(ROUND(MIN(J14:J43),2),"")</f>
        <v>5.42</v>
      </c>
      <c r="J47" s="23"/>
      <c r="K47" s="29">
        <f>IFERROR(COUNTIF(L14:L43,"Aprobado")/COUNTA(C14:C43),"")</f>
        <v>0.8</v>
      </c>
      <c r="L47" s="23"/>
      <c r="M47" s="31">
        <f>IFERROR(ROUND(SUM(I14:I43)/COUNT(I14:I43),0),"")</f>
        <v>88</v>
      </c>
      <c r="N47" s="23"/>
    </row>
  </sheetData>
  <mergeCells count="27">
    <mergeCell ref="E46:F46"/>
    <mergeCell ref="M46:N46"/>
    <mergeCell ref="A2:N2"/>
    <mergeCell ref="A47:B47"/>
    <mergeCell ref="I6:K6"/>
    <mergeCell ref="B6:F6"/>
    <mergeCell ref="G47:H47"/>
    <mergeCell ref="M47:N47"/>
    <mergeCell ref="B5:F5"/>
    <mergeCell ref="G46:H46"/>
    <mergeCell ref="E47:F47"/>
    <mergeCell ref="B7:F7"/>
    <mergeCell ref="I46:J46"/>
    <mergeCell ref="A45:N45"/>
    <mergeCell ref="A1:N1"/>
    <mergeCell ref="C47:D47"/>
    <mergeCell ref="I47:J47"/>
    <mergeCell ref="K47:L47"/>
    <mergeCell ref="I5:K5"/>
    <mergeCell ref="I8:K8"/>
    <mergeCell ref="A46:B46"/>
    <mergeCell ref="A4:F4"/>
    <mergeCell ref="B8:F8"/>
    <mergeCell ref="K46:L46"/>
    <mergeCell ref="I7:K7"/>
    <mergeCell ref="H4:N4"/>
    <mergeCell ref="C46:D46"/>
  </mergeCells>
  <conditionalFormatting sqref="A14:N43">
    <cfRule type="expression" dxfId="1" priority="2">
      <formula>$L14="Reprobado"</formula>
    </cfRule>
  </conditionalFormatting>
  <conditionalFormatting sqref="I14:I43">
    <cfRule type="cellIs" dxfId="0" priority="3" operator="lessThan">
      <formula>80</formula>
    </cfRule>
  </conditionalFormatting>
  <conditionalFormatting sqref="J14:J43">
    <cfRule type="colorScale" priority="1">
      <colorScale>
        <cfvo type="num" val="0"/>
        <cfvo type="num" val="6"/>
        <cfvo type="num" val="1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8"/>
  <sheetViews>
    <sheetView showGridLines="0" tabSelected="1" workbookViewId="0">
      <selection activeCell="G31" sqref="G31"/>
    </sheetView>
  </sheetViews>
  <sheetFormatPr baseColWidth="10" defaultColWidth="9.140625" defaultRowHeight="15" x14ac:dyDescent="0.25"/>
  <cols>
    <col min="1" max="1" width="22" customWidth="1"/>
    <col min="2" max="2" width="12" customWidth="1"/>
    <col min="3" max="3" width="14" customWidth="1"/>
    <col min="5" max="8" width="18" customWidth="1"/>
  </cols>
  <sheetData>
    <row r="1" spans="1:14" ht="20.25" customHeight="1" x14ac:dyDescent="0.25">
      <c r="A1" s="27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33" t="s">
        <v>87</v>
      </c>
      <c r="B2" s="26"/>
      <c r="C2" s="26"/>
      <c r="D2" s="26"/>
      <c r="E2" s="26"/>
      <c r="F2" s="26"/>
      <c r="G2" s="26"/>
      <c r="H2" s="26"/>
    </row>
    <row r="4" spans="1:14" x14ac:dyDescent="0.25">
      <c r="A4" s="32" t="s">
        <v>81</v>
      </c>
      <c r="B4" s="23"/>
      <c r="C4" s="32" t="s">
        <v>34</v>
      </c>
      <c r="D4" s="23"/>
      <c r="E4" s="32" t="s">
        <v>85</v>
      </c>
      <c r="F4" s="23"/>
      <c r="G4" s="32" t="s">
        <v>86</v>
      </c>
      <c r="H4" s="23"/>
    </row>
    <row r="5" spans="1:14" x14ac:dyDescent="0.25">
      <c r="A5" s="38">
        <f>COUNTA(Registro!C14:C43)</f>
        <v>10</v>
      </c>
      <c r="B5" s="35"/>
      <c r="C5" s="34">
        <f>IFERROR(ROUND(SUM(Registro!J14:J43)/COUNT(Registro!J14:J43),2),"")</f>
        <v>7.55</v>
      </c>
      <c r="D5" s="35"/>
      <c r="E5" s="39">
        <f>IFERROR(COUNTIF(Registro!L14:L43,"Aprobado")/COUNTA(Registro!C14:C43),"")</f>
        <v>0.8</v>
      </c>
      <c r="F5" s="35"/>
      <c r="G5" s="38">
        <f>IFERROR(ROUND(SUM(Registro!I14:I43)/COUNT(Registro!I14:I43),0),"")</f>
        <v>88</v>
      </c>
      <c r="H5" s="35"/>
    </row>
    <row r="6" spans="1:14" x14ac:dyDescent="0.25">
      <c r="A6" s="36"/>
      <c r="B6" s="37"/>
      <c r="C6" s="36"/>
      <c r="D6" s="37"/>
      <c r="E6" s="36"/>
      <c r="F6" s="37"/>
      <c r="G6" s="36"/>
      <c r="H6" s="37"/>
    </row>
    <row r="9" spans="1:14" x14ac:dyDescent="0.25">
      <c r="A9" s="25" t="s">
        <v>88</v>
      </c>
      <c r="B9" s="26"/>
      <c r="C9" s="26"/>
      <c r="D9" s="26"/>
    </row>
    <row r="10" spans="1:14" x14ac:dyDescent="0.25">
      <c r="A10" s="3" t="s">
        <v>89</v>
      </c>
      <c r="B10" s="3" t="s">
        <v>90</v>
      </c>
      <c r="C10" s="3" t="s">
        <v>91</v>
      </c>
    </row>
    <row r="11" spans="1:14" x14ac:dyDescent="0.25">
      <c r="A11" s="4" t="s">
        <v>92</v>
      </c>
      <c r="B11" s="12">
        <f>COUNTIFS(Registro!J14:J43,"&gt;=0",Registro!J14:J43,"&lt;=5.9",Registro!C14:C43,"&lt;&gt;")</f>
        <v>0</v>
      </c>
      <c r="C11" s="15">
        <f>IFERROR(B11/COUNTA(Registro!C14:C43),"")</f>
        <v>0</v>
      </c>
    </row>
    <row r="12" spans="1:14" x14ac:dyDescent="0.25">
      <c r="A12" s="4" t="s">
        <v>93</v>
      </c>
      <c r="B12" s="12">
        <f>COUNTIFS(Registro!J14:J43,"&gt;=6",Registro!J14:J43,"&lt;=6.9",Registro!C14:C43,"&lt;&gt;")</f>
        <v>0</v>
      </c>
      <c r="C12" s="15">
        <f>IFERROR(B12/COUNTA(Registro!C14:C43),"")</f>
        <v>0</v>
      </c>
    </row>
    <row r="13" spans="1:14" x14ac:dyDescent="0.25">
      <c r="A13" s="4" t="s">
        <v>94</v>
      </c>
      <c r="B13" s="12">
        <f>COUNTIFS(Registro!J14:J43,"&gt;=7",Registro!J14:J43,"&lt;=7.9",Registro!C14:C43,"&lt;&gt;")</f>
        <v>0</v>
      </c>
      <c r="C13" s="15">
        <f>IFERROR(B13/COUNTA(Registro!C14:C43),"")</f>
        <v>0</v>
      </c>
    </row>
    <row r="14" spans="1:14" x14ac:dyDescent="0.25">
      <c r="A14" s="4" t="s">
        <v>95</v>
      </c>
      <c r="B14" s="12">
        <f>COUNTIFS(Registro!J14:J43,"&gt;=8",Registro!J14:J43,"&lt;=8.9",Registro!C14:C43,"&lt;&gt;")</f>
        <v>0</v>
      </c>
      <c r="C14" s="15">
        <f>IFERROR(B14/COUNTA(Registro!C14:C43),"")</f>
        <v>0</v>
      </c>
    </row>
    <row r="15" spans="1:14" x14ac:dyDescent="0.25">
      <c r="A15" s="4" t="s">
        <v>96</v>
      </c>
      <c r="B15" s="12">
        <f>COUNTIFS(Registro!J14:J43,"&gt;=9",Registro!J14:J43,"&lt;=10",Registro!C14:C43,"&lt;&gt;")</f>
        <v>2</v>
      </c>
      <c r="C15" s="15">
        <f>IFERROR(B15/COUNTA(Registro!C14:C43),"")</f>
        <v>0.2</v>
      </c>
    </row>
    <row r="17" spans="1:4" x14ac:dyDescent="0.25">
      <c r="A17" s="25" t="s">
        <v>97</v>
      </c>
      <c r="B17" s="26"/>
      <c r="C17" s="26"/>
      <c r="D17" s="26"/>
    </row>
    <row r="18" spans="1:4" x14ac:dyDescent="0.25">
      <c r="A18" s="3" t="s">
        <v>36</v>
      </c>
      <c r="B18" s="3" t="s">
        <v>90</v>
      </c>
    </row>
    <row r="19" spans="1:4" x14ac:dyDescent="0.25">
      <c r="A19" s="4" t="s">
        <v>98</v>
      </c>
      <c r="B19" s="12">
        <f>COUNTIF(Registro!L14:L43,"Aprobado")</f>
        <v>8</v>
      </c>
    </row>
    <row r="20" spans="1:4" x14ac:dyDescent="0.25">
      <c r="A20" s="4" t="s">
        <v>99</v>
      </c>
      <c r="B20" s="12">
        <f>COUNTIF(Registro!L14:L43,"Reprobado")</f>
        <v>2</v>
      </c>
    </row>
    <row r="22" spans="1:4" x14ac:dyDescent="0.25">
      <c r="A22" s="25" t="s">
        <v>100</v>
      </c>
      <c r="B22" s="26"/>
      <c r="C22" s="26"/>
      <c r="D22" s="26"/>
    </row>
    <row r="23" spans="1:4" x14ac:dyDescent="0.25">
      <c r="A23" s="3" t="s">
        <v>8</v>
      </c>
      <c r="B23" s="3" t="s">
        <v>101</v>
      </c>
    </row>
    <row r="24" spans="1:4" x14ac:dyDescent="0.25">
      <c r="A24" s="4" t="s">
        <v>32</v>
      </c>
      <c r="B24" s="13">
        <f>IFERROR(ROUND(AVERAGEIF(Registro!E14:E43,"&gt;0"),2),"")</f>
        <v>7.23</v>
      </c>
    </row>
    <row r="25" spans="1:4" x14ac:dyDescent="0.25">
      <c r="A25" s="4" t="s">
        <v>19</v>
      </c>
      <c r="B25" s="13">
        <f>IFERROR(ROUND(AVERAGEIF(Registro!F14:F43,"&gt;0"),2),"")</f>
        <v>7.37</v>
      </c>
    </row>
    <row r="26" spans="1:4" x14ac:dyDescent="0.25">
      <c r="A26" s="4" t="s">
        <v>24</v>
      </c>
      <c r="B26" s="13">
        <f>IFERROR(ROUND(AVERAGEIF(Registro!G14:G43,"&gt;0"),2),"")</f>
        <v>7.54</v>
      </c>
    </row>
    <row r="27" spans="1:4" x14ac:dyDescent="0.25">
      <c r="A27" s="4" t="s">
        <v>25</v>
      </c>
      <c r="B27" s="13">
        <f>IFERROR(ROUND(AVERAGEIF(Registro!H14:H43,"&gt;0"),2),"")</f>
        <v>7.7</v>
      </c>
    </row>
    <row r="28" spans="1:4" x14ac:dyDescent="0.25">
      <c r="A28" s="4" t="s">
        <v>33</v>
      </c>
      <c r="B28" s="14">
        <f>IFERROR(ROUND(AVERAGEIF(Registro!I14:I43,"&gt;0"),0),"")</f>
        <v>88</v>
      </c>
    </row>
  </sheetData>
  <mergeCells count="13">
    <mergeCell ref="C4:D4"/>
    <mergeCell ref="A1:N1"/>
    <mergeCell ref="A22:D22"/>
    <mergeCell ref="A2:H2"/>
    <mergeCell ref="C5:D6"/>
    <mergeCell ref="A5:B6"/>
    <mergeCell ref="G5:H6"/>
    <mergeCell ref="E5:F6"/>
    <mergeCell ref="A4:B4"/>
    <mergeCell ref="G4:H4"/>
    <mergeCell ref="E4:F4"/>
    <mergeCell ref="A9:D9"/>
    <mergeCell ref="A17:D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showGridLines="0" workbookViewId="0">
      <selection sqref="A1:D1"/>
    </sheetView>
  </sheetViews>
  <sheetFormatPr baseColWidth="10" defaultColWidth="9.140625" defaultRowHeight="15" x14ac:dyDescent="0.25"/>
  <cols>
    <col min="1" max="1" width="28" customWidth="1"/>
    <col min="2" max="2" width="10" customWidth="1"/>
    <col min="4" max="4" width="14" customWidth="1"/>
  </cols>
  <sheetData>
    <row r="1" spans="1:4" x14ac:dyDescent="0.25">
      <c r="A1" s="40" t="s">
        <v>102</v>
      </c>
      <c r="B1" s="26"/>
      <c r="C1" s="26"/>
      <c r="D1" s="26"/>
    </row>
    <row r="3" spans="1:4" x14ac:dyDescent="0.25">
      <c r="A3" s="1" t="s">
        <v>103</v>
      </c>
      <c r="D3" s="1" t="s">
        <v>104</v>
      </c>
    </row>
    <row r="4" spans="1:4" x14ac:dyDescent="0.25">
      <c r="A4" s="3" t="s">
        <v>8</v>
      </c>
      <c r="B4" s="3" t="s">
        <v>9</v>
      </c>
      <c r="D4" s="3" t="s">
        <v>31</v>
      </c>
    </row>
    <row r="5" spans="1:4" x14ac:dyDescent="0.25">
      <c r="A5" s="4" t="s">
        <v>14</v>
      </c>
      <c r="B5" s="5">
        <v>0.25</v>
      </c>
      <c r="D5" s="12" t="s">
        <v>41</v>
      </c>
    </row>
    <row r="6" spans="1:4" x14ac:dyDescent="0.25">
      <c r="A6" s="4" t="s">
        <v>19</v>
      </c>
      <c r="B6" s="5">
        <v>0.35</v>
      </c>
      <c r="D6" s="12" t="s">
        <v>105</v>
      </c>
    </row>
    <row r="7" spans="1:4" x14ac:dyDescent="0.25">
      <c r="A7" s="4" t="s">
        <v>24</v>
      </c>
      <c r="B7" s="5">
        <v>0.2</v>
      </c>
      <c r="D7" s="12" t="s">
        <v>106</v>
      </c>
    </row>
    <row r="8" spans="1:4" x14ac:dyDescent="0.25">
      <c r="A8" s="4" t="s">
        <v>25</v>
      </c>
      <c r="B8" s="5">
        <v>0.1</v>
      </c>
      <c r="D8" s="12" t="s">
        <v>107</v>
      </c>
    </row>
    <row r="9" spans="1:4" x14ac:dyDescent="0.25">
      <c r="A9" s="4" t="s">
        <v>26</v>
      </c>
      <c r="B9" s="5">
        <v>0.1</v>
      </c>
      <c r="D9" s="12" t="s">
        <v>108</v>
      </c>
    </row>
    <row r="10" spans="1:4" x14ac:dyDescent="0.25">
      <c r="D10" s="12" t="s">
        <v>109</v>
      </c>
    </row>
    <row r="11" spans="1:4" x14ac:dyDescent="0.25">
      <c r="A11" s="1" t="s">
        <v>110</v>
      </c>
      <c r="B11" s="16">
        <f>SUM(B5:B9)</f>
        <v>1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Registro</vt:lpstr>
      <vt:lpstr>Resumen</vt:lpstr>
      <vt:lpstr>Configuración</vt:lpstr>
      <vt:lpstr>ListaSemestre</vt:lpstr>
      <vt:lpstr>Peso_Asistencia</vt:lpstr>
      <vt:lpstr>Peso_Examenes</vt:lpstr>
      <vt:lpstr>Peso_Participacion</vt:lpstr>
      <vt:lpstr>Peso_Proyectos</vt:lpstr>
      <vt:lpstr>Peso_Tareas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2026-01-14T07:59:05Z</dcterms:modified>
</cp:coreProperties>
</file>