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cronograma de actividades excel\"/>
    </mc:Choice>
  </mc:AlternateContent>
  <xr:revisionPtr revIDLastSave="0" documentId="13_ncr:1_{17D5EB23-55F8-4024-9279-8E32504EC7C2}" xr6:coauthVersionLast="47" xr6:coauthVersionMax="47" xr10:uidLastSave="{00000000-0000-0000-0000-000000000000}"/>
  <bookViews>
    <workbookView xWindow="5235" yWindow="2460" windowWidth="23160" windowHeight="13125" xr2:uid="{00000000-000D-0000-FFFF-FFFF00000000}"/>
  </bookViews>
  <sheets>
    <sheet name="Cronograma" sheetId="1" r:id="rId1"/>
  </sheets>
  <definedNames>
    <definedName name="_xlnm._FilterDatabase" localSheetId="0" hidden="1">Cronograma!$A$10:$H$51</definedName>
    <definedName name="Excluidos">Cronograma!$M$5:$M$20</definedName>
    <definedName name="Responsables">Cronograma!$P$4:$P$20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15" i="1"/>
  <c r="DR10" i="1"/>
  <c r="CX10" i="1"/>
  <c r="CD10" i="1"/>
  <c r="BJ10" i="1"/>
  <c r="AP10" i="1"/>
  <c r="V10" i="1"/>
  <c r="H5" i="1"/>
  <c r="B5" i="1"/>
  <c r="DY10" i="1" s="1"/>
  <c r="D4" i="1"/>
  <c r="K10" i="1" l="1"/>
  <c r="BS10" i="1"/>
  <c r="DG10" i="1"/>
  <c r="AA10" i="1"/>
  <c r="AU10" i="1"/>
  <c r="BO10" i="1"/>
  <c r="CI10" i="1"/>
  <c r="DC10" i="1"/>
  <c r="DW10" i="1"/>
  <c r="J10" i="1"/>
  <c r="AD10" i="1"/>
  <c r="AX10" i="1"/>
  <c r="BR10" i="1"/>
  <c r="CL10" i="1"/>
  <c r="DF10" i="1"/>
  <c r="AE10" i="1"/>
  <c r="AY10" i="1"/>
  <c r="CM10" i="1"/>
  <c r="L10" i="1"/>
  <c r="AF10" i="1"/>
  <c r="AZ10" i="1"/>
  <c r="BT10" i="1"/>
  <c r="CN10" i="1"/>
  <c r="DH10" i="1"/>
  <c r="M10" i="1"/>
  <c r="AG10" i="1"/>
  <c r="BA10" i="1"/>
  <c r="BU10" i="1"/>
  <c r="CO10" i="1"/>
  <c r="DI10" i="1"/>
  <c r="N10" i="1"/>
  <c r="AH10" i="1"/>
  <c r="BB10" i="1"/>
  <c r="BV10" i="1"/>
  <c r="CP10" i="1"/>
  <c r="DJ10" i="1"/>
  <c r="O10" i="1"/>
  <c r="AI10" i="1"/>
  <c r="BC10" i="1"/>
  <c r="BW10" i="1"/>
  <c r="CQ10" i="1"/>
  <c r="DK10" i="1"/>
  <c r="P10" i="1"/>
  <c r="AJ10" i="1"/>
  <c r="BD10" i="1"/>
  <c r="BX10" i="1"/>
  <c r="CR10" i="1"/>
  <c r="DL10" i="1"/>
  <c r="Q10" i="1"/>
  <c r="AK10" i="1"/>
  <c r="BE10" i="1"/>
  <c r="BY10" i="1"/>
  <c r="CS10" i="1"/>
  <c r="DM10" i="1"/>
  <c r="R10" i="1"/>
  <c r="AL10" i="1"/>
  <c r="BF10" i="1"/>
  <c r="BZ10" i="1"/>
  <c r="CT10" i="1"/>
  <c r="DN10" i="1"/>
  <c r="S10" i="1"/>
  <c r="AM10" i="1"/>
  <c r="BG10" i="1"/>
  <c r="CA10" i="1"/>
  <c r="CU10" i="1"/>
  <c r="DO10" i="1"/>
  <c r="T10" i="1"/>
  <c r="AN10" i="1"/>
  <c r="BH10" i="1"/>
  <c r="CB10" i="1"/>
  <c r="CV10" i="1"/>
  <c r="DP10" i="1"/>
  <c r="U10" i="1"/>
  <c r="AO10" i="1"/>
  <c r="BI10" i="1"/>
  <c r="CC10" i="1"/>
  <c r="CW10" i="1"/>
  <c r="DQ10" i="1"/>
  <c r="W10" i="1"/>
  <c r="AQ10" i="1"/>
  <c r="BK10" i="1"/>
  <c r="CE10" i="1"/>
  <c r="CY10" i="1"/>
  <c r="DS10" i="1"/>
  <c r="Y10" i="1"/>
  <c r="AS10" i="1"/>
  <c r="BM10" i="1"/>
  <c r="CG10" i="1"/>
  <c r="DA10" i="1"/>
  <c r="DU10" i="1"/>
  <c r="X10" i="1"/>
  <c r="AR10" i="1"/>
  <c r="BL10" i="1"/>
  <c r="CF10" i="1"/>
  <c r="CZ10" i="1"/>
  <c r="DT10" i="1"/>
  <c r="Z10" i="1"/>
  <c r="AT10" i="1"/>
  <c r="BN10" i="1"/>
  <c r="CH10" i="1"/>
  <c r="DB10" i="1"/>
  <c r="DV10" i="1"/>
  <c r="AB10" i="1"/>
  <c r="AV10" i="1"/>
  <c r="BP10" i="1"/>
  <c r="CJ10" i="1"/>
  <c r="DD10" i="1"/>
  <c r="DX10" i="1"/>
  <c r="AC10" i="1"/>
  <c r="AW10" i="1"/>
  <c r="BQ10" i="1"/>
  <c r="CK10" i="1"/>
  <c r="DE10" i="1"/>
  <c r="B7" i="1" l="1"/>
  <c r="F20" i="1"/>
  <c r="H20" i="1" s="1"/>
  <c r="F19" i="1"/>
  <c r="H19" i="1" s="1"/>
  <c r="F18" i="1"/>
  <c r="H18" i="1" s="1"/>
  <c r="F17" i="1"/>
  <c r="H17" i="1" s="1"/>
  <c r="F16" i="1"/>
  <c r="H16" i="1" s="1"/>
  <c r="F15" i="1"/>
  <c r="F14" i="1"/>
  <c r="H14" i="1" s="1"/>
  <c r="F13" i="1"/>
  <c r="H13" i="1" s="1"/>
  <c r="F22" i="1"/>
  <c r="H22" i="1" s="1"/>
  <c r="F12" i="1"/>
  <c r="H12" i="1" s="1"/>
  <c r="F11" i="1"/>
  <c r="F21" i="1"/>
  <c r="H21" i="1" s="1"/>
  <c r="B6" i="1" l="1"/>
  <c r="H11" i="1"/>
  <c r="H4" i="1" l="1"/>
  <c r="J4" i="1"/>
  <c r="F4" i="1"/>
</calcChain>
</file>

<file path=xl/sharedStrings.xml><?xml version="1.0" encoding="utf-8"?>
<sst xmlns="http://schemas.openxmlformats.org/spreadsheetml/2006/main" count="64" uniqueCount="41">
  <si>
    <t>Cronograma de actividades</t>
  </si>
  <si>
    <t>Proyecto</t>
  </si>
  <si>
    <t>Proyecto Demo</t>
  </si>
  <si>
    <t>Fecha actual</t>
  </si>
  <si>
    <t>Fecha inicio</t>
  </si>
  <si>
    <t>Fecha fin</t>
  </si>
  <si>
    <t>Días excluidos</t>
  </si>
  <si>
    <t>Actividades</t>
  </si>
  <si>
    <t>Completadas</t>
  </si>
  <si>
    <t>En proceso</t>
  </si>
  <si>
    <t>Atrasadas</t>
  </si>
  <si>
    <t>Avance total</t>
  </si>
  <si>
    <t>Fechas excluidas (feriados/vacaciones):</t>
  </si>
  <si>
    <t>Lista de responsables →</t>
  </si>
  <si>
    <t>Ana Ruiz</t>
  </si>
  <si>
    <t>Carlos Gil</t>
  </si>
  <si>
    <t>Lucía Vega</t>
  </si>
  <si>
    <t>Javier M.</t>
  </si>
  <si>
    <t>Equipo</t>
  </si>
  <si>
    <t>Mario López</t>
  </si>
  <si>
    <t>Fase</t>
  </si>
  <si>
    <t>Actividad</t>
  </si>
  <si>
    <t>Responsable</t>
  </si>
  <si>
    <t>Nº días</t>
  </si>
  <si>
    <t>Avance</t>
  </si>
  <si>
    <t>Estado</t>
  </si>
  <si>
    <t>Fase 1</t>
  </si>
  <si>
    <t>Levantamiento de requisitos</t>
  </si>
  <si>
    <t>Mapa de procesos</t>
  </si>
  <si>
    <t>Diseño de wireframes</t>
  </si>
  <si>
    <t>Revisión con cliente</t>
  </si>
  <si>
    <t>Fase 2</t>
  </si>
  <si>
    <t>Configuración entorno</t>
  </si>
  <si>
    <t>Desarrollo backend</t>
  </si>
  <si>
    <t>Desarrollo frontend</t>
  </si>
  <si>
    <t>Integración API</t>
  </si>
  <si>
    <t>Fase 3</t>
  </si>
  <si>
    <t>Pruebas funcionales</t>
  </si>
  <si>
    <t>Corrección de bugs</t>
  </si>
  <si>
    <t>UAT con cliente</t>
  </si>
  <si>
    <t>Entrega y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</si>
</sst>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;@"/>
  </numFmts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121528"/>
      <name val="Calibri"/>
      <family val="2"/>
      <scheme val="minor"/>
    </font>
    <font>
      <sz val="11"/>
      <color rgb="FF12152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21528"/>
        <bgColor indexed="64"/>
      </patternFill>
    </fill>
    <fill>
      <patternFill patternType="solid">
        <fgColor rgb="FFB8F2E3"/>
        <bgColor indexed="64"/>
      </patternFill>
    </fill>
    <fill>
      <patternFill patternType="solid">
        <fgColor rgb="FFF4F6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9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5" borderId="0" xfId="0" applyFill="1"/>
    <xf numFmtId="0" fontId="0" fillId="0" borderId="1" xfId="0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14" fontId="0" fillId="0" borderId="0" xfId="0" applyNumberFormat="1" applyAlignment="1">
      <alignment horizont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9" fontId="0" fillId="0" borderId="0" xfId="0" applyNumberFormat="1"/>
    <xf numFmtId="0" fontId="1" fillId="2" borderId="0" xfId="0" applyFont="1" applyFill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6B6B"/>
        </patternFill>
      </fill>
    </dxf>
    <dxf>
      <fill>
        <patternFill>
          <bgColor rgb="FF121528"/>
        </patternFill>
      </fill>
    </dxf>
    <dxf>
      <fill>
        <patternFill>
          <bgColor rgb="FFB8F2E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EEEE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3D3"/>
        </patternFill>
      </fill>
    </dxf>
  </dxfs>
  <tableStyles count="0" defaultTableStyle="TableStyleMedium9" defaultPivotStyle="PivotStyleLight16"/>
  <colors>
    <mruColors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50"/>
  <sheetViews>
    <sheetView tabSelected="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W26" sqref="W26"/>
    </sheetView>
  </sheetViews>
  <sheetFormatPr baseColWidth="10" defaultColWidth="9.140625" defaultRowHeight="15" x14ac:dyDescent="0.25"/>
  <cols>
    <col min="1" max="1" width="13.5703125" bestFit="1" customWidth="1"/>
    <col min="2" max="2" width="24.7109375" customWidth="1"/>
    <col min="3" max="3" width="16.85546875" bestFit="1" customWidth="1"/>
    <col min="4" max="4" width="12.7109375" customWidth="1"/>
    <col min="5" max="5" width="8.7109375" customWidth="1"/>
    <col min="6" max="6" width="12.7109375" customWidth="1"/>
    <col min="7" max="7" width="9.7109375" customWidth="1"/>
    <col min="8" max="8" width="11.85546875" customWidth="1"/>
    <col min="9" max="9" width="2.7109375" customWidth="1"/>
    <col min="10" max="14" width="4.5703125" customWidth="1"/>
    <col min="15" max="15" width="5.42578125" customWidth="1"/>
    <col min="16" max="48" width="4.5703125" customWidth="1"/>
    <col min="49" max="98" width="4.7109375" customWidth="1"/>
    <col min="99" max="129" width="3.7109375" customWidth="1"/>
  </cols>
  <sheetData>
    <row r="1" spans="1:129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9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9" x14ac:dyDescent="0.25">
      <c r="A3" s="1" t="s">
        <v>1</v>
      </c>
      <c r="B3" s="2" t="s">
        <v>2</v>
      </c>
      <c r="D3" s="14" t="s">
        <v>7</v>
      </c>
      <c r="E3" s="14"/>
      <c r="F3" s="14" t="s">
        <v>8</v>
      </c>
      <c r="G3" s="14"/>
      <c r="H3" s="14" t="s">
        <v>9</v>
      </c>
      <c r="I3" s="14"/>
      <c r="J3" s="14" t="s">
        <v>10</v>
      </c>
      <c r="K3" s="14"/>
      <c r="M3" s="1" t="s">
        <v>12</v>
      </c>
      <c r="O3" s="10"/>
      <c r="P3" s="2" t="s">
        <v>13</v>
      </c>
    </row>
    <row r="4" spans="1:129" x14ac:dyDescent="0.25">
      <c r="A4" s="1" t="s">
        <v>3</v>
      </c>
      <c r="B4" s="3">
        <v>45934</v>
      </c>
      <c r="D4" s="12">
        <f>COUNTA(B10:B50)</f>
        <v>13</v>
      </c>
      <c r="E4" s="13"/>
      <c r="F4" s="12">
        <f ca="1">COUNTIF(H10:H50,"Completado")</f>
        <v>1</v>
      </c>
      <c r="G4" s="13"/>
      <c r="H4" s="12">
        <f ca="1">COUNTIF(H10:H50,"En proceso")</f>
        <v>1</v>
      </c>
      <c r="I4" s="13"/>
      <c r="J4" s="12">
        <f ca="1">COUNTIF(H10:H50,"Atrasado")</f>
        <v>0</v>
      </c>
      <c r="K4" s="13"/>
      <c r="P4" s="2" t="s">
        <v>14</v>
      </c>
    </row>
    <row r="5" spans="1:129" x14ac:dyDescent="0.25">
      <c r="A5" s="1" t="s">
        <v>4</v>
      </c>
      <c r="B5" s="3">
        <f>IFERROR(MIN(D10:D50),"")</f>
        <v>45934</v>
      </c>
      <c r="D5" s="14" t="s">
        <v>11</v>
      </c>
      <c r="E5" s="14"/>
      <c r="F5" s="14"/>
      <c r="G5" s="14"/>
      <c r="H5" s="15">
        <f>IFERROR(AVERAGEIF(B10:B50,"*",G10:G50),0)</f>
        <v>0.26666666666666666</v>
      </c>
      <c r="I5" s="13"/>
      <c r="J5" s="13"/>
      <c r="K5" s="13"/>
      <c r="M5" s="11">
        <v>46016</v>
      </c>
      <c r="N5" s="11"/>
      <c r="O5" s="11"/>
      <c r="P5" s="2" t="s">
        <v>15</v>
      </c>
    </row>
    <row r="6" spans="1:129" x14ac:dyDescent="0.25">
      <c r="A6" s="1" t="s">
        <v>5</v>
      </c>
      <c r="B6" s="3">
        <f>IFERROR(MAX(F10:F50),"")</f>
        <v>45974</v>
      </c>
      <c r="M6" s="11">
        <v>46022</v>
      </c>
      <c r="N6" s="11"/>
      <c r="O6" s="11"/>
      <c r="P6" s="2" t="s">
        <v>16</v>
      </c>
    </row>
    <row r="7" spans="1:129" x14ac:dyDescent="0.25">
      <c r="A7" s="1" t="s">
        <v>6</v>
      </c>
      <c r="B7">
        <f>COUNTA(Excluidos)</f>
        <v>3</v>
      </c>
      <c r="P7" s="2" t="s">
        <v>17</v>
      </c>
    </row>
    <row r="8" spans="1:129" x14ac:dyDescent="0.25">
      <c r="P8" s="2" t="s">
        <v>18</v>
      </c>
    </row>
    <row r="9" spans="1:129" x14ac:dyDescent="0.25">
      <c r="P9" s="2" t="s">
        <v>19</v>
      </c>
    </row>
    <row r="10" spans="1:129" ht="20.100000000000001" customHeight="1" x14ac:dyDescent="0.25">
      <c r="A10" s="5" t="s">
        <v>20</v>
      </c>
      <c r="B10" s="5" t="s">
        <v>21</v>
      </c>
      <c r="C10" s="5" t="s">
        <v>22</v>
      </c>
      <c r="D10" s="5" t="s">
        <v>4</v>
      </c>
      <c r="E10" s="5" t="s">
        <v>23</v>
      </c>
      <c r="F10" s="5" t="s">
        <v>5</v>
      </c>
      <c r="G10" s="5" t="s">
        <v>24</v>
      </c>
      <c r="H10" s="5" t="s">
        <v>25</v>
      </c>
      <c r="I10" s="5"/>
      <c r="J10" s="9">
        <f>$B$5+0</f>
        <v>45934</v>
      </c>
      <c r="K10" s="9">
        <f>$B$5+1</f>
        <v>45935</v>
      </c>
      <c r="L10" s="9">
        <f>$B$5+2</f>
        <v>45936</v>
      </c>
      <c r="M10" s="9">
        <f>$B$5+3</f>
        <v>45937</v>
      </c>
      <c r="N10" s="9">
        <f>$B$5+4</f>
        <v>45938</v>
      </c>
      <c r="O10" s="9">
        <f>$B$5+5</f>
        <v>45939</v>
      </c>
      <c r="P10" s="9">
        <f>$B$5+6</f>
        <v>45940</v>
      </c>
      <c r="Q10" s="9">
        <f>$B$5+7</f>
        <v>45941</v>
      </c>
      <c r="R10" s="9">
        <f>$B$5+8</f>
        <v>45942</v>
      </c>
      <c r="S10" s="9">
        <f>$B$5+9</f>
        <v>45943</v>
      </c>
      <c r="T10" s="9">
        <f>$B$5+10</f>
        <v>45944</v>
      </c>
      <c r="U10" s="9">
        <f>$B$5+11</f>
        <v>45945</v>
      </c>
      <c r="V10" s="9">
        <f>$B$5+12</f>
        <v>45946</v>
      </c>
      <c r="W10" s="9">
        <f>$B$5+13</f>
        <v>45947</v>
      </c>
      <c r="X10" s="9">
        <f>$B$5+14</f>
        <v>45948</v>
      </c>
      <c r="Y10" s="9">
        <f>$B$5+15</f>
        <v>45949</v>
      </c>
      <c r="Z10" s="9">
        <f>$B$5+16</f>
        <v>45950</v>
      </c>
      <c r="AA10" s="9">
        <f>$B$5+17</f>
        <v>45951</v>
      </c>
      <c r="AB10" s="9">
        <f>$B$5+18</f>
        <v>45952</v>
      </c>
      <c r="AC10" s="9">
        <f>$B$5+19</f>
        <v>45953</v>
      </c>
      <c r="AD10" s="9">
        <f>$B$5+20</f>
        <v>45954</v>
      </c>
      <c r="AE10" s="9">
        <f>$B$5+21</f>
        <v>45955</v>
      </c>
      <c r="AF10" s="9">
        <f>$B$5+22</f>
        <v>45956</v>
      </c>
      <c r="AG10" s="9">
        <f>$B$5+23</f>
        <v>45957</v>
      </c>
      <c r="AH10" s="9">
        <f>$B$5+24</f>
        <v>45958</v>
      </c>
      <c r="AI10" s="9">
        <f>$B$5+25</f>
        <v>45959</v>
      </c>
      <c r="AJ10" s="9">
        <f>$B$5+26</f>
        <v>45960</v>
      </c>
      <c r="AK10" s="9">
        <f>$B$5+27</f>
        <v>45961</v>
      </c>
      <c r="AL10" s="9">
        <f>$B$5+28</f>
        <v>45962</v>
      </c>
      <c r="AM10" s="9">
        <f>$B$5+29</f>
        <v>45963</v>
      </c>
      <c r="AN10" s="9">
        <f>$B$5+30</f>
        <v>45964</v>
      </c>
      <c r="AO10" s="9">
        <f>$B$5+31</f>
        <v>45965</v>
      </c>
      <c r="AP10" s="9">
        <f>$B$5+32</f>
        <v>45966</v>
      </c>
      <c r="AQ10" s="9">
        <f>$B$5+33</f>
        <v>45967</v>
      </c>
      <c r="AR10" s="9">
        <f>$B$5+34</f>
        <v>45968</v>
      </c>
      <c r="AS10" s="9">
        <f>$B$5+35</f>
        <v>45969</v>
      </c>
      <c r="AT10" s="9">
        <f>$B$5+36</f>
        <v>45970</v>
      </c>
      <c r="AU10" s="9">
        <f>$B$5+37</f>
        <v>45971</v>
      </c>
      <c r="AV10" s="9">
        <f>$B$5+38</f>
        <v>45972</v>
      </c>
      <c r="AW10" s="9">
        <f>$B$5+39</f>
        <v>45973</v>
      </c>
      <c r="AX10" s="9">
        <f>$B$5+40</f>
        <v>45974</v>
      </c>
      <c r="AY10" s="9">
        <f>$B$5+41</f>
        <v>45975</v>
      </c>
      <c r="AZ10" s="9">
        <f>$B$5+42</f>
        <v>45976</v>
      </c>
      <c r="BA10" s="9">
        <f>$B$5+43</f>
        <v>45977</v>
      </c>
      <c r="BB10" s="9">
        <f>$B$5+44</f>
        <v>45978</v>
      </c>
      <c r="BC10" s="9">
        <f>$B$5+45</f>
        <v>45979</v>
      </c>
      <c r="BD10" s="9">
        <f>$B$5+46</f>
        <v>45980</v>
      </c>
      <c r="BE10" s="9">
        <f>$B$5+47</f>
        <v>45981</v>
      </c>
      <c r="BF10" s="9">
        <f>$B$5+48</f>
        <v>45982</v>
      </c>
      <c r="BG10" s="9">
        <f>$B$5+49</f>
        <v>45983</v>
      </c>
      <c r="BH10" s="9">
        <f>$B$5+50</f>
        <v>45984</v>
      </c>
      <c r="BI10" s="9">
        <f>$B$5+51</f>
        <v>45985</v>
      </c>
      <c r="BJ10" s="9">
        <f>$B$5+52</f>
        <v>45986</v>
      </c>
      <c r="BK10" s="9">
        <f>$B$5+53</f>
        <v>45987</v>
      </c>
      <c r="BL10" s="9">
        <f>$B$5+54</f>
        <v>45988</v>
      </c>
      <c r="BM10" s="9">
        <f>$B$5+55</f>
        <v>45989</v>
      </c>
      <c r="BN10" s="9">
        <f>$B$5+56</f>
        <v>45990</v>
      </c>
      <c r="BO10" s="9">
        <f>$B$5+57</f>
        <v>45991</v>
      </c>
      <c r="BP10" s="9">
        <f>$B$5+58</f>
        <v>45992</v>
      </c>
      <c r="BQ10" s="9">
        <f>$B$5+59</f>
        <v>45993</v>
      </c>
      <c r="BR10" s="9">
        <f>$B$5+60</f>
        <v>45994</v>
      </c>
      <c r="BS10" s="9">
        <f>$B$5+61</f>
        <v>45995</v>
      </c>
      <c r="BT10" s="9">
        <f>$B$5+62</f>
        <v>45996</v>
      </c>
      <c r="BU10" s="9">
        <f>$B$5+63</f>
        <v>45997</v>
      </c>
      <c r="BV10" s="9">
        <f>$B$5+64</f>
        <v>45998</v>
      </c>
      <c r="BW10" s="9">
        <f>$B$5+65</f>
        <v>45999</v>
      </c>
      <c r="BX10" s="9">
        <f>$B$5+66</f>
        <v>46000</v>
      </c>
      <c r="BY10" s="9">
        <f>$B$5+67</f>
        <v>46001</v>
      </c>
      <c r="BZ10" s="9">
        <f>$B$5+68</f>
        <v>46002</v>
      </c>
      <c r="CA10" s="9">
        <f>$B$5+69</f>
        <v>46003</v>
      </c>
      <c r="CB10" s="9">
        <f>$B$5+70</f>
        <v>46004</v>
      </c>
      <c r="CC10" s="9">
        <f>$B$5+71</f>
        <v>46005</v>
      </c>
      <c r="CD10" s="9">
        <f>$B$5+72</f>
        <v>46006</v>
      </c>
      <c r="CE10" s="9">
        <f>$B$5+73</f>
        <v>46007</v>
      </c>
      <c r="CF10" s="9">
        <f>$B$5+74</f>
        <v>46008</v>
      </c>
      <c r="CG10" s="9">
        <f>$B$5+75</f>
        <v>46009</v>
      </c>
      <c r="CH10" s="9">
        <f>$B$5+76</f>
        <v>46010</v>
      </c>
      <c r="CI10" s="9">
        <f>$B$5+77</f>
        <v>46011</v>
      </c>
      <c r="CJ10" s="9">
        <f>$B$5+78</f>
        <v>46012</v>
      </c>
      <c r="CK10" s="9">
        <f>$B$5+79</f>
        <v>46013</v>
      </c>
      <c r="CL10" s="9">
        <f>$B$5+80</f>
        <v>46014</v>
      </c>
      <c r="CM10" s="9">
        <f>$B$5+81</f>
        <v>46015</v>
      </c>
      <c r="CN10" s="9">
        <f>$B$5+82</f>
        <v>46016</v>
      </c>
      <c r="CO10" s="9">
        <f>$B$5+83</f>
        <v>46017</v>
      </c>
      <c r="CP10" s="9">
        <f>$B$5+84</f>
        <v>46018</v>
      </c>
      <c r="CQ10" s="9">
        <f>$B$5+85</f>
        <v>46019</v>
      </c>
      <c r="CR10" s="9">
        <f>$B$5+86</f>
        <v>46020</v>
      </c>
      <c r="CS10" s="9">
        <f>$B$5+87</f>
        <v>46021</v>
      </c>
      <c r="CT10" s="9">
        <f>$B$5+88</f>
        <v>46022</v>
      </c>
      <c r="CU10" s="9">
        <f>$B$5+89</f>
        <v>46023</v>
      </c>
      <c r="CV10" s="9">
        <f>$B$5+90</f>
        <v>46024</v>
      </c>
      <c r="CW10" s="9">
        <f>$B$5+91</f>
        <v>46025</v>
      </c>
      <c r="CX10" s="9">
        <f>$B$5+92</f>
        <v>46026</v>
      </c>
      <c r="CY10" s="9">
        <f>$B$5+93</f>
        <v>46027</v>
      </c>
      <c r="CZ10" s="9">
        <f>$B$5+94</f>
        <v>46028</v>
      </c>
      <c r="DA10" s="9">
        <f>$B$5+95</f>
        <v>46029</v>
      </c>
      <c r="DB10" s="9">
        <f>$B$5+96</f>
        <v>46030</v>
      </c>
      <c r="DC10" s="9">
        <f>$B$5+97</f>
        <v>46031</v>
      </c>
      <c r="DD10" s="9">
        <f>$B$5+98</f>
        <v>46032</v>
      </c>
      <c r="DE10" s="9">
        <f>$B$5+99</f>
        <v>46033</v>
      </c>
      <c r="DF10" s="9">
        <f>$B$5+100</f>
        <v>46034</v>
      </c>
      <c r="DG10" s="9">
        <f>$B$5+101</f>
        <v>46035</v>
      </c>
      <c r="DH10" s="9">
        <f>$B$5+102</f>
        <v>46036</v>
      </c>
      <c r="DI10" s="9">
        <f>$B$5+103</f>
        <v>46037</v>
      </c>
      <c r="DJ10" s="9">
        <f>$B$5+104</f>
        <v>46038</v>
      </c>
      <c r="DK10" s="9">
        <f>$B$5+105</f>
        <v>46039</v>
      </c>
      <c r="DL10" s="9">
        <f>$B$5+106</f>
        <v>46040</v>
      </c>
      <c r="DM10" s="9">
        <f>$B$5+107</f>
        <v>46041</v>
      </c>
      <c r="DN10" s="9">
        <f>$B$5+108</f>
        <v>46042</v>
      </c>
      <c r="DO10" s="9">
        <f>$B$5+109</f>
        <v>46043</v>
      </c>
      <c r="DP10" s="9">
        <f>$B$5+110</f>
        <v>46044</v>
      </c>
      <c r="DQ10" s="9">
        <f>$B$5+111</f>
        <v>46045</v>
      </c>
      <c r="DR10" s="9">
        <f>$B$5+112</f>
        <v>46046</v>
      </c>
      <c r="DS10" s="9">
        <f>$B$5+113</f>
        <v>46047</v>
      </c>
      <c r="DT10" s="9">
        <f>$B$5+114</f>
        <v>46048</v>
      </c>
      <c r="DU10" s="9">
        <f>$B$5+115</f>
        <v>46049</v>
      </c>
      <c r="DV10" s="9">
        <f>$B$5+116</f>
        <v>46050</v>
      </c>
      <c r="DW10" s="9">
        <f>$B$5+117</f>
        <v>46051</v>
      </c>
      <c r="DX10" s="9">
        <f>$B$5+118</f>
        <v>46052</v>
      </c>
      <c r="DY10" s="9">
        <f>$B$5+119</f>
        <v>46053</v>
      </c>
    </row>
    <row r="11" spans="1:129" x14ac:dyDescent="0.25">
      <c r="A11" s="6" t="s">
        <v>26</v>
      </c>
      <c r="B11" s="6" t="s">
        <v>27</v>
      </c>
      <c r="C11" s="6" t="s">
        <v>14</v>
      </c>
      <c r="D11" s="3">
        <v>45934</v>
      </c>
      <c r="E11" s="6">
        <v>4</v>
      </c>
      <c r="F11" s="3">
        <f t="shared" ref="F11:F50" si="0">IF(AND(D11&gt;0,E11&gt;0),WORKDAY.INTL(D11,E11,1,Excluidos),"")</f>
        <v>45940</v>
      </c>
      <c r="G11" s="4">
        <v>0.8</v>
      </c>
      <c r="H11" s="6" t="str">
        <f t="shared" ref="H11:H50" ca="1" si="1">IF(B11="","",IF(G11&gt;=1,"Completado",IF(AND(D11&gt;0,E11&gt;0,TODAY()&gt;F11),"Atrasado",IF(TODAY()&gt;=D11,"En proceso","Sin empezar"))))</f>
        <v>En proceso</v>
      </c>
      <c r="I11" s="7"/>
      <c r="J11" s="17"/>
      <c r="K11" s="17"/>
      <c r="L11" s="17"/>
      <c r="M11" s="17"/>
      <c r="N11" s="17"/>
      <c r="O11" s="17"/>
      <c r="P11" s="17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</row>
    <row r="12" spans="1:129" x14ac:dyDescent="0.25">
      <c r="A12" s="6" t="s">
        <v>26</v>
      </c>
      <c r="B12" s="6" t="s">
        <v>28</v>
      </c>
      <c r="C12" s="6" t="s">
        <v>15</v>
      </c>
      <c r="D12" s="3">
        <v>45936</v>
      </c>
      <c r="E12" s="6">
        <v>3</v>
      </c>
      <c r="F12" s="3">
        <f t="shared" si="0"/>
        <v>45940</v>
      </c>
      <c r="G12" s="4">
        <v>0.5</v>
      </c>
      <c r="H12" s="6" t="str">
        <f t="shared" ca="1" si="1"/>
        <v>Sin empezar</v>
      </c>
      <c r="I12" s="7"/>
      <c r="J12" s="8"/>
      <c r="K12" s="8"/>
      <c r="L12" s="18"/>
      <c r="M12" s="18"/>
      <c r="N12" s="18"/>
      <c r="O12" s="18"/>
      <c r="P12" s="1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</row>
    <row r="13" spans="1:129" x14ac:dyDescent="0.25">
      <c r="A13" s="6" t="s">
        <v>26</v>
      </c>
      <c r="B13" s="6" t="s">
        <v>29</v>
      </c>
      <c r="C13" s="6" t="s">
        <v>16</v>
      </c>
      <c r="D13" s="3">
        <v>45939</v>
      </c>
      <c r="E13" s="6">
        <v>5</v>
      </c>
      <c r="F13" s="3">
        <f t="shared" si="0"/>
        <v>45946</v>
      </c>
      <c r="G13" s="4">
        <v>0.3</v>
      </c>
      <c r="H13" s="6" t="str">
        <f t="shared" ca="1" si="1"/>
        <v>Sin empezar</v>
      </c>
      <c r="I13" s="7"/>
      <c r="J13" s="8"/>
      <c r="K13" s="8"/>
      <c r="L13" s="8"/>
      <c r="M13" s="8"/>
      <c r="N13" s="8"/>
      <c r="O13" s="19"/>
      <c r="P13" s="19"/>
      <c r="Q13" s="19"/>
      <c r="R13" s="19"/>
      <c r="S13" s="19"/>
      <c r="T13" s="19"/>
      <c r="U13" s="19"/>
      <c r="V13" s="19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</row>
    <row r="14" spans="1:129" x14ac:dyDescent="0.25">
      <c r="A14" s="6" t="s">
        <v>26</v>
      </c>
      <c r="B14" s="6" t="s">
        <v>30</v>
      </c>
      <c r="C14" s="6" t="s">
        <v>18</v>
      </c>
      <c r="D14" s="3">
        <v>45945</v>
      </c>
      <c r="E14" s="6">
        <v>2</v>
      </c>
      <c r="F14" s="3">
        <f t="shared" si="0"/>
        <v>45947</v>
      </c>
      <c r="G14" s="4">
        <v>0</v>
      </c>
      <c r="H14" s="6" t="str">
        <f t="shared" ca="1" si="1"/>
        <v>Sin empezar</v>
      </c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20"/>
      <c r="V14" s="20"/>
      <c r="W14" s="20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</row>
    <row r="15" spans="1:129" x14ac:dyDescent="0.25">
      <c r="A15" s="6" t="s">
        <v>31</v>
      </c>
      <c r="B15" s="6" t="s">
        <v>32</v>
      </c>
      <c r="C15" s="6" t="s">
        <v>17</v>
      </c>
      <c r="D15" s="3">
        <v>45937</v>
      </c>
      <c r="E15" s="6">
        <v>3</v>
      </c>
      <c r="F15" s="3">
        <f t="shared" si="0"/>
        <v>45940</v>
      </c>
      <c r="G15" s="4">
        <v>1</v>
      </c>
      <c r="H15" s="6" t="str">
        <f t="shared" ca="1" si="1"/>
        <v>Completado</v>
      </c>
      <c r="I15" s="7"/>
      <c r="J15" s="8"/>
      <c r="K15" s="8"/>
      <c r="L15" s="8"/>
      <c r="M15" s="21"/>
      <c r="N15" s="21"/>
      <c r="O15" s="21"/>
      <c r="P15" s="21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</row>
    <row r="16" spans="1:129" x14ac:dyDescent="0.25">
      <c r="A16" s="6" t="s">
        <v>31</v>
      </c>
      <c r="B16" s="6" t="s">
        <v>33</v>
      </c>
      <c r="C16" s="6" t="s">
        <v>17</v>
      </c>
      <c r="D16" s="3">
        <v>45940</v>
      </c>
      <c r="E16" s="6">
        <v>10</v>
      </c>
      <c r="F16" s="3">
        <f t="shared" si="0"/>
        <v>45954</v>
      </c>
      <c r="G16" s="4">
        <v>0.4</v>
      </c>
      <c r="H16" s="6" t="str">
        <f t="shared" ca="1" si="1"/>
        <v>Sin empezar</v>
      </c>
      <c r="I16" s="7"/>
      <c r="J16" s="8"/>
      <c r="K16" s="8"/>
      <c r="L16" s="8"/>
      <c r="M16" s="8"/>
      <c r="N16" s="8"/>
      <c r="O16" s="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</row>
    <row r="17" spans="1:129" x14ac:dyDescent="0.25">
      <c r="A17" s="6" t="s">
        <v>31</v>
      </c>
      <c r="B17" s="6" t="s">
        <v>34</v>
      </c>
      <c r="C17" s="6" t="s">
        <v>16</v>
      </c>
      <c r="D17" s="3">
        <v>45942</v>
      </c>
      <c r="E17" s="6">
        <v>9</v>
      </c>
      <c r="F17" s="3">
        <f t="shared" si="0"/>
        <v>45953</v>
      </c>
      <c r="G17" s="4">
        <v>0.2</v>
      </c>
      <c r="H17" s="6" t="str">
        <f t="shared" ca="1" si="1"/>
        <v>Sin empezar</v>
      </c>
      <c r="I17" s="7"/>
      <c r="J17" s="8"/>
      <c r="K17" s="8"/>
      <c r="L17" s="8"/>
      <c r="M17" s="8"/>
      <c r="N17" s="8"/>
      <c r="O17" s="8"/>
      <c r="P17" s="8"/>
      <c r="Q17" s="8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</row>
    <row r="18" spans="1:129" x14ac:dyDescent="0.25">
      <c r="A18" s="6" t="s">
        <v>31</v>
      </c>
      <c r="B18" s="6" t="s">
        <v>35</v>
      </c>
      <c r="C18" s="6" t="s">
        <v>15</v>
      </c>
      <c r="D18" s="3">
        <v>45951</v>
      </c>
      <c r="E18" s="6">
        <v>6</v>
      </c>
      <c r="F18" s="3">
        <f t="shared" si="0"/>
        <v>45959</v>
      </c>
      <c r="G18" s="4">
        <v>0</v>
      </c>
      <c r="H18" s="6" t="str">
        <f t="shared" ca="1" si="1"/>
        <v>Sin empezar</v>
      </c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8"/>
      <c r="AB18" s="18"/>
      <c r="AC18" s="18"/>
      <c r="AD18" s="18"/>
      <c r="AE18" s="18"/>
      <c r="AF18" s="18"/>
      <c r="AG18" s="18"/>
      <c r="AH18" s="18"/>
      <c r="AI18" s="1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</row>
    <row r="19" spans="1:129" x14ac:dyDescent="0.25">
      <c r="A19" s="6" t="s">
        <v>36</v>
      </c>
      <c r="B19" s="6" t="s">
        <v>37</v>
      </c>
      <c r="C19" s="6" t="s">
        <v>18</v>
      </c>
      <c r="D19" s="3">
        <v>45956</v>
      </c>
      <c r="E19" s="6">
        <v>5</v>
      </c>
      <c r="F19" s="3">
        <f t="shared" si="0"/>
        <v>45961</v>
      </c>
      <c r="G19" s="4">
        <v>0</v>
      </c>
      <c r="H19" s="6" t="str">
        <f t="shared" ca="1" si="1"/>
        <v>Sin empezar</v>
      </c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</row>
    <row r="20" spans="1:129" x14ac:dyDescent="0.25">
      <c r="A20" s="6" t="s">
        <v>36</v>
      </c>
      <c r="B20" s="6" t="s">
        <v>38</v>
      </c>
      <c r="C20" s="6" t="s">
        <v>18</v>
      </c>
      <c r="D20" s="3">
        <v>45962</v>
      </c>
      <c r="E20" s="6">
        <v>4</v>
      </c>
      <c r="F20" s="3">
        <f t="shared" si="0"/>
        <v>45967</v>
      </c>
      <c r="G20" s="4">
        <v>0</v>
      </c>
      <c r="H20" s="6" t="str">
        <f t="shared" ca="1" si="1"/>
        <v>Sin empezar</v>
      </c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</row>
    <row r="21" spans="1:129" x14ac:dyDescent="0.25">
      <c r="A21" s="6" t="s">
        <v>36</v>
      </c>
      <c r="B21" s="6" t="s">
        <v>39</v>
      </c>
      <c r="C21" s="6" t="s">
        <v>14</v>
      </c>
      <c r="D21" s="3">
        <v>45967</v>
      </c>
      <c r="E21" s="6">
        <v>3</v>
      </c>
      <c r="F21" s="3">
        <f t="shared" si="0"/>
        <v>45972</v>
      </c>
      <c r="G21" s="4">
        <v>0</v>
      </c>
      <c r="H21" s="6" t="str">
        <f t="shared" ca="1" si="1"/>
        <v>Sin empezar</v>
      </c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</row>
    <row r="22" spans="1:129" x14ac:dyDescent="0.25">
      <c r="A22" s="6" t="s">
        <v>36</v>
      </c>
      <c r="B22" s="6" t="s">
        <v>40</v>
      </c>
      <c r="C22" s="6" t="s">
        <v>18</v>
      </c>
      <c r="D22" s="3">
        <v>45972</v>
      </c>
      <c r="E22" s="6">
        <v>2</v>
      </c>
      <c r="F22" s="3">
        <f t="shared" si="0"/>
        <v>45974</v>
      </c>
      <c r="G22" s="4">
        <v>0</v>
      </c>
      <c r="H22" s="6" t="str">
        <f t="shared" ca="1" si="1"/>
        <v>Sin empezar</v>
      </c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</row>
    <row r="23" spans="1:129" x14ac:dyDescent="0.25">
      <c r="A23" s="6"/>
      <c r="B23" s="6"/>
      <c r="C23" s="6"/>
      <c r="D23" s="6"/>
      <c r="E23" s="6"/>
      <c r="F23" s="3" t="str">
        <f t="shared" si="0"/>
        <v/>
      </c>
      <c r="G23" s="4"/>
      <c r="H23" s="6" t="str">
        <f t="shared" ca="1" si="1"/>
        <v/>
      </c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</row>
    <row r="24" spans="1:129" x14ac:dyDescent="0.25">
      <c r="A24" s="6"/>
      <c r="B24" s="6"/>
      <c r="C24" s="6"/>
      <c r="D24" s="6"/>
      <c r="E24" s="6"/>
      <c r="F24" s="3" t="str">
        <f t="shared" si="0"/>
        <v/>
      </c>
      <c r="G24" s="4"/>
      <c r="H24" s="6" t="str">
        <f t="shared" ca="1" si="1"/>
        <v/>
      </c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</row>
    <row r="25" spans="1:129" x14ac:dyDescent="0.25">
      <c r="A25" s="6"/>
      <c r="B25" s="6"/>
      <c r="C25" s="6"/>
      <c r="D25" s="6"/>
      <c r="E25" s="6"/>
      <c r="F25" s="3" t="str">
        <f t="shared" si="0"/>
        <v/>
      </c>
      <c r="G25" s="4"/>
      <c r="H25" s="6" t="str">
        <f t="shared" ca="1" si="1"/>
        <v/>
      </c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</row>
    <row r="26" spans="1:129" x14ac:dyDescent="0.25">
      <c r="A26" s="6"/>
      <c r="B26" s="6"/>
      <c r="C26" s="6"/>
      <c r="D26" s="6"/>
      <c r="E26" s="6"/>
      <c r="F26" s="3" t="str">
        <f t="shared" si="0"/>
        <v/>
      </c>
      <c r="G26" s="4"/>
      <c r="H26" s="6" t="str">
        <f t="shared" ca="1" si="1"/>
        <v/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</row>
    <row r="27" spans="1:129" x14ac:dyDescent="0.25">
      <c r="A27" s="6"/>
      <c r="B27" s="6"/>
      <c r="C27" s="6"/>
      <c r="D27" s="6"/>
      <c r="E27" s="6"/>
      <c r="F27" s="3" t="str">
        <f t="shared" si="0"/>
        <v/>
      </c>
      <c r="G27" s="4"/>
      <c r="H27" s="6" t="str">
        <f t="shared" ca="1" si="1"/>
        <v/>
      </c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</row>
    <row r="28" spans="1:129" x14ac:dyDescent="0.25">
      <c r="A28" s="6"/>
      <c r="B28" s="6"/>
      <c r="C28" s="6"/>
      <c r="D28" s="6"/>
      <c r="E28" s="6"/>
      <c r="F28" s="3" t="str">
        <f t="shared" si="0"/>
        <v/>
      </c>
      <c r="G28" s="4"/>
      <c r="H28" s="6" t="str">
        <f t="shared" ca="1" si="1"/>
        <v/>
      </c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</row>
    <row r="29" spans="1:129" x14ac:dyDescent="0.25">
      <c r="A29" s="6"/>
      <c r="B29" s="6"/>
      <c r="C29" s="6"/>
      <c r="D29" s="6"/>
      <c r="E29" s="6"/>
      <c r="F29" s="3" t="str">
        <f t="shared" si="0"/>
        <v/>
      </c>
      <c r="G29" s="4"/>
      <c r="H29" s="6" t="str">
        <f t="shared" ca="1" si="1"/>
        <v/>
      </c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</row>
    <row r="30" spans="1:129" x14ac:dyDescent="0.25">
      <c r="A30" s="6"/>
      <c r="B30" s="6"/>
      <c r="C30" s="6"/>
      <c r="D30" s="6"/>
      <c r="E30" s="6"/>
      <c r="F30" s="3" t="str">
        <f t="shared" si="0"/>
        <v/>
      </c>
      <c r="G30" s="4"/>
      <c r="H30" s="6" t="str">
        <f t="shared" ca="1" si="1"/>
        <v/>
      </c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</row>
    <row r="31" spans="1:129" x14ac:dyDescent="0.25">
      <c r="A31" s="6"/>
      <c r="B31" s="6"/>
      <c r="C31" s="6"/>
      <c r="D31" s="6"/>
      <c r="E31" s="6"/>
      <c r="F31" s="3" t="str">
        <f t="shared" si="0"/>
        <v/>
      </c>
      <c r="G31" s="4"/>
      <c r="H31" s="6" t="str">
        <f t="shared" ca="1" si="1"/>
        <v/>
      </c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</row>
    <row r="32" spans="1:129" x14ac:dyDescent="0.25">
      <c r="A32" s="6"/>
      <c r="B32" s="6"/>
      <c r="C32" s="6"/>
      <c r="D32" s="6"/>
      <c r="E32" s="6"/>
      <c r="F32" s="3" t="str">
        <f t="shared" si="0"/>
        <v/>
      </c>
      <c r="G32" s="4"/>
      <c r="H32" s="6" t="str">
        <f t="shared" ca="1" si="1"/>
        <v/>
      </c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</row>
    <row r="33" spans="1:129" x14ac:dyDescent="0.25">
      <c r="A33" s="6"/>
      <c r="B33" s="6"/>
      <c r="C33" s="6"/>
      <c r="D33" s="6"/>
      <c r="E33" s="6"/>
      <c r="F33" s="3" t="str">
        <f t="shared" si="0"/>
        <v/>
      </c>
      <c r="G33" s="4"/>
      <c r="H33" s="6" t="str">
        <f t="shared" ca="1" si="1"/>
        <v/>
      </c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</row>
    <row r="34" spans="1:129" x14ac:dyDescent="0.25">
      <c r="A34" s="6"/>
      <c r="B34" s="6"/>
      <c r="C34" s="6"/>
      <c r="D34" s="6"/>
      <c r="E34" s="6"/>
      <c r="F34" s="3" t="str">
        <f t="shared" si="0"/>
        <v/>
      </c>
      <c r="G34" s="4"/>
      <c r="H34" s="6" t="str">
        <f t="shared" ca="1" si="1"/>
        <v/>
      </c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</row>
    <row r="35" spans="1:129" x14ac:dyDescent="0.25">
      <c r="A35" s="6"/>
      <c r="B35" s="6"/>
      <c r="C35" s="6"/>
      <c r="D35" s="6"/>
      <c r="E35" s="6"/>
      <c r="F35" s="3" t="str">
        <f t="shared" si="0"/>
        <v/>
      </c>
      <c r="G35" s="4"/>
      <c r="H35" s="6" t="str">
        <f t="shared" ca="1" si="1"/>
        <v/>
      </c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</row>
    <row r="36" spans="1:129" x14ac:dyDescent="0.25">
      <c r="A36" s="6"/>
      <c r="B36" s="6"/>
      <c r="C36" s="6"/>
      <c r="D36" s="6"/>
      <c r="E36" s="6"/>
      <c r="F36" s="3" t="str">
        <f t="shared" si="0"/>
        <v/>
      </c>
      <c r="G36" s="4"/>
      <c r="H36" s="6" t="str">
        <f t="shared" ca="1" si="1"/>
        <v/>
      </c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</row>
    <row r="37" spans="1:129" x14ac:dyDescent="0.25">
      <c r="A37" s="6"/>
      <c r="B37" s="6"/>
      <c r="C37" s="6"/>
      <c r="D37" s="6"/>
      <c r="E37" s="6"/>
      <c r="F37" s="3" t="str">
        <f t="shared" si="0"/>
        <v/>
      </c>
      <c r="G37" s="4"/>
      <c r="H37" s="6" t="str">
        <f t="shared" ca="1" si="1"/>
        <v/>
      </c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</row>
    <row r="38" spans="1:129" x14ac:dyDescent="0.25">
      <c r="A38" s="6"/>
      <c r="B38" s="6"/>
      <c r="C38" s="6"/>
      <c r="D38" s="6"/>
      <c r="E38" s="6"/>
      <c r="F38" s="3" t="str">
        <f t="shared" si="0"/>
        <v/>
      </c>
      <c r="G38" s="4"/>
      <c r="H38" s="6" t="str">
        <f t="shared" ca="1" si="1"/>
        <v/>
      </c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</row>
    <row r="39" spans="1:129" x14ac:dyDescent="0.25">
      <c r="A39" s="6"/>
      <c r="B39" s="6"/>
      <c r="C39" s="6"/>
      <c r="D39" s="6"/>
      <c r="E39" s="6"/>
      <c r="F39" s="3" t="str">
        <f t="shared" si="0"/>
        <v/>
      </c>
      <c r="G39" s="4"/>
      <c r="H39" s="6" t="str">
        <f t="shared" ca="1" si="1"/>
        <v/>
      </c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</row>
    <row r="40" spans="1:129" x14ac:dyDescent="0.25">
      <c r="A40" s="6"/>
      <c r="B40" s="6"/>
      <c r="C40" s="6"/>
      <c r="D40" s="6"/>
      <c r="E40" s="6"/>
      <c r="F40" s="3" t="str">
        <f t="shared" si="0"/>
        <v/>
      </c>
      <c r="G40" s="4"/>
      <c r="H40" s="6" t="str">
        <f t="shared" ca="1" si="1"/>
        <v/>
      </c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</row>
    <row r="41" spans="1:129" x14ac:dyDescent="0.25">
      <c r="A41" s="6"/>
      <c r="B41" s="6"/>
      <c r="C41" s="6"/>
      <c r="D41" s="6"/>
      <c r="E41" s="6"/>
      <c r="F41" s="3" t="str">
        <f t="shared" si="0"/>
        <v/>
      </c>
      <c r="G41" s="4"/>
      <c r="H41" s="6" t="str">
        <f t="shared" ca="1" si="1"/>
        <v/>
      </c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</row>
    <row r="42" spans="1:129" x14ac:dyDescent="0.25">
      <c r="A42" s="6"/>
      <c r="B42" s="6"/>
      <c r="C42" s="6"/>
      <c r="D42" s="6"/>
      <c r="E42" s="6"/>
      <c r="F42" s="3" t="str">
        <f t="shared" si="0"/>
        <v/>
      </c>
      <c r="G42" s="4"/>
      <c r="H42" s="6" t="str">
        <f t="shared" ca="1" si="1"/>
        <v/>
      </c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</row>
    <row r="43" spans="1:129" x14ac:dyDescent="0.25">
      <c r="A43" s="6"/>
      <c r="B43" s="6"/>
      <c r="C43" s="6"/>
      <c r="D43" s="6"/>
      <c r="E43" s="6"/>
      <c r="F43" s="3" t="str">
        <f t="shared" si="0"/>
        <v/>
      </c>
      <c r="G43" s="4"/>
      <c r="H43" s="6" t="str">
        <f t="shared" ca="1" si="1"/>
        <v/>
      </c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</row>
    <row r="44" spans="1:129" x14ac:dyDescent="0.25">
      <c r="A44" s="6"/>
      <c r="B44" s="6"/>
      <c r="C44" s="6"/>
      <c r="D44" s="6"/>
      <c r="E44" s="6"/>
      <c r="F44" s="3" t="str">
        <f t="shared" si="0"/>
        <v/>
      </c>
      <c r="G44" s="4"/>
      <c r="H44" s="6" t="str">
        <f t="shared" ca="1" si="1"/>
        <v/>
      </c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</row>
    <row r="45" spans="1:129" x14ac:dyDescent="0.25">
      <c r="A45" s="6"/>
      <c r="B45" s="6"/>
      <c r="C45" s="6"/>
      <c r="D45" s="6"/>
      <c r="E45" s="6"/>
      <c r="F45" s="3" t="str">
        <f t="shared" si="0"/>
        <v/>
      </c>
      <c r="G45" s="4"/>
      <c r="H45" s="6" t="str">
        <f t="shared" ca="1" si="1"/>
        <v/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</row>
    <row r="46" spans="1:129" x14ac:dyDescent="0.25">
      <c r="A46" s="6"/>
      <c r="B46" s="6"/>
      <c r="C46" s="6"/>
      <c r="D46" s="6"/>
      <c r="E46" s="6"/>
      <c r="F46" s="3" t="str">
        <f t="shared" si="0"/>
        <v/>
      </c>
      <c r="G46" s="4"/>
      <c r="H46" s="6" t="str">
        <f t="shared" ca="1" si="1"/>
        <v/>
      </c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</row>
    <row r="47" spans="1:129" x14ac:dyDescent="0.25">
      <c r="A47" s="6"/>
      <c r="B47" s="6"/>
      <c r="C47" s="6"/>
      <c r="D47" s="6"/>
      <c r="E47" s="6"/>
      <c r="F47" s="3" t="str">
        <f t="shared" si="0"/>
        <v/>
      </c>
      <c r="G47" s="4"/>
      <c r="H47" s="6" t="str">
        <f t="shared" ca="1" si="1"/>
        <v/>
      </c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</row>
    <row r="48" spans="1:129" x14ac:dyDescent="0.25">
      <c r="A48" s="6"/>
      <c r="B48" s="6"/>
      <c r="C48" s="6"/>
      <c r="D48" s="6"/>
      <c r="E48" s="6"/>
      <c r="F48" s="3" t="str">
        <f t="shared" si="0"/>
        <v/>
      </c>
      <c r="G48" s="4"/>
      <c r="H48" s="6" t="str">
        <f t="shared" ca="1" si="1"/>
        <v/>
      </c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</row>
    <row r="49" spans="1:129" x14ac:dyDescent="0.25">
      <c r="A49" s="6"/>
      <c r="B49" s="6"/>
      <c r="C49" s="6"/>
      <c r="D49" s="6"/>
      <c r="E49" s="6"/>
      <c r="F49" s="3" t="str">
        <f t="shared" si="0"/>
        <v/>
      </c>
      <c r="G49" s="4"/>
      <c r="H49" s="6" t="str">
        <f t="shared" ca="1" si="1"/>
        <v/>
      </c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</row>
    <row r="50" spans="1:129" x14ac:dyDescent="0.25">
      <c r="A50" s="6"/>
      <c r="B50" s="6"/>
      <c r="C50" s="6"/>
      <c r="D50" s="6"/>
      <c r="E50" s="6"/>
      <c r="F50" s="3" t="str">
        <f t="shared" si="0"/>
        <v/>
      </c>
      <c r="G50" s="4"/>
      <c r="H50" s="6" t="str">
        <f t="shared" ca="1" si="1"/>
        <v/>
      </c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</row>
  </sheetData>
  <autoFilter ref="A10:H51" xr:uid="{00000000-0009-0000-0000-000000000000}"/>
  <mergeCells count="13">
    <mergeCell ref="A1:K2"/>
    <mergeCell ref="D3:E3"/>
    <mergeCell ref="F3:G3"/>
    <mergeCell ref="H3:I3"/>
    <mergeCell ref="J3:K3"/>
    <mergeCell ref="M5:O5"/>
    <mergeCell ref="M6:O6"/>
    <mergeCell ref="D4:E4"/>
    <mergeCell ref="F4:G4"/>
    <mergeCell ref="H4:I4"/>
    <mergeCell ref="J4:K4"/>
    <mergeCell ref="D5:G5"/>
    <mergeCell ref="H5:K5"/>
  </mergeCells>
  <conditionalFormatting sqref="G11:G51">
    <cfRule type="dataBar" priority="6">
      <dataBar>
        <cfvo type="min"/>
        <cfvo type="max"/>
        <color rgb="FF638EC6"/>
      </dataBar>
    </cfRule>
  </conditionalFormatting>
  <conditionalFormatting sqref="J10:DY10">
    <cfRule type="expression" dxfId="4" priority="2">
      <formula>J10=TODAY()</formula>
    </cfRule>
  </conditionalFormatting>
  <conditionalFormatting sqref="J11:DY51">
    <cfRule type="expression" dxfId="3" priority="1">
      <formula>WEEKDAY(J$10,2)&gt;5</formula>
    </cfRule>
    <cfRule type="expression" dxfId="2" priority="3">
      <formula>AND(J$10&gt;=D11,J$10&lt;=F11)</formula>
    </cfRule>
    <cfRule type="expression" dxfId="1" priority="4">
      <formula>AND(J$10&gt;=D11,J$10&lt;=F11,$H11="Completado")</formula>
    </cfRule>
    <cfRule type="expression" dxfId="0" priority="5">
      <formula>AND(J$10&gt;=D11,J$10&lt;=F11,$H11="Atrasado")</formula>
    </cfRule>
  </conditionalFormatting>
  <dataValidations count="1">
    <dataValidation type="list" allowBlank="1" showInputMessage="1" showErrorMessage="1" sqref="C11:C51" xr:uid="{00000000-0002-0000-0000-000000000000}">
      <formula1>Responsables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</vt:lpstr>
      <vt:lpstr>Excluidos</vt:lpstr>
      <vt:lpstr>Responsables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2025-10-04T09:11:45Z</dcterms:created>
  <dcterms:modified xsi:type="dcterms:W3CDTF">2025-10-04T09:41:44Z</dcterms:modified>
</cp:coreProperties>
</file>