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hoja de fichaje\"/>
    </mc:Choice>
  </mc:AlternateContent>
  <xr:revisionPtr revIDLastSave="0" documentId="13_ncr:1_{9BD46AF0-1017-4998-ACA0-FC18D4F6F171}" xr6:coauthVersionLast="47" xr6:coauthVersionMax="47" xr10:uidLastSave="{00000000-0000-0000-0000-000000000000}"/>
  <bookViews>
    <workbookView xWindow="780" yWindow="780" windowWidth="21330" windowHeight="12345" activeTab="1" xr2:uid="{00000000-000D-0000-FFFF-FFFF00000000}"/>
  </bookViews>
  <sheets>
    <sheet name="Configuración" sheetId="1" r:id="rId1"/>
    <sheet name="Fichaje" sheetId="2" r:id="rId2"/>
    <sheet name="Resumen" sheetId="3" r:id="rId3"/>
  </sheets>
  <definedNames>
    <definedName name="HorasObjetivo">Configuración!$B$9</definedName>
    <definedName name="ListaFestivos">Configuración!$E$3:$E$50</definedName>
    <definedName name="ListaProyectos">Configuración!$C$3:$C$50</definedName>
    <definedName name="SemanaInicio">Configuración!$B$8</definedName>
    <definedName name="TarifaExtra">Configuración!$B$11</definedName>
    <definedName name="TarifaRegular">Configuración!$B$10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3" l="1"/>
  <c r="A17" i="3"/>
  <c r="A16" i="3"/>
  <c r="B16" i="3" s="1"/>
  <c r="A15" i="3"/>
  <c r="A14" i="3"/>
  <c r="A13" i="3"/>
  <c r="A12" i="3"/>
  <c r="A11" i="3"/>
  <c r="A10" i="3"/>
  <c r="A9" i="3"/>
  <c r="G12" i="2"/>
  <c r="I12" i="2" s="1"/>
  <c r="A12" i="2"/>
  <c r="B12" i="2" s="1"/>
  <c r="G11" i="2"/>
  <c r="I11" i="2" s="1"/>
  <c r="A11" i="2"/>
  <c r="B11" i="2" s="1"/>
  <c r="G10" i="2"/>
  <c r="I10" i="2" s="1"/>
  <c r="A10" i="2"/>
  <c r="B10" i="2" s="1"/>
  <c r="G9" i="2"/>
  <c r="H9" i="2" s="1"/>
  <c r="A9" i="2"/>
  <c r="B9" i="2" s="1"/>
  <c r="G8" i="2"/>
  <c r="H8" i="2" s="1"/>
  <c r="A8" i="2"/>
  <c r="B8" i="2" s="1"/>
  <c r="G7" i="2"/>
  <c r="I7" i="2" s="1"/>
  <c r="A7" i="2"/>
  <c r="B7" i="2" s="1"/>
  <c r="G6" i="2"/>
  <c r="I6" i="2" s="1"/>
  <c r="A6" i="2"/>
  <c r="B6" i="2" s="1"/>
  <c r="J3" i="2"/>
  <c r="H3" i="2"/>
  <c r="F3" i="2"/>
  <c r="D3" i="2"/>
  <c r="B3" i="2"/>
  <c r="I9" i="2" l="1"/>
  <c r="G14" i="2"/>
  <c r="H12" i="2"/>
  <c r="J12" i="2" s="1"/>
  <c r="H6" i="2"/>
  <c r="C16" i="3"/>
  <c r="I8" i="2"/>
  <c r="J8" i="2" s="1"/>
  <c r="B11" i="3" s="1"/>
  <c r="C11" i="3" s="1"/>
  <c r="B13" i="3"/>
  <c r="C13" i="3" s="1"/>
  <c r="B15" i="3"/>
  <c r="C15" i="3" s="1"/>
  <c r="H10" i="2"/>
  <c r="J10" i="2" s="1"/>
  <c r="B12" i="3" s="1"/>
  <c r="C12" i="3" s="1"/>
  <c r="B14" i="3"/>
  <c r="C14" i="3" s="1"/>
  <c r="H7" i="2"/>
  <c r="J7" i="2" s="1"/>
  <c r="B9" i="3" s="1"/>
  <c r="C9" i="3" s="1"/>
  <c r="H11" i="2"/>
  <c r="J11" i="2" s="1"/>
  <c r="B17" i="3"/>
  <c r="C17" i="3" s="1"/>
  <c r="B18" i="3"/>
  <c r="C18" i="3" s="1"/>
  <c r="I14" i="2" l="1"/>
  <c r="B4" i="3" s="1"/>
  <c r="E4" i="3" s="1"/>
  <c r="J6" i="2"/>
  <c r="H14" i="2"/>
  <c r="B3" i="3" s="1"/>
  <c r="E3" i="3" s="1"/>
  <c r="E5" i="3" s="1"/>
  <c r="J9" i="2"/>
  <c r="J14" i="2" l="1"/>
  <c r="B5" i="3" s="1"/>
  <c r="B10" i="3"/>
  <c r="C10" i="3" s="1"/>
</calcChain>
</file>

<file path=xl/sharedStrings.xml><?xml version="1.0" encoding="utf-8"?>
<sst xmlns="http://schemas.openxmlformats.org/spreadsheetml/2006/main" count="88" uniqueCount="69">
  <si>
    <t>HOJA DE FICHAJE — Configuración</t>
  </si>
  <si>
    <t>Nombre del empleado:</t>
  </si>
  <si>
    <t>Sergio Pérez</t>
  </si>
  <si>
    <t>General</t>
  </si>
  <si>
    <t>Departamento:</t>
  </si>
  <si>
    <t>Operaciones</t>
  </si>
  <si>
    <t>Proyecto A</t>
  </si>
  <si>
    <t>Puesto:</t>
  </si>
  <si>
    <t>Analista</t>
  </si>
  <si>
    <t>Proyecto B</t>
  </si>
  <si>
    <t>Supervisor:</t>
  </si>
  <si>
    <t>María López</t>
  </si>
  <si>
    <t>Formación</t>
  </si>
  <si>
    <t>Semana (lunes):</t>
  </si>
  <si>
    <t>Horas objetivo por día:</t>
  </si>
  <si>
    <t>Tarifa hora regular:</t>
  </si>
  <si>
    <t>Tarifa hora extra:</t>
  </si>
  <si>
    <t>Hoja de fichaje semanal</t>
  </si>
  <si>
    <t>Empleado</t>
  </si>
  <si>
    <t>Departamento</t>
  </si>
  <si>
    <t>Puesto</t>
  </si>
  <si>
    <t>Supervisor</t>
  </si>
  <si>
    <t>Fecha</t>
  </si>
  <si>
    <t>Día de la semana</t>
  </si>
  <si>
    <t>Entrada</t>
  </si>
  <si>
    <t>Pausa inicio</t>
  </si>
  <si>
    <t>Pausa fin</t>
  </si>
  <si>
    <t>Salida</t>
  </si>
  <si>
    <t>Horas [h]:mm</t>
  </si>
  <si>
    <t>Proyecto</t>
  </si>
  <si>
    <t>Notas</t>
  </si>
  <si>
    <t>Estado</t>
  </si>
  <si>
    <t>09:00</t>
  </si>
  <si>
    <t>13:00</t>
  </si>
  <si>
    <t>14:00</t>
  </si>
  <si>
    <t>18:30</t>
  </si>
  <si>
    <t>Reunión y documentación</t>
  </si>
  <si>
    <t>Aprobado</t>
  </si>
  <si>
    <t>18:00</t>
  </si>
  <si>
    <t>Trabajo operativo</t>
  </si>
  <si>
    <t>10:00</t>
  </si>
  <si>
    <t>14:30</t>
  </si>
  <si>
    <t>19:30</t>
  </si>
  <si>
    <t>Soporte cliente</t>
  </si>
  <si>
    <t>Pendiente</t>
  </si>
  <si>
    <t>12:00</t>
  </si>
  <si>
    <t>16:00</t>
  </si>
  <si>
    <t>17:00</t>
  </si>
  <si>
    <t>21:00</t>
  </si>
  <si>
    <t>Entrega sprint</t>
  </si>
  <si>
    <t>12:30</t>
  </si>
  <si>
    <t>13:30</t>
  </si>
  <si>
    <t>Curso interno</t>
  </si>
  <si>
    <t>Guardia sábado</t>
  </si>
  <si>
    <t>TOTALES</t>
  </si>
  <si>
    <t>Resumen semanal</t>
  </si>
  <si>
    <t>Horas regulares (h)</t>
  </si>
  <si>
    <t>Coste regular</t>
  </si>
  <si>
    <t>Horas extra (h)</t>
  </si>
  <si>
    <t>Coste extra</t>
  </si>
  <si>
    <t>Horas totales (h)</t>
  </si>
  <si>
    <t>Coste total</t>
  </si>
  <si>
    <t>Horas por proyecto</t>
  </si>
  <si>
    <t>Horas (h)</t>
  </si>
  <si>
    <t>Coste estimado</t>
  </si>
  <si>
    <t>Semana</t>
  </si>
  <si>
    <t>Horas
regulares</t>
  </si>
  <si>
    <t>Horas
extra</t>
  </si>
  <si>
    <t>Horas
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</si>
</sst>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hh:mm"/>
    <numFmt numFmtId="166" formatCode="[h]:mm"/>
    <numFmt numFmtId="167" formatCode="[$EUR ]#,##0.00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8233D"/>
        <bgColor indexed="64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0" borderId="0" xfId="0" applyNumberFormat="1" applyFont="1"/>
    <xf numFmtId="14" fontId="0" fillId="0" borderId="0" xfId="0" applyNumberFormat="1"/>
    <xf numFmtId="2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1" xfId="0" applyNumberFormat="1" applyBorder="1"/>
    <xf numFmtId="166" fontId="0" fillId="0" borderId="1" xfId="0" applyNumberFormat="1" applyBorder="1"/>
    <xf numFmtId="167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color rgb="FF1F7D1F"/>
      </font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E5E5"/>
          <bgColor rgb="FFFFE5E5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9" defaultPivotStyle="PivotStyleLight16"/>
  <colors>
    <mruColors>
      <color rgb="FF182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workbookViewId="0">
      <selection activeCell="E9" sqref="E9"/>
    </sheetView>
  </sheetViews>
  <sheetFormatPr baseColWidth="10" defaultColWidth="9.140625" defaultRowHeight="15" x14ac:dyDescent="0.25"/>
  <cols>
    <col min="1" max="1" width="26" customWidth="1"/>
    <col min="2" max="2" width="24" customWidth="1"/>
    <col min="3" max="3" width="22" customWidth="1"/>
    <col min="4" max="4" width="6" customWidth="1"/>
    <col min="5" max="5" width="22" customWidth="1"/>
  </cols>
  <sheetData>
    <row r="1" spans="1:5" ht="18.75" x14ac:dyDescent="0.3">
      <c r="A1" s="12" t="s">
        <v>0</v>
      </c>
      <c r="B1" s="15"/>
      <c r="C1" s="15"/>
      <c r="D1" s="15"/>
      <c r="E1" s="15"/>
    </row>
    <row r="3" spans="1:5" x14ac:dyDescent="0.25">
      <c r="A3" s="14" t="s">
        <v>1</v>
      </c>
      <c r="B3" t="s">
        <v>2</v>
      </c>
      <c r="C3" s="14" t="s">
        <v>3</v>
      </c>
      <c r="E3" s="1">
        <v>45905</v>
      </c>
    </row>
    <row r="4" spans="1:5" x14ac:dyDescent="0.25">
      <c r="A4" s="14" t="s">
        <v>4</v>
      </c>
      <c r="B4" t="s">
        <v>5</v>
      </c>
      <c r="C4" t="s">
        <v>6</v>
      </c>
    </row>
    <row r="5" spans="1:5" x14ac:dyDescent="0.25">
      <c r="A5" s="14" t="s">
        <v>7</v>
      </c>
      <c r="B5" t="s">
        <v>8</v>
      </c>
      <c r="C5" t="s">
        <v>9</v>
      </c>
    </row>
    <row r="6" spans="1:5" x14ac:dyDescent="0.25">
      <c r="A6" s="14" t="s">
        <v>10</v>
      </c>
      <c r="B6" t="s">
        <v>11</v>
      </c>
      <c r="C6" t="s">
        <v>12</v>
      </c>
    </row>
    <row r="8" spans="1:5" x14ac:dyDescent="0.25">
      <c r="A8" s="14" t="s">
        <v>13</v>
      </c>
      <c r="B8" s="2">
        <v>45901</v>
      </c>
    </row>
    <row r="9" spans="1:5" x14ac:dyDescent="0.25">
      <c r="A9" s="14" t="s">
        <v>14</v>
      </c>
      <c r="B9" s="3">
        <v>8</v>
      </c>
    </row>
    <row r="10" spans="1:5" x14ac:dyDescent="0.25">
      <c r="A10" s="14" t="s">
        <v>15</v>
      </c>
      <c r="B10" s="3">
        <v>15</v>
      </c>
    </row>
    <row r="11" spans="1:5" x14ac:dyDescent="0.25">
      <c r="A11" s="14" t="s">
        <v>16</v>
      </c>
      <c r="B11" s="3">
        <v>22.5</v>
      </c>
    </row>
  </sheetData>
  <mergeCells count="1">
    <mergeCell ref="A1:E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tabSelected="1" workbookViewId="0">
      <pane ySplit="5" topLeftCell="A6" activePane="bottomLeft" state="frozen"/>
      <selection pane="bottomLeft" activeCell="M6" sqref="M6"/>
    </sheetView>
  </sheetViews>
  <sheetFormatPr baseColWidth="10" defaultColWidth="9.140625" defaultRowHeight="15" x14ac:dyDescent="0.25"/>
  <cols>
    <col min="1" max="1" width="10.7109375" bestFit="1" customWidth="1"/>
    <col min="2" max="2" width="15.85546875" bestFit="1" customWidth="1"/>
    <col min="3" max="3" width="13.85546875" bestFit="1" customWidth="1"/>
    <col min="4" max="4" width="12.140625" bestFit="1" customWidth="1"/>
    <col min="5" max="5" width="9" bestFit="1" customWidth="1"/>
    <col min="6" max="6" width="8.140625" bestFit="1" customWidth="1"/>
    <col min="7" max="7" width="13" bestFit="1" customWidth="1"/>
    <col min="8" max="8" width="11.42578125" bestFit="1" customWidth="1"/>
    <col min="9" max="9" width="8" bestFit="1" customWidth="1"/>
    <col min="10" max="10" width="10.7109375" bestFit="1" customWidth="1"/>
    <col min="11" max="11" width="10.5703125" bestFit="1" customWidth="1"/>
    <col min="12" max="12" width="24.28515625" bestFit="1" customWidth="1"/>
    <col min="13" max="13" width="10.28515625" bestFit="1" customWidth="1"/>
  </cols>
  <sheetData>
    <row r="1" spans="1:13" ht="18.75" x14ac:dyDescent="0.3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3" spans="1:13" x14ac:dyDescent="0.25">
      <c r="A3" s="11" t="s">
        <v>18</v>
      </c>
      <c r="B3" t="str">
        <f>Configuración!B3</f>
        <v>Sergio Pérez</v>
      </c>
      <c r="C3" s="11" t="s">
        <v>19</v>
      </c>
      <c r="D3" t="str">
        <f>Configuración!B4</f>
        <v>Operaciones</v>
      </c>
      <c r="E3" s="11" t="s">
        <v>20</v>
      </c>
      <c r="F3" t="str">
        <f>Configuración!B5</f>
        <v>Analista</v>
      </c>
      <c r="G3" s="11" t="s">
        <v>21</v>
      </c>
      <c r="H3" t="str">
        <f>Configuración!B6</f>
        <v>María López</v>
      </c>
      <c r="I3" s="11" t="s">
        <v>65</v>
      </c>
      <c r="J3" s="2">
        <f>SemanaInicio</f>
        <v>45901</v>
      </c>
    </row>
    <row r="5" spans="1:13" ht="30" x14ac:dyDescent="0.25">
      <c r="A5" s="11" t="s">
        <v>22</v>
      </c>
      <c r="B5" s="11" t="s">
        <v>23</v>
      </c>
      <c r="C5" s="11" t="s">
        <v>24</v>
      </c>
      <c r="D5" s="11" t="s">
        <v>25</v>
      </c>
      <c r="E5" s="11" t="s">
        <v>26</v>
      </c>
      <c r="F5" s="11" t="s">
        <v>27</v>
      </c>
      <c r="G5" s="11" t="s">
        <v>28</v>
      </c>
      <c r="H5" s="13" t="s">
        <v>66</v>
      </c>
      <c r="I5" s="13" t="s">
        <v>67</v>
      </c>
      <c r="J5" s="13" t="s">
        <v>68</v>
      </c>
      <c r="K5" s="11" t="s">
        <v>29</v>
      </c>
      <c r="L5" s="11" t="s">
        <v>30</v>
      </c>
      <c r="M5" s="11" t="s">
        <v>31</v>
      </c>
    </row>
    <row r="6" spans="1:13" x14ac:dyDescent="0.25">
      <c r="A6" s="4">
        <f>SemanaInicio+0</f>
        <v>45901</v>
      </c>
      <c r="B6" s="5" t="str">
        <f t="shared" ref="B6:B12" si="0">TEXT(A6,"dddd")</f>
        <v>lunes</v>
      </c>
      <c r="C6" s="6" t="s">
        <v>32</v>
      </c>
      <c r="D6" s="6" t="s">
        <v>33</v>
      </c>
      <c r="E6" s="6" t="s">
        <v>34</v>
      </c>
      <c r="F6" s="6" t="s">
        <v>35</v>
      </c>
      <c r="G6" s="7">
        <f t="shared" ref="G6:G12" si="1">MOD(F6-C6,1)-IF(AND(D6&lt;&gt;"",E6&lt;&gt;""),MOD(E6-D6,1),0)</f>
        <v>0.35416666666666663</v>
      </c>
      <c r="H6" s="8">
        <f t="shared" ref="H6:H12" si="2">MIN(G6*24, HorasObjetivo)</f>
        <v>8</v>
      </c>
      <c r="I6" s="8">
        <f t="shared" ref="I6:I12" si="3">MAX(G6*24 - HorasObjetivo, 0)</f>
        <v>0.5</v>
      </c>
      <c r="J6" s="8">
        <f t="shared" ref="J6:J12" si="4">H6+I6</f>
        <v>8.5</v>
      </c>
      <c r="K6" s="5" t="s">
        <v>6</v>
      </c>
      <c r="L6" s="5" t="s">
        <v>36</v>
      </c>
      <c r="M6" s="5" t="s">
        <v>37</v>
      </c>
    </row>
    <row r="7" spans="1:13" x14ac:dyDescent="0.25">
      <c r="A7" s="4">
        <f>SemanaInicio+1</f>
        <v>45902</v>
      </c>
      <c r="B7" s="5" t="str">
        <f t="shared" si="0"/>
        <v>martes</v>
      </c>
      <c r="C7" s="6" t="s">
        <v>32</v>
      </c>
      <c r="D7" s="6" t="s">
        <v>33</v>
      </c>
      <c r="E7" s="6" t="s">
        <v>34</v>
      </c>
      <c r="F7" s="6" t="s">
        <v>38</v>
      </c>
      <c r="G7" s="7">
        <f t="shared" si="1"/>
        <v>0.33333333333333326</v>
      </c>
      <c r="H7" s="8">
        <f t="shared" si="2"/>
        <v>7.9999999999999982</v>
      </c>
      <c r="I7" s="8">
        <f t="shared" si="3"/>
        <v>0</v>
      </c>
      <c r="J7" s="8">
        <f t="shared" si="4"/>
        <v>7.9999999999999982</v>
      </c>
      <c r="K7" s="5" t="s">
        <v>3</v>
      </c>
      <c r="L7" s="5" t="s">
        <v>39</v>
      </c>
      <c r="M7" s="5" t="s">
        <v>37</v>
      </c>
    </row>
    <row r="8" spans="1:13" x14ac:dyDescent="0.25">
      <c r="A8" s="4">
        <f>SemanaInicio+2</f>
        <v>45903</v>
      </c>
      <c r="B8" s="5" t="str">
        <f t="shared" si="0"/>
        <v>miércoles</v>
      </c>
      <c r="C8" s="6" t="s">
        <v>40</v>
      </c>
      <c r="D8" s="6" t="s">
        <v>34</v>
      </c>
      <c r="E8" s="6" t="s">
        <v>41</v>
      </c>
      <c r="F8" s="6" t="s">
        <v>42</v>
      </c>
      <c r="G8" s="7">
        <f t="shared" si="1"/>
        <v>0.37500000000000006</v>
      </c>
      <c r="H8" s="8">
        <f t="shared" si="2"/>
        <v>8</v>
      </c>
      <c r="I8" s="8">
        <f t="shared" si="3"/>
        <v>1.0000000000000018</v>
      </c>
      <c r="J8" s="8">
        <f t="shared" si="4"/>
        <v>9.0000000000000018</v>
      </c>
      <c r="K8" s="5" t="s">
        <v>9</v>
      </c>
      <c r="L8" s="5" t="s">
        <v>43</v>
      </c>
      <c r="M8" s="5" t="s">
        <v>44</v>
      </c>
    </row>
    <row r="9" spans="1:13" x14ac:dyDescent="0.25">
      <c r="A9" s="4">
        <f>SemanaInicio+3</f>
        <v>45904</v>
      </c>
      <c r="B9" s="5" t="str">
        <f t="shared" si="0"/>
        <v>jueves</v>
      </c>
      <c r="C9" s="6" t="s">
        <v>45</v>
      </c>
      <c r="D9" s="6" t="s">
        <v>46</v>
      </c>
      <c r="E9" s="6" t="s">
        <v>47</v>
      </c>
      <c r="F9" s="6" t="s">
        <v>48</v>
      </c>
      <c r="G9" s="7">
        <f t="shared" si="1"/>
        <v>0.33333333333333326</v>
      </c>
      <c r="H9" s="8">
        <f t="shared" si="2"/>
        <v>7.9999999999999982</v>
      </c>
      <c r="I9" s="8">
        <f t="shared" si="3"/>
        <v>0</v>
      </c>
      <c r="J9" s="8">
        <f t="shared" si="4"/>
        <v>7.9999999999999982</v>
      </c>
      <c r="K9" s="5" t="s">
        <v>6</v>
      </c>
      <c r="L9" s="5" t="s">
        <v>49</v>
      </c>
      <c r="M9" s="5" t="s">
        <v>44</v>
      </c>
    </row>
    <row r="10" spans="1:13" x14ac:dyDescent="0.25">
      <c r="A10" s="4">
        <f>SemanaInicio+4</f>
        <v>45905</v>
      </c>
      <c r="B10" s="5" t="str">
        <f t="shared" si="0"/>
        <v>viernes</v>
      </c>
      <c r="C10" s="6" t="s">
        <v>32</v>
      </c>
      <c r="D10" s="6" t="s">
        <v>50</v>
      </c>
      <c r="E10" s="6" t="s">
        <v>51</v>
      </c>
      <c r="F10" s="6" t="s">
        <v>47</v>
      </c>
      <c r="G10" s="7">
        <f t="shared" si="1"/>
        <v>0.29166666666666674</v>
      </c>
      <c r="H10" s="8">
        <f t="shared" si="2"/>
        <v>7.0000000000000018</v>
      </c>
      <c r="I10" s="8">
        <f t="shared" si="3"/>
        <v>0</v>
      </c>
      <c r="J10" s="8">
        <f t="shared" si="4"/>
        <v>7.0000000000000018</v>
      </c>
      <c r="K10" s="5" t="s">
        <v>12</v>
      </c>
      <c r="L10" s="5" t="s">
        <v>52</v>
      </c>
      <c r="M10" s="5" t="s">
        <v>37</v>
      </c>
    </row>
    <row r="11" spans="1:13" x14ac:dyDescent="0.25">
      <c r="A11" s="4">
        <f>SemanaInicio+5</f>
        <v>45906</v>
      </c>
      <c r="B11" s="5" t="str">
        <f t="shared" si="0"/>
        <v>sábado</v>
      </c>
      <c r="C11" s="6" t="s">
        <v>40</v>
      </c>
      <c r="D11" s="6"/>
      <c r="E11" s="6"/>
      <c r="F11" s="6" t="s">
        <v>34</v>
      </c>
      <c r="G11" s="7">
        <f t="shared" si="1"/>
        <v>0.16666666666666669</v>
      </c>
      <c r="H11" s="8">
        <f t="shared" si="2"/>
        <v>4</v>
      </c>
      <c r="I11" s="8">
        <f t="shared" si="3"/>
        <v>0</v>
      </c>
      <c r="J11" s="8">
        <f t="shared" si="4"/>
        <v>4</v>
      </c>
      <c r="K11" s="5" t="s">
        <v>3</v>
      </c>
      <c r="L11" s="5" t="s">
        <v>53</v>
      </c>
      <c r="M11" s="5" t="s">
        <v>44</v>
      </c>
    </row>
    <row r="12" spans="1:13" x14ac:dyDescent="0.25">
      <c r="A12" s="4">
        <f>SemanaInicio+6</f>
        <v>45907</v>
      </c>
      <c r="B12" s="5" t="str">
        <f t="shared" si="0"/>
        <v>domingo</v>
      </c>
      <c r="C12" s="6"/>
      <c r="D12" s="6"/>
      <c r="E12" s="6"/>
      <c r="F12" s="6"/>
      <c r="G12" s="7">
        <f t="shared" si="1"/>
        <v>0</v>
      </c>
      <c r="H12" s="8">
        <f t="shared" si="2"/>
        <v>0</v>
      </c>
      <c r="I12" s="8">
        <f t="shared" si="3"/>
        <v>0</v>
      </c>
      <c r="J12" s="8">
        <f t="shared" si="4"/>
        <v>0</v>
      </c>
      <c r="K12" s="5"/>
      <c r="L12" s="5"/>
      <c r="M12" s="5"/>
    </row>
    <row r="13" spans="1:1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11" t="s">
        <v>54</v>
      </c>
      <c r="B14" s="5"/>
      <c r="C14" s="5"/>
      <c r="D14" s="5"/>
      <c r="E14" s="5"/>
      <c r="F14" s="5"/>
      <c r="G14" s="9">
        <f>SUM(G6:G12)</f>
        <v>1.8541666666666667</v>
      </c>
      <c r="H14" s="8">
        <f>SUM(H6:H12)</f>
        <v>43</v>
      </c>
      <c r="I14" s="8">
        <f>SUM(I6:I12)</f>
        <v>1.5000000000000018</v>
      </c>
      <c r="J14" s="8">
        <f>SUM(J6:J12)</f>
        <v>44.5</v>
      </c>
      <c r="K14" s="5"/>
      <c r="L14" s="5"/>
      <c r="M14" s="5"/>
    </row>
  </sheetData>
  <mergeCells count="1">
    <mergeCell ref="A1:M1"/>
  </mergeCells>
  <conditionalFormatting sqref="A6:M12">
    <cfRule type="expression" dxfId="3" priority="1">
      <formula>WEEKDAY($A6,2)&gt;5</formula>
    </cfRule>
    <cfRule type="expression" dxfId="2" priority="2">
      <formula>NOT(ISERROR(MATCH($A6,ListaFestivos,0)))</formula>
    </cfRule>
  </conditionalFormatting>
  <conditionalFormatting sqref="I6:I12">
    <cfRule type="cellIs" dxfId="1" priority="3" operator="greaterThan">
      <formula>0</formula>
    </cfRule>
  </conditionalFormatting>
  <conditionalFormatting sqref="M6:M12">
    <cfRule type="expression" dxfId="0" priority="4">
      <formula>$M6="Aprobado"</formula>
    </cfRule>
  </conditionalFormatting>
  <dataValidations count="2">
    <dataValidation type="list" allowBlank="1" showDropDown="1" showInputMessage="1" showErrorMessage="1" sqref="K6 K7 K8 K9 K10 K11 K12" xr:uid="{00000000-0002-0000-0100-000000000000}">
      <formula1>ListaProyectos</formula1>
    </dataValidation>
    <dataValidation type="list" allowBlank="1" showDropDown="1" showInputMessage="1" showErrorMessage="1" sqref="M6 M7 M8 M9 M10 M11 M12" xr:uid="{00000000-0002-0000-0100-000001000000}">
      <formula1>"Pendiente,Aprobado"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sqref="A1:E1"/>
    </sheetView>
  </sheetViews>
  <sheetFormatPr baseColWidth="10" defaultColWidth="9.140625" defaultRowHeight="15" x14ac:dyDescent="0.25"/>
  <cols>
    <col min="1" max="1" width="26" customWidth="1"/>
    <col min="2" max="2" width="16" customWidth="1"/>
    <col min="3" max="5" width="18" customWidth="1"/>
  </cols>
  <sheetData>
    <row r="1" spans="1:5" ht="18.75" x14ac:dyDescent="0.3">
      <c r="A1" s="12" t="s">
        <v>55</v>
      </c>
      <c r="B1" s="15"/>
      <c r="C1" s="15"/>
      <c r="D1" s="15"/>
      <c r="E1" s="15"/>
    </row>
    <row r="3" spans="1:5" x14ac:dyDescent="0.25">
      <c r="A3" t="s">
        <v>56</v>
      </c>
      <c r="B3" s="3">
        <f>Fichaje!H14</f>
        <v>43</v>
      </c>
      <c r="D3" t="s">
        <v>57</v>
      </c>
      <c r="E3" s="10">
        <f>B3*TarifaRegular</f>
        <v>645</v>
      </c>
    </row>
    <row r="4" spans="1:5" x14ac:dyDescent="0.25">
      <c r="A4" t="s">
        <v>58</v>
      </c>
      <c r="B4" s="3">
        <f>Fichaje!I14</f>
        <v>1.5000000000000018</v>
      </c>
      <c r="D4" t="s">
        <v>59</v>
      </c>
      <c r="E4" s="10">
        <f>B4*TarifaExtra</f>
        <v>33.750000000000043</v>
      </c>
    </row>
    <row r="5" spans="1:5" x14ac:dyDescent="0.25">
      <c r="A5" t="s">
        <v>60</v>
      </c>
      <c r="B5" s="3">
        <f>Fichaje!J14</f>
        <v>44.5</v>
      </c>
      <c r="D5" t="s">
        <v>61</v>
      </c>
      <c r="E5" s="10">
        <f>E3+E4</f>
        <v>678.75</v>
      </c>
    </row>
    <row r="7" spans="1:5" x14ac:dyDescent="0.25">
      <c r="A7" s="14" t="s">
        <v>62</v>
      </c>
    </row>
    <row r="8" spans="1:5" x14ac:dyDescent="0.25">
      <c r="A8" s="14" t="s">
        <v>29</v>
      </c>
      <c r="B8" s="14" t="s">
        <v>63</v>
      </c>
      <c r="C8" s="14" t="s">
        <v>64</v>
      </c>
    </row>
    <row r="9" spans="1:5" x14ac:dyDescent="0.25">
      <c r="A9" t="str">
        <f>INDEX(ListaProyectos,1)</f>
        <v>General</v>
      </c>
      <c r="B9" s="3">
        <f>IF(A9="", "", SUMIF(Fichaje!K6:K12, A9, Fichaje!J6:J12))</f>
        <v>11.999999999999998</v>
      </c>
      <c r="C9" s="10">
        <f t="shared" ref="C9:C18" si="0">IF(A9="", "", B9*TarifaRegular)</f>
        <v>179.99999999999997</v>
      </c>
    </row>
    <row r="10" spans="1:5" x14ac:dyDescent="0.25">
      <c r="A10" t="str">
        <f>INDEX(ListaProyectos,2)</f>
        <v>Proyecto A</v>
      </c>
      <c r="B10" s="3">
        <f>IF(A10="", "", SUMIF(Fichaje!K6:K12, A10, Fichaje!J6:J12))</f>
        <v>16.5</v>
      </c>
      <c r="C10" s="10">
        <f t="shared" si="0"/>
        <v>247.5</v>
      </c>
    </row>
    <row r="11" spans="1:5" x14ac:dyDescent="0.25">
      <c r="A11" t="str">
        <f>INDEX(ListaProyectos,3)</f>
        <v>Proyecto B</v>
      </c>
      <c r="B11" s="3">
        <f>IF(A11="", "", SUMIF(Fichaje!K6:K12, A11, Fichaje!J6:J12))</f>
        <v>9.0000000000000018</v>
      </c>
      <c r="C11" s="10">
        <f t="shared" si="0"/>
        <v>135.00000000000003</v>
      </c>
    </row>
    <row r="12" spans="1:5" x14ac:dyDescent="0.25">
      <c r="A12" t="str">
        <f>INDEX(ListaProyectos,4)</f>
        <v>Formación</v>
      </c>
      <c r="B12" s="3">
        <f>IF(A12="", "", SUMIF(Fichaje!K6:K12, A12, Fichaje!J6:J12))</f>
        <v>7.0000000000000018</v>
      </c>
      <c r="C12" s="10">
        <f t="shared" si="0"/>
        <v>105.00000000000003</v>
      </c>
    </row>
    <row r="13" spans="1:5" x14ac:dyDescent="0.25">
      <c r="A13">
        <f>INDEX(ListaProyectos,5)</f>
        <v>0</v>
      </c>
      <c r="B13" s="3">
        <f>IF(A13="", "", SUMIF(Fichaje!K6:K12, A13, Fichaje!J6:J12))</f>
        <v>0</v>
      </c>
      <c r="C13" s="10">
        <f t="shared" si="0"/>
        <v>0</v>
      </c>
    </row>
    <row r="14" spans="1:5" x14ac:dyDescent="0.25">
      <c r="A14">
        <f>INDEX(ListaProyectos,6)</f>
        <v>0</v>
      </c>
      <c r="B14" s="3">
        <f>IF(A14="", "", SUMIF(Fichaje!K6:K12, A14, Fichaje!J6:J12))</f>
        <v>0</v>
      </c>
      <c r="C14" s="10">
        <f t="shared" si="0"/>
        <v>0</v>
      </c>
    </row>
    <row r="15" spans="1:5" x14ac:dyDescent="0.25">
      <c r="A15">
        <f>INDEX(ListaProyectos,7)</f>
        <v>0</v>
      </c>
      <c r="B15" s="3">
        <f>IF(A15="", "", SUMIF(Fichaje!K6:K12, A15, Fichaje!J6:J12))</f>
        <v>0</v>
      </c>
      <c r="C15" s="10">
        <f t="shared" si="0"/>
        <v>0</v>
      </c>
    </row>
    <row r="16" spans="1:5" x14ac:dyDescent="0.25">
      <c r="A16">
        <f>INDEX(ListaProyectos,8)</f>
        <v>0</v>
      </c>
      <c r="B16" s="3">
        <f>IF(A16="", "", SUMIF(Fichaje!K6:K12, A16, Fichaje!J6:J12))</f>
        <v>0</v>
      </c>
      <c r="C16" s="10">
        <f t="shared" si="0"/>
        <v>0</v>
      </c>
    </row>
    <row r="17" spans="1:3" x14ac:dyDescent="0.25">
      <c r="A17">
        <f>INDEX(ListaProyectos,9)</f>
        <v>0</v>
      </c>
      <c r="B17" s="3">
        <f>IF(A17="", "", SUMIF(Fichaje!K6:K12, A17, Fichaje!J6:J12))</f>
        <v>0</v>
      </c>
      <c r="C17" s="10">
        <f t="shared" si="0"/>
        <v>0</v>
      </c>
    </row>
    <row r="18" spans="1:3" x14ac:dyDescent="0.25">
      <c r="A18">
        <f>INDEX(ListaProyectos,10)</f>
        <v>0</v>
      </c>
      <c r="B18" s="3">
        <f>IF(A18="", "", SUMIF(Fichaje!K6:K12, A18, Fichaje!J6:J12))</f>
        <v>0</v>
      </c>
      <c r="C18" s="10">
        <f t="shared" si="0"/>
        <v>0</v>
      </c>
    </row>
  </sheetData>
  <mergeCells count="1"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Configuración</vt:lpstr>
      <vt:lpstr>Fichaje</vt:lpstr>
      <vt:lpstr>Resumen</vt:lpstr>
      <vt:lpstr>HorasObjetivo</vt:lpstr>
      <vt:lpstr>ListaFestivos</vt:lpstr>
      <vt:lpstr>ListaProyectos</vt:lpstr>
      <vt:lpstr>SemanaInicio</vt:lpstr>
      <vt:lpstr>TarifaExtra</vt:lpstr>
      <vt:lpstr>TarifaRegular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2025-09-02T16:13:46Z</dcterms:created>
  <dcterms:modified xsi:type="dcterms:W3CDTF">2025-09-02T16:22:22Z</dcterms:modified>
</cp:coreProperties>
</file>