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plantilla ficha de clientes excel gratis\"/>
    </mc:Choice>
  </mc:AlternateContent>
  <xr:revisionPtr revIDLastSave="0" documentId="13_ncr:1_{AC13F0AB-BCF6-4F8F-A573-CCE7DC662DDD}" xr6:coauthVersionLast="47" xr6:coauthVersionMax="47" xr10:uidLastSave="{00000000-0000-0000-0000-000000000000}"/>
  <bookViews>
    <workbookView xWindow="465" yWindow="1590" windowWidth="27030" windowHeight="11550" xr2:uid="{00000000-000D-0000-FFFF-FFFF00000000}"/>
  </bookViews>
  <sheets>
    <sheet name="Panel" sheetId="1" r:id="rId1"/>
    <sheet name="Clientes" sheetId="2" r:id="rId2"/>
    <sheet name="Compras" sheetId="3" r:id="rId3"/>
    <sheet name="Interacciones" sheetId="4" r:id="rId4"/>
    <sheet name="Configuración" sheetId="5" r:id="rId5"/>
    <sheet name="Resumen" sheetId="6" r:id="rId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30" i="6" l="1"/>
  <c r="C29" i="6"/>
  <c r="C28" i="6"/>
  <c r="C27" i="6"/>
  <c r="C26" i="6"/>
  <c r="C25" i="6"/>
  <c r="C24" i="6"/>
  <c r="C23" i="6"/>
  <c r="C22" i="6"/>
  <c r="C21" i="6"/>
  <c r="C20" i="6"/>
  <c r="C19" i="6"/>
  <c r="I14" i="6"/>
  <c r="J14" i="6" s="1"/>
  <c r="I13" i="6"/>
  <c r="J13" i="6" s="1"/>
  <c r="I12" i="6"/>
  <c r="J12" i="6" s="1"/>
  <c r="I11" i="6"/>
  <c r="J11" i="6" s="1"/>
  <c r="I10" i="6"/>
  <c r="J10" i="6" s="1"/>
  <c r="I9" i="6"/>
  <c r="J9" i="6" s="1"/>
  <c r="I8" i="6"/>
  <c r="J8" i="6" s="1"/>
  <c r="I7" i="6"/>
  <c r="J7" i="6" s="1"/>
  <c r="B4" i="6"/>
  <c r="B5" i="1" s="1"/>
  <c r="B3" i="6"/>
  <c r="B4" i="1" s="1"/>
  <c r="B2" i="6"/>
  <c r="B3" i="1" s="1"/>
  <c r="F11" i="3"/>
  <c r="F10" i="3"/>
  <c r="F9" i="3"/>
  <c r="F8" i="3"/>
  <c r="F7" i="3"/>
  <c r="F6" i="3"/>
  <c r="F5" i="3"/>
  <c r="F4" i="3"/>
  <c r="F3" i="3"/>
  <c r="F2" i="3"/>
  <c r="B8" i="6" l="1"/>
  <c r="B10" i="6"/>
  <c r="B9" i="6"/>
  <c r="B11" i="6"/>
  <c r="B7" i="6"/>
  <c r="A11" i="6" l="1"/>
  <c r="D9" i="1" s="1"/>
  <c r="E9" i="1"/>
  <c r="A8" i="6"/>
  <c r="D6" i="1" s="1"/>
  <c r="E6" i="1"/>
  <c r="E5" i="1"/>
  <c r="A7" i="6"/>
  <c r="D5" i="1" s="1"/>
  <c r="A9" i="6"/>
  <c r="D7" i="1" s="1"/>
  <c r="E7" i="1"/>
  <c r="E8" i="1"/>
  <c r="A10" i="6"/>
  <c r="D8" i="1" s="1"/>
</calcChain>
</file>

<file path=xl/sharedStrings.xml><?xml version="1.0" encoding="utf-8"?>
<sst xmlns="http://schemas.openxmlformats.org/spreadsheetml/2006/main" count="174" uniqueCount="127">
  <si>
    <t>Panel de control</t>
  </si>
  <si>
    <t>Total clientes activos</t>
  </si>
  <si>
    <t>Top 5 clientes por gasto (€)</t>
  </si>
  <si>
    <t>Ir a Clientes</t>
  </si>
  <si>
    <t>Total compras registradas</t>
  </si>
  <si>
    <t>ID Cliente</t>
  </si>
  <si>
    <t>Monto (€)</t>
  </si>
  <si>
    <t>Ir a Compras</t>
  </si>
  <si>
    <t>Ventas totales (€)</t>
  </si>
  <si>
    <t>Ir a Interacciones</t>
  </si>
  <si>
    <t>Nombre</t>
  </si>
  <si>
    <t>Apellidos</t>
  </si>
  <si>
    <t>Email</t>
  </si>
  <si>
    <t>Teléfono</t>
  </si>
  <si>
    <t>Dirección</t>
  </si>
  <si>
    <t>Fecha de alta</t>
  </si>
  <si>
    <t>Estado</t>
  </si>
  <si>
    <t>Notas</t>
  </si>
  <si>
    <t>CL-0001</t>
  </si>
  <si>
    <t>Lucía</t>
  </si>
  <si>
    <t>Santos</t>
  </si>
  <si>
    <t>lucia.santos@email.com</t>
  </si>
  <si>
    <t>+34 600 111 222</t>
  </si>
  <si>
    <t>C/ Mayor 12, Madrid</t>
  </si>
  <si>
    <t>Activo</t>
  </si>
  <si>
    <t>Cliente premium</t>
  </si>
  <si>
    <t>CL-0002</t>
  </si>
  <si>
    <t>Javier</t>
  </si>
  <si>
    <t>Gómez</t>
  </si>
  <si>
    <t>javi.gomez@email.com</t>
  </si>
  <si>
    <t>+34 600 222 333</t>
  </si>
  <si>
    <t>Av. Sol 45, Barcelona</t>
  </si>
  <si>
    <t>Prefiere WhatsApp</t>
  </si>
  <si>
    <t>CL-0003</t>
  </si>
  <si>
    <t>María</t>
  </si>
  <si>
    <t>Roldán</t>
  </si>
  <si>
    <t>maria.roldan@email.com</t>
  </si>
  <si>
    <t>+34 600 333 444</t>
  </si>
  <si>
    <t>C/ Luna 5, Valencia</t>
  </si>
  <si>
    <t>Inactivo</t>
  </si>
  <si>
    <t>Dejó de comprar en mayo</t>
  </si>
  <si>
    <t>CL-0004</t>
  </si>
  <si>
    <t>Andrés</t>
  </si>
  <si>
    <t>Pérez</t>
  </si>
  <si>
    <t>andres.perez@email.com</t>
  </si>
  <si>
    <t>+34 600 444 555</t>
  </si>
  <si>
    <t>C/ Mar 8, Málaga</t>
  </si>
  <si>
    <t>Prospecto</t>
  </si>
  <si>
    <t>Pide presupuesto foto boda</t>
  </si>
  <si>
    <t>CL-0005</t>
  </si>
  <si>
    <t>Sara</t>
  </si>
  <si>
    <t>Navarro</t>
  </si>
  <si>
    <t>sara.navarro@email.com</t>
  </si>
  <si>
    <t>+34 600 555 666</t>
  </si>
  <si>
    <t>C/ Jardín 33, Sevilla</t>
  </si>
  <si>
    <t>Acepta llamadas tarde</t>
  </si>
  <si>
    <t>CL-0006</t>
  </si>
  <si>
    <t>Hugo</t>
  </si>
  <si>
    <t>Martínez</t>
  </si>
  <si>
    <t>hugo.mtz@email.com</t>
  </si>
  <si>
    <t>+34 600 666 777</t>
  </si>
  <si>
    <t>C/ Norte 10, Bilbao</t>
  </si>
  <si>
    <t>Interesado en packs</t>
  </si>
  <si>
    <t>CL-0007</t>
  </si>
  <si>
    <t>Elena</t>
  </si>
  <si>
    <t>Suárez</t>
  </si>
  <si>
    <t>elena.suarez@email.com</t>
  </si>
  <si>
    <t>+34 600 777 888</t>
  </si>
  <si>
    <t>C/ Prado 2, Zaragoza</t>
  </si>
  <si>
    <t>Solicita factura</t>
  </si>
  <si>
    <t>CL-0008</t>
  </si>
  <si>
    <t>Pablo</t>
  </si>
  <si>
    <t>Iglesias</t>
  </si>
  <si>
    <t>pablo.iglesias@email.com</t>
  </si>
  <si>
    <t>+34 600 888 999</t>
  </si>
  <si>
    <t>C/ Sur 21, A Coruña</t>
  </si>
  <si>
    <t>Solicitud de devolución</t>
  </si>
  <si>
    <t>Fecha</t>
  </si>
  <si>
    <t>Producto/Servicio</t>
  </si>
  <si>
    <t>Cantidad</t>
  </si>
  <si>
    <t>Precio unitario</t>
  </si>
  <si>
    <t>Total</t>
  </si>
  <si>
    <t>Método de pago</t>
  </si>
  <si>
    <t>Observaciones</t>
  </si>
  <si>
    <t>Pack Fotos Boda</t>
  </si>
  <si>
    <t>Transferencia</t>
  </si>
  <si>
    <t>Señal pagada</t>
  </si>
  <si>
    <t>Sesión Estudio</t>
  </si>
  <si>
    <t>Tarjeta</t>
  </si>
  <si>
    <t>Descuento aplicado</t>
  </si>
  <si>
    <t>Impresiones Premium</t>
  </si>
  <si>
    <t>Efectivo</t>
  </si>
  <si>
    <t>Álbum Fotográfico</t>
  </si>
  <si>
    <t>Sesión Exterior</t>
  </si>
  <si>
    <t>PayPal</t>
  </si>
  <si>
    <t>Pack Familiar</t>
  </si>
  <si>
    <t>Incluye 20 fotos</t>
  </si>
  <si>
    <t>Revelado 50 fotos</t>
  </si>
  <si>
    <t>Devolución compra</t>
  </si>
  <si>
    <t>Devolución</t>
  </si>
  <si>
    <t>Presupuesto Boda</t>
  </si>
  <si>
    <t>Pendiente de cerrar</t>
  </si>
  <si>
    <t>Tipo</t>
  </si>
  <si>
    <t>Descripción</t>
  </si>
  <si>
    <t>Llamada</t>
  </si>
  <si>
    <t>Consulta sobre pack boda y fechas disponibles</t>
  </si>
  <si>
    <t>Envía referencias, solicita presupuesto</t>
  </si>
  <si>
    <t>WhatsApp</t>
  </si>
  <si>
    <t>Pide info de pack familiar</t>
  </si>
  <si>
    <t>Reunión</t>
  </si>
  <si>
    <t>Presentación de portafolio y condiciones</t>
  </si>
  <si>
    <t>Incidencia</t>
  </si>
  <si>
    <t>Pago no confirmado, se resuelve en 24h</t>
  </si>
  <si>
    <t>Estados cliente</t>
  </si>
  <si>
    <t>Métodos de pago</t>
  </si>
  <si>
    <t>Tipos de interacción</t>
  </si>
  <si>
    <t>Seguimiento</t>
  </si>
  <si>
    <t>Métrica</t>
  </si>
  <si>
    <t>Valor</t>
  </si>
  <si>
    <t>Aux: IDs únicos y suma gasto</t>
  </si>
  <si>
    <t>Top 5 clientes por gasto</t>
  </si>
  <si>
    <t>ID</t>
  </si>
  <si>
    <t>Gasto (€)</t>
  </si>
  <si>
    <t>Ventas mensuales</t>
  </si>
  <si>
    <t>Mes</t>
  </si>
  <si>
    <t>Año</t>
  </si>
  <si>
    <t>Ventas (€)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</si>
</sst>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"/>
  </numFmts>
  <fonts count="5" x14ac:knownFonts="1">
    <font>
      <sz val="11"/>
      <color theme="1"/>
      <name val="Calibri"/>
      <family val="2"/>
      <scheme val="minor"/>
    </font>
    <font>
      <b/>
      <sz val="11"/>
      <color rgb="FFFFFFFF"/>
      <name val="Calibri"/>
    </font>
    <font>
      <b/>
      <sz val="14"/>
      <name val="Calibri"/>
    </font>
    <font>
      <b/>
      <sz val="11"/>
      <name val="Calibri"/>
    </font>
    <font>
      <sz val="12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4F81BD"/>
      </patternFill>
    </fill>
    <fill>
      <patternFill patternType="solid">
        <fgColor rgb="FFD9E2F3"/>
      </patternFill>
    </fill>
    <fill>
      <patternFill patternType="solid">
        <fgColor rgb="FFE2EFDA"/>
      </patternFill>
    </fill>
  </fills>
  <borders count="2">
    <border>
      <left/>
      <right/>
      <top/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</borders>
  <cellStyleXfs count="2">
    <xf numFmtId="0" fontId="0" fillId="0" borderId="0"/>
    <xf numFmtId="0" fontId="4" fillId="0" borderId="0"/>
  </cellStyleXfs>
  <cellXfs count="10">
    <xf numFmtId="0" fontId="0" fillId="0" borderId="0" xfId="0"/>
    <xf numFmtId="0" fontId="2" fillId="0" borderId="0" xfId="0" applyFont="1"/>
    <xf numFmtId="0" fontId="3" fillId="3" borderId="1" xfId="0" applyFont="1" applyFill="1" applyBorder="1" applyAlignment="1">
      <alignment horizontal="left" vertical="center"/>
    </xf>
    <xf numFmtId="0" fontId="3" fillId="4" borderId="1" xfId="0" applyFont="1" applyFill="1" applyBorder="1" applyAlignment="1">
      <alignment horizontal="center" vertical="center"/>
    </xf>
    <xf numFmtId="0" fontId="3" fillId="0" borderId="0" xfId="0" applyFont="1"/>
    <xf numFmtId="0" fontId="4" fillId="0" borderId="0" xfId="1"/>
    <xf numFmtId="0" fontId="1" fillId="2" borderId="1" xfId="0" applyFont="1" applyFill="1" applyBorder="1" applyAlignment="1">
      <alignment horizontal="center" vertical="center"/>
    </xf>
    <xf numFmtId="4" fontId="0" fillId="0" borderId="0" xfId="0" applyNumberFormat="1"/>
    <xf numFmtId="164" fontId="0" fillId="0" borderId="0" xfId="0" applyNumberFormat="1"/>
    <xf numFmtId="2" fontId="0" fillId="0" borderId="0" xfId="0" applyNumberFormat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ES"/>
              <a:t>Ventas mensuales 2025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>
              <a:prstDash val="solid"/>
            </a:ln>
          </c:spPr>
          <c:marker>
            <c:symbol val="none"/>
          </c:marker>
          <c:cat>
            <c:numRef>
              <c:f>Resumen!$A$19:$A$30</c:f>
              <c:numCache>
                <c:formatCode>General</c:formatCode>
                <c:ptCount val="1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</c:numCache>
            </c:numRef>
          </c:cat>
          <c:val>
            <c:numRef>
              <c:f>Resumen!$C$19:$C$30</c:f>
              <c:numCache>
                <c:formatCode>#,##0.00</c:formatCode>
                <c:ptCount val="12"/>
                <c:pt idx="0">
                  <c:v>300</c:v>
                </c:pt>
                <c:pt idx="1">
                  <c:v>-1137.5</c:v>
                </c:pt>
                <c:pt idx="2">
                  <c:v>1200</c:v>
                </c:pt>
                <c:pt idx="3">
                  <c:v>250</c:v>
                </c:pt>
                <c:pt idx="4">
                  <c:v>280</c:v>
                </c:pt>
                <c:pt idx="5">
                  <c:v>350</c:v>
                </c:pt>
                <c:pt idx="6">
                  <c:v>60</c:v>
                </c:pt>
                <c:pt idx="7">
                  <c:v>125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E0D-4243-9CED-0226999C078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0"/>
        <c:axId val="100"/>
      </c:lineChart>
      <c:catAx>
        <c:axId val="1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s-ES"/>
                  <a:t>Mes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100"/>
        <c:crosses val="autoZero"/>
        <c:auto val="0"/>
        <c:lblAlgn val="ctr"/>
        <c:lblOffset val="100"/>
        <c:noMultiLvlLbl val="0"/>
      </c:catAx>
      <c:valAx>
        <c:axId val="100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s-ES"/>
                  <a:t>€</a:t>
                </a:r>
              </a:p>
            </c:rich>
          </c:tx>
          <c:overlay val="0"/>
        </c:title>
        <c:numFmt formatCode="#,##0.00" sourceLinked="1"/>
        <c:majorTickMark val="none"/>
        <c:minorTickMark val="none"/>
        <c:tickLblPos val="nextTo"/>
        <c:crossAx val="1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spPr>
    <a:solidFill>
      <a:schemeClr val="bg2"/>
    </a:solidFill>
  </c:sp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133350</xdr:colOff>
      <xdr:row>10</xdr:row>
      <xdr:rowOff>9525</xdr:rowOff>
    </xdr:from>
    <xdr:ext cx="5400000" cy="27000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one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blClientes" displayName="tblClientes" ref="A1:I9">
  <autoFilter ref="A1:I9" xr:uid="{00000000-0009-0000-0100-000001000000}"/>
  <tableColumns count="9">
    <tableColumn id="1" xr3:uid="{00000000-0010-0000-0000-000001000000}" name="ID Cliente"/>
    <tableColumn id="2" xr3:uid="{00000000-0010-0000-0000-000002000000}" name="Nombre"/>
    <tableColumn id="3" xr3:uid="{00000000-0010-0000-0000-000003000000}" name="Apellidos"/>
    <tableColumn id="4" xr3:uid="{00000000-0010-0000-0000-000004000000}" name="Email"/>
    <tableColumn id="5" xr3:uid="{00000000-0010-0000-0000-000005000000}" name="Teléfono"/>
    <tableColumn id="6" xr3:uid="{00000000-0010-0000-0000-000006000000}" name="Dirección"/>
    <tableColumn id="7" xr3:uid="{00000000-0010-0000-0000-000007000000}" name="Fecha de alta"/>
    <tableColumn id="8" xr3:uid="{00000000-0010-0000-0000-000008000000}" name="Estado"/>
    <tableColumn id="9" xr3:uid="{00000000-0010-0000-0000-000009000000}" name="Notas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tblCompras" displayName="tblCompras" ref="A1:H11">
  <autoFilter ref="A1:H11" xr:uid="{00000000-0009-0000-0100-000002000000}"/>
  <tableColumns count="8">
    <tableColumn id="1" xr3:uid="{00000000-0010-0000-0100-000001000000}" name="ID Cliente"/>
    <tableColumn id="2" xr3:uid="{00000000-0010-0000-0100-000002000000}" name="Fecha"/>
    <tableColumn id="3" xr3:uid="{00000000-0010-0000-0100-000003000000}" name="Producto/Servicio"/>
    <tableColumn id="4" xr3:uid="{00000000-0010-0000-0100-000004000000}" name="Cantidad"/>
    <tableColumn id="5" xr3:uid="{00000000-0010-0000-0100-000005000000}" name="Precio unitario"/>
    <tableColumn id="6" xr3:uid="{00000000-0010-0000-0100-000006000000}" name="Total"/>
    <tableColumn id="7" xr3:uid="{00000000-0010-0000-0100-000007000000}" name="Método de pago"/>
    <tableColumn id="8" xr3:uid="{00000000-0010-0000-0100-000008000000}" name="Observaciones"/>
  </tableColumns>
  <tableStyleInfo name="TableStyleMedium9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2000000}" name="tblInteracciones" displayName="tblInteracciones" ref="A1:D6">
  <autoFilter ref="A1:D6" xr:uid="{00000000-0009-0000-0100-000003000000}"/>
  <tableColumns count="4">
    <tableColumn id="1" xr3:uid="{00000000-0010-0000-0200-000001000000}" name="ID Cliente"/>
    <tableColumn id="2" xr3:uid="{00000000-0010-0000-0200-000002000000}" name="Fecha"/>
    <tableColumn id="3" xr3:uid="{00000000-0010-0000-0200-000003000000}" name="Tipo"/>
    <tableColumn id="4" xr3:uid="{00000000-0010-0000-0200-000004000000}" name="Descripción"/>
  </tableColumns>
  <tableStyleInfo name="TableStyleMedium4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9"/>
  <sheetViews>
    <sheetView tabSelected="1" workbookViewId="0">
      <selection activeCell="N17" sqref="N17"/>
    </sheetView>
  </sheetViews>
  <sheetFormatPr baseColWidth="10" defaultColWidth="9.140625" defaultRowHeight="15" x14ac:dyDescent="0.25"/>
  <cols>
    <col min="1" max="1" width="27" customWidth="1"/>
    <col min="2" max="2" width="13" customWidth="1"/>
    <col min="3" max="3" width="2" customWidth="1"/>
    <col min="4" max="4" width="30" customWidth="1"/>
    <col min="5" max="5" width="14" customWidth="1"/>
    <col min="6" max="6" width="2" customWidth="1"/>
    <col min="7" max="7" width="20" customWidth="1"/>
  </cols>
  <sheetData>
    <row r="1" spans="1:7" ht="18.75" x14ac:dyDescent="0.3">
      <c r="A1" s="1" t="s">
        <v>0</v>
      </c>
    </row>
    <row r="3" spans="1:7" ht="15.75" x14ac:dyDescent="0.25">
      <c r="A3" s="2" t="s">
        <v>1</v>
      </c>
      <c r="B3" s="3">
        <f>Resumen!B2</f>
        <v>5</v>
      </c>
      <c r="D3" s="4" t="s">
        <v>2</v>
      </c>
      <c r="G3" s="5" t="s">
        <v>3</v>
      </c>
    </row>
    <row r="4" spans="1:7" ht="15.75" x14ac:dyDescent="0.25">
      <c r="A4" s="2" t="s">
        <v>4</v>
      </c>
      <c r="B4" s="3">
        <f>Resumen!B3</f>
        <v>1048575</v>
      </c>
      <c r="D4" s="6" t="s">
        <v>5</v>
      </c>
      <c r="E4" s="6" t="s">
        <v>6</v>
      </c>
      <c r="G4" s="5" t="s">
        <v>7</v>
      </c>
    </row>
    <row r="5" spans="1:7" ht="15.75" x14ac:dyDescent="0.25">
      <c r="A5" s="2" t="s">
        <v>8</v>
      </c>
      <c r="B5" s="3">
        <f>Resumen!B4</f>
        <v>1427.5</v>
      </c>
      <c r="D5" s="5" t="str">
        <f>Resumen!A7</f>
        <v>CL-0001</v>
      </c>
      <c r="E5" s="7">
        <f>Resumen!B7</f>
        <v>1450</v>
      </c>
      <c r="G5" s="5" t="s">
        <v>9</v>
      </c>
    </row>
    <row r="6" spans="1:7" ht="15.75" x14ac:dyDescent="0.25">
      <c r="D6" s="5" t="str">
        <f>Resumen!A8</f>
        <v>CL-0002</v>
      </c>
      <c r="E6" s="7">
        <f>Resumen!B8</f>
        <v>425</v>
      </c>
    </row>
    <row r="7" spans="1:7" ht="15.75" x14ac:dyDescent="0.25">
      <c r="D7" s="5" t="str">
        <f>Resumen!A9</f>
        <v>CL-0006</v>
      </c>
      <c r="E7" s="7">
        <f>Resumen!B9</f>
        <v>350</v>
      </c>
    </row>
    <row r="8" spans="1:7" ht="15.75" x14ac:dyDescent="0.25">
      <c r="D8" s="5" t="str">
        <f>Resumen!A10</f>
        <v>CL-0005</v>
      </c>
      <c r="E8" s="7">
        <f>Resumen!B10</f>
        <v>280</v>
      </c>
    </row>
    <row r="9" spans="1:7" ht="15.75" x14ac:dyDescent="0.25">
      <c r="D9" s="5" t="str">
        <f>Resumen!A11</f>
        <v>CL-0003</v>
      </c>
      <c r="E9" s="7">
        <f>Resumen!B11</f>
        <v>62.5</v>
      </c>
    </row>
  </sheetData>
  <hyperlinks>
    <hyperlink ref="G3" location="Clientes!A1" display="Ir a Clientes" xr:uid="{00000000-0004-0000-0000-000000000000}"/>
    <hyperlink ref="G4" location="Compras!A1" display="Ir a Compras" xr:uid="{00000000-0004-0000-0000-000001000000}"/>
    <hyperlink ref="D5" location="Clientes!A1" display="Clientes!A1" xr:uid="{00000000-0004-0000-0000-000002000000}"/>
    <hyperlink ref="G5" location="Interacciones!A1" display="Ir a Interacciones" xr:uid="{00000000-0004-0000-0000-000003000000}"/>
    <hyperlink ref="D6" location="Clientes!A1" display="Clientes!A1" xr:uid="{00000000-0004-0000-0000-000004000000}"/>
    <hyperlink ref="D7" location="Clientes!A1" display="Clientes!A1" xr:uid="{00000000-0004-0000-0000-000005000000}"/>
    <hyperlink ref="D8" location="Clientes!A1" display="Clientes!A1" xr:uid="{00000000-0004-0000-0000-000006000000}"/>
    <hyperlink ref="D9" location="Clientes!A1" display="Clientes!A1" xr:uid="{00000000-0004-0000-0000-000007000000}"/>
  </hyperlinks>
  <pageMargins left="0.75" right="0.75" top="1" bottom="1" header="0.5" footer="0.5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9"/>
  <sheetViews>
    <sheetView workbookViewId="0"/>
  </sheetViews>
  <sheetFormatPr baseColWidth="10" defaultColWidth="9.140625" defaultRowHeight="15" x14ac:dyDescent="0.25"/>
  <cols>
    <col min="1" max="1" width="12" customWidth="1"/>
    <col min="2" max="2" width="8" customWidth="1"/>
    <col min="3" max="3" width="11" customWidth="1"/>
    <col min="4" max="4" width="26" customWidth="1"/>
    <col min="5" max="5" width="17" customWidth="1"/>
    <col min="6" max="6" width="23" customWidth="1"/>
    <col min="7" max="7" width="21" customWidth="1"/>
    <col min="8" max="8" width="11" customWidth="1"/>
    <col min="9" max="9" width="28" customWidth="1"/>
  </cols>
  <sheetData>
    <row r="1" spans="1:9" x14ac:dyDescent="0.25">
      <c r="A1" s="6" t="s">
        <v>5</v>
      </c>
      <c r="B1" s="6" t="s">
        <v>10</v>
      </c>
      <c r="C1" s="6" t="s">
        <v>11</v>
      </c>
      <c r="D1" s="6" t="s">
        <v>12</v>
      </c>
      <c r="E1" s="6" t="s">
        <v>13</v>
      </c>
      <c r="F1" s="6" t="s">
        <v>14</v>
      </c>
      <c r="G1" s="6" t="s">
        <v>15</v>
      </c>
      <c r="H1" s="6" t="s">
        <v>16</v>
      </c>
      <c r="I1" s="6" t="s">
        <v>17</v>
      </c>
    </row>
    <row r="2" spans="1:9" x14ac:dyDescent="0.25">
      <c r="A2" t="s">
        <v>18</v>
      </c>
      <c r="B2" t="s">
        <v>19</v>
      </c>
      <c r="C2" t="s">
        <v>20</v>
      </c>
      <c r="D2" t="s">
        <v>21</v>
      </c>
      <c r="E2" t="s">
        <v>22</v>
      </c>
      <c r="F2" t="s">
        <v>23</v>
      </c>
      <c r="G2" s="8">
        <v>45726</v>
      </c>
      <c r="H2" t="s">
        <v>24</v>
      </c>
      <c r="I2" t="s">
        <v>25</v>
      </c>
    </row>
    <row r="3" spans="1:9" x14ac:dyDescent="0.25">
      <c r="A3" t="s">
        <v>26</v>
      </c>
      <c r="B3" t="s">
        <v>27</v>
      </c>
      <c r="C3" t="s">
        <v>28</v>
      </c>
      <c r="D3" t="s">
        <v>29</v>
      </c>
      <c r="E3" t="s">
        <v>30</v>
      </c>
      <c r="F3" t="s">
        <v>31</v>
      </c>
      <c r="G3" s="8">
        <v>45679</v>
      </c>
      <c r="H3" t="s">
        <v>24</v>
      </c>
      <c r="I3" t="s">
        <v>32</v>
      </c>
    </row>
    <row r="4" spans="1:9" x14ac:dyDescent="0.25">
      <c r="A4" t="s">
        <v>33</v>
      </c>
      <c r="B4" t="s">
        <v>34</v>
      </c>
      <c r="C4" t="s">
        <v>35</v>
      </c>
      <c r="D4" t="s">
        <v>36</v>
      </c>
      <c r="E4" t="s">
        <v>37</v>
      </c>
      <c r="F4" t="s">
        <v>38</v>
      </c>
      <c r="G4" s="8">
        <v>45693</v>
      </c>
      <c r="H4" t="s">
        <v>39</v>
      </c>
      <c r="I4" t="s">
        <v>40</v>
      </c>
    </row>
    <row r="5" spans="1:9" x14ac:dyDescent="0.25">
      <c r="A5" t="s">
        <v>41</v>
      </c>
      <c r="B5" t="s">
        <v>42</v>
      </c>
      <c r="C5" t="s">
        <v>43</v>
      </c>
      <c r="D5" t="s">
        <v>44</v>
      </c>
      <c r="E5" t="s">
        <v>45</v>
      </c>
      <c r="F5" t="s">
        <v>46</v>
      </c>
      <c r="G5" s="8">
        <v>45766</v>
      </c>
      <c r="H5" t="s">
        <v>47</v>
      </c>
      <c r="I5" t="s">
        <v>48</v>
      </c>
    </row>
    <row r="6" spans="1:9" x14ac:dyDescent="0.25">
      <c r="A6" t="s">
        <v>49</v>
      </c>
      <c r="B6" t="s">
        <v>50</v>
      </c>
      <c r="C6" t="s">
        <v>51</v>
      </c>
      <c r="D6" t="s">
        <v>52</v>
      </c>
      <c r="E6" t="s">
        <v>53</v>
      </c>
      <c r="F6" t="s">
        <v>54</v>
      </c>
      <c r="G6" s="8">
        <v>45778</v>
      </c>
      <c r="H6" t="s">
        <v>24</v>
      </c>
      <c r="I6" t="s">
        <v>55</v>
      </c>
    </row>
    <row r="7" spans="1:9" x14ac:dyDescent="0.25">
      <c r="A7" t="s">
        <v>56</v>
      </c>
      <c r="B7" t="s">
        <v>57</v>
      </c>
      <c r="C7" t="s">
        <v>58</v>
      </c>
      <c r="D7" t="s">
        <v>59</v>
      </c>
      <c r="E7" t="s">
        <v>60</v>
      </c>
      <c r="F7" t="s">
        <v>61</v>
      </c>
      <c r="G7" s="8">
        <v>45822</v>
      </c>
      <c r="H7" t="s">
        <v>24</v>
      </c>
      <c r="I7" t="s">
        <v>62</v>
      </c>
    </row>
    <row r="8" spans="1:9" x14ac:dyDescent="0.25">
      <c r="A8" t="s">
        <v>63</v>
      </c>
      <c r="B8" t="s">
        <v>64</v>
      </c>
      <c r="C8" t="s">
        <v>65</v>
      </c>
      <c r="D8" t="s">
        <v>66</v>
      </c>
      <c r="E8" t="s">
        <v>67</v>
      </c>
      <c r="F8" t="s">
        <v>68</v>
      </c>
      <c r="G8" s="8">
        <v>45841</v>
      </c>
      <c r="H8" t="s">
        <v>24</v>
      </c>
      <c r="I8" t="s">
        <v>69</v>
      </c>
    </row>
    <row r="9" spans="1:9" x14ac:dyDescent="0.25">
      <c r="A9" t="s">
        <v>70</v>
      </c>
      <c r="B9" t="s">
        <v>71</v>
      </c>
      <c r="C9" t="s">
        <v>72</v>
      </c>
      <c r="D9" t="s">
        <v>73</v>
      </c>
      <c r="E9" t="s">
        <v>74</v>
      </c>
      <c r="F9" t="s">
        <v>75</v>
      </c>
      <c r="G9" s="8">
        <v>45715</v>
      </c>
      <c r="H9" t="s">
        <v>39</v>
      </c>
      <c r="I9" t="s">
        <v>76</v>
      </c>
    </row>
  </sheetData>
  <pageMargins left="0.75" right="0.75" top="1" bottom="1" header="0.5" footer="0.5"/>
  <tableParts count="1">
    <tablePart r:id="rId1"/>
  </tablePart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100-000000000000}">
          <x14:formula1>
            <xm:f>Configuración!$A$2:$A$4</xm:f>
          </x14:formula1>
          <xm:sqref>H2:H500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11"/>
  <sheetViews>
    <sheetView workbookViewId="0"/>
  </sheetViews>
  <sheetFormatPr baseColWidth="10" defaultColWidth="9.140625" defaultRowHeight="15" x14ac:dyDescent="0.25"/>
  <cols>
    <col min="1" max="1" width="12" customWidth="1"/>
    <col min="2" max="3" width="21" customWidth="1"/>
    <col min="4" max="4" width="10" customWidth="1"/>
    <col min="5" max="5" width="17" customWidth="1"/>
    <col min="6" max="6" width="10" customWidth="1"/>
    <col min="7" max="7" width="16" customWidth="1"/>
    <col min="8" max="8" width="21" customWidth="1"/>
  </cols>
  <sheetData>
    <row r="1" spans="1:8" x14ac:dyDescent="0.25">
      <c r="A1" s="6" t="s">
        <v>5</v>
      </c>
      <c r="B1" s="6" t="s">
        <v>77</v>
      </c>
      <c r="C1" s="6" t="s">
        <v>78</v>
      </c>
      <c r="D1" s="6" t="s">
        <v>79</v>
      </c>
      <c r="E1" s="6" t="s">
        <v>80</v>
      </c>
      <c r="F1" s="6" t="s">
        <v>81</v>
      </c>
      <c r="G1" s="6" t="s">
        <v>82</v>
      </c>
      <c r="H1" s="6" t="s">
        <v>83</v>
      </c>
    </row>
    <row r="2" spans="1:8" x14ac:dyDescent="0.25">
      <c r="A2" t="s">
        <v>18</v>
      </c>
      <c r="B2" s="8">
        <v>45731</v>
      </c>
      <c r="C2" t="s">
        <v>84</v>
      </c>
      <c r="D2" s="9">
        <v>1</v>
      </c>
      <c r="E2" s="9">
        <v>1200</v>
      </c>
      <c r="F2" s="7">
        <f t="shared" ref="F2:F11" si="0">D2*E2</f>
        <v>1200</v>
      </c>
      <c r="G2" t="s">
        <v>85</v>
      </c>
      <c r="H2" t="s">
        <v>86</v>
      </c>
    </row>
    <row r="3" spans="1:8" x14ac:dyDescent="0.25">
      <c r="A3" t="s">
        <v>26</v>
      </c>
      <c r="B3" s="8">
        <v>45687</v>
      </c>
      <c r="C3" t="s">
        <v>87</v>
      </c>
      <c r="D3" s="9">
        <v>2</v>
      </c>
      <c r="E3" s="9">
        <v>150</v>
      </c>
      <c r="F3" s="7">
        <f t="shared" si="0"/>
        <v>300</v>
      </c>
      <c r="G3" t="s">
        <v>88</v>
      </c>
      <c r="H3" t="s">
        <v>89</v>
      </c>
    </row>
    <row r="4" spans="1:8" x14ac:dyDescent="0.25">
      <c r="A4" t="s">
        <v>33</v>
      </c>
      <c r="B4" s="8">
        <v>45708</v>
      </c>
      <c r="C4" t="s">
        <v>90</v>
      </c>
      <c r="D4" s="9">
        <v>5</v>
      </c>
      <c r="E4" s="9">
        <v>12.5</v>
      </c>
      <c r="F4" s="7">
        <f t="shared" si="0"/>
        <v>62.5</v>
      </c>
      <c r="G4" t="s">
        <v>91</v>
      </c>
    </row>
    <row r="5" spans="1:8" x14ac:dyDescent="0.25">
      <c r="A5" t="s">
        <v>18</v>
      </c>
      <c r="B5" s="8">
        <v>45757</v>
      </c>
      <c r="C5" t="s">
        <v>92</v>
      </c>
      <c r="D5" s="9">
        <v>1</v>
      </c>
      <c r="E5" s="9">
        <v>250</v>
      </c>
      <c r="F5" s="7">
        <f t="shared" si="0"/>
        <v>250</v>
      </c>
      <c r="G5" t="s">
        <v>85</v>
      </c>
    </row>
    <row r="6" spans="1:8" x14ac:dyDescent="0.25">
      <c r="A6" t="s">
        <v>49</v>
      </c>
      <c r="B6" s="8">
        <v>45789</v>
      </c>
      <c r="C6" t="s">
        <v>93</v>
      </c>
      <c r="D6" s="9">
        <v>1</v>
      </c>
      <c r="E6" s="9">
        <v>280</v>
      </c>
      <c r="F6" s="7">
        <f t="shared" si="0"/>
        <v>280</v>
      </c>
      <c r="G6" t="s">
        <v>94</v>
      </c>
    </row>
    <row r="7" spans="1:8" x14ac:dyDescent="0.25">
      <c r="A7" t="s">
        <v>56</v>
      </c>
      <c r="B7" s="8">
        <v>45828</v>
      </c>
      <c r="C7" t="s">
        <v>95</v>
      </c>
      <c r="D7" s="9">
        <v>1</v>
      </c>
      <c r="E7" s="9">
        <v>350</v>
      </c>
      <c r="F7" s="7">
        <f t="shared" si="0"/>
        <v>350</v>
      </c>
      <c r="G7" t="s">
        <v>88</v>
      </c>
      <c r="H7" t="s">
        <v>96</v>
      </c>
    </row>
    <row r="8" spans="1:8" x14ac:dyDescent="0.25">
      <c r="A8" t="s">
        <v>63</v>
      </c>
      <c r="B8" s="8">
        <v>45856</v>
      </c>
      <c r="C8" t="s">
        <v>97</v>
      </c>
      <c r="D8" s="9">
        <v>50</v>
      </c>
      <c r="E8" s="9">
        <v>1.2</v>
      </c>
      <c r="F8" s="7">
        <f t="shared" si="0"/>
        <v>60</v>
      </c>
      <c r="G8" t="s">
        <v>88</v>
      </c>
    </row>
    <row r="9" spans="1:8" x14ac:dyDescent="0.25">
      <c r="A9" t="s">
        <v>26</v>
      </c>
      <c r="B9" s="8">
        <v>45874</v>
      </c>
      <c r="C9" t="s">
        <v>90</v>
      </c>
      <c r="D9" s="9">
        <v>10</v>
      </c>
      <c r="E9" s="9">
        <v>12.5</v>
      </c>
      <c r="F9" s="7">
        <f t="shared" si="0"/>
        <v>125</v>
      </c>
      <c r="G9" t="s">
        <v>91</v>
      </c>
    </row>
    <row r="10" spans="1:8" x14ac:dyDescent="0.25">
      <c r="A10" t="s">
        <v>70</v>
      </c>
      <c r="B10" s="8">
        <v>45716</v>
      </c>
      <c r="C10" t="s">
        <v>98</v>
      </c>
      <c r="D10" s="9">
        <v>-1</v>
      </c>
      <c r="E10" s="9">
        <v>1200</v>
      </c>
      <c r="F10" s="7">
        <f t="shared" si="0"/>
        <v>-1200</v>
      </c>
      <c r="G10" t="s">
        <v>85</v>
      </c>
      <c r="H10" t="s">
        <v>99</v>
      </c>
    </row>
    <row r="11" spans="1:8" x14ac:dyDescent="0.25">
      <c r="A11" t="s">
        <v>41</v>
      </c>
      <c r="B11" s="8">
        <v>45772</v>
      </c>
      <c r="C11" t="s">
        <v>100</v>
      </c>
      <c r="D11" s="9">
        <v>1</v>
      </c>
      <c r="E11" s="9">
        <v>0</v>
      </c>
      <c r="F11" s="7">
        <f t="shared" si="0"/>
        <v>0</v>
      </c>
      <c r="H11" t="s">
        <v>101</v>
      </c>
    </row>
  </sheetData>
  <pageMargins left="0.75" right="0.75" top="1" bottom="1" header="0.5" footer="0.5"/>
  <tableParts count="1">
    <tablePart r:id="rId1"/>
  </tableParts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200-000000000000}">
          <x14:formula1>
            <xm:f>Configuración!$B$2:$B$5</xm:f>
          </x14:formula1>
          <xm:sqref>G2:G1000</xm:sqref>
        </x14:dataValidation>
        <x14:dataValidation type="list" showInputMessage="1" showErrorMessage="1" error="Selecciona un ID válido de la lista." xr:uid="{00000000-0002-0000-0200-000001000000}">
          <x14:formula1>
            <xm:f>Clientes!$A$2:$A$309</xm:f>
          </x14:formula1>
          <xm:sqref>A2:A1000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6"/>
  <sheetViews>
    <sheetView workbookViewId="0"/>
  </sheetViews>
  <sheetFormatPr baseColWidth="10" defaultColWidth="9.140625" defaultRowHeight="15" x14ac:dyDescent="0.25"/>
  <cols>
    <col min="1" max="1" width="12" customWidth="1"/>
    <col min="2" max="2" width="21" customWidth="1"/>
    <col min="3" max="3" width="12" customWidth="1"/>
    <col min="4" max="4" width="45" customWidth="1"/>
  </cols>
  <sheetData>
    <row r="1" spans="1:4" x14ac:dyDescent="0.25">
      <c r="A1" s="6" t="s">
        <v>5</v>
      </c>
      <c r="B1" s="6" t="s">
        <v>77</v>
      </c>
      <c r="C1" s="6" t="s">
        <v>102</v>
      </c>
      <c r="D1" s="6" t="s">
        <v>103</v>
      </c>
    </row>
    <row r="2" spans="1:4" x14ac:dyDescent="0.25">
      <c r="A2" t="s">
        <v>18</v>
      </c>
      <c r="B2" s="8">
        <v>45728</v>
      </c>
      <c r="C2" t="s">
        <v>104</v>
      </c>
      <c r="D2" t="s">
        <v>105</v>
      </c>
    </row>
    <row r="3" spans="1:4" x14ac:dyDescent="0.25">
      <c r="A3" t="s">
        <v>26</v>
      </c>
      <c r="B3" s="8">
        <v>45682</v>
      </c>
      <c r="C3" t="s">
        <v>12</v>
      </c>
      <c r="D3" t="s">
        <v>106</v>
      </c>
    </row>
    <row r="4" spans="1:4" x14ac:dyDescent="0.25">
      <c r="A4" t="s">
        <v>56</v>
      </c>
      <c r="B4" s="8">
        <v>45818</v>
      </c>
      <c r="C4" t="s">
        <v>107</v>
      </c>
      <c r="D4" t="s">
        <v>108</v>
      </c>
    </row>
    <row r="5" spans="1:4" x14ac:dyDescent="0.25">
      <c r="A5" t="s">
        <v>41</v>
      </c>
      <c r="B5" s="8">
        <v>45769</v>
      </c>
      <c r="C5" t="s">
        <v>109</v>
      </c>
      <c r="D5" t="s">
        <v>110</v>
      </c>
    </row>
    <row r="6" spans="1:4" x14ac:dyDescent="0.25">
      <c r="A6" t="s">
        <v>49</v>
      </c>
      <c r="B6" s="8">
        <v>45779</v>
      </c>
      <c r="C6" t="s">
        <v>111</v>
      </c>
      <c r="D6" t="s">
        <v>112</v>
      </c>
    </row>
  </sheetData>
  <pageMargins left="0.75" right="0.75" top="1" bottom="1" header="0.5" footer="0.5"/>
  <tableParts count="1">
    <tablePart r:id="rId1"/>
  </tableParts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showInputMessage="1" showErrorMessage="1" error="Selecciona un ID válido de la lista." xr:uid="{00000000-0002-0000-0300-000000000000}">
          <x14:formula1>
            <xm:f>Clientes!$A$2:$A$309</xm:f>
          </x14:formula1>
          <xm:sqref>A2:A1000</xm:sqref>
        </x14:dataValidation>
        <x14:dataValidation type="list" showInputMessage="1" showErrorMessage="1" xr:uid="{00000000-0002-0000-0300-000001000000}">
          <x14:formula1>
            <xm:f>Configuración!$C$2:$C$7</xm:f>
          </x14:formula1>
          <xm:sqref>C2:C1000</xm:sqref>
        </x14:dataValidation>
      </x14:dataValidation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7"/>
  <sheetViews>
    <sheetView workbookViewId="0"/>
  </sheetViews>
  <sheetFormatPr baseColWidth="10" defaultColWidth="9.140625" defaultRowHeight="15" x14ac:dyDescent="0.25"/>
  <cols>
    <col min="1" max="2" width="17" customWidth="1"/>
    <col min="3" max="3" width="22" customWidth="1"/>
  </cols>
  <sheetData>
    <row r="1" spans="1:3" x14ac:dyDescent="0.25">
      <c r="A1" s="6" t="s">
        <v>113</v>
      </c>
      <c r="B1" s="6" t="s">
        <v>114</v>
      </c>
      <c r="C1" s="6" t="s">
        <v>115</v>
      </c>
    </row>
    <row r="2" spans="1:3" x14ac:dyDescent="0.25">
      <c r="A2" t="s">
        <v>24</v>
      </c>
      <c r="B2" t="s">
        <v>88</v>
      </c>
      <c r="C2" t="s">
        <v>104</v>
      </c>
    </row>
    <row r="3" spans="1:3" x14ac:dyDescent="0.25">
      <c r="A3" t="s">
        <v>39</v>
      </c>
      <c r="B3" t="s">
        <v>91</v>
      </c>
      <c r="C3" t="s">
        <v>12</v>
      </c>
    </row>
    <row r="4" spans="1:3" x14ac:dyDescent="0.25">
      <c r="A4" t="s">
        <v>47</v>
      </c>
      <c r="B4" t="s">
        <v>85</v>
      </c>
      <c r="C4" t="s">
        <v>107</v>
      </c>
    </row>
    <row r="5" spans="1:3" x14ac:dyDescent="0.25">
      <c r="B5" t="s">
        <v>94</v>
      </c>
      <c r="C5" t="s">
        <v>109</v>
      </c>
    </row>
    <row r="6" spans="1:3" x14ac:dyDescent="0.25">
      <c r="C6" t="s">
        <v>111</v>
      </c>
    </row>
    <row r="7" spans="1:3" x14ac:dyDescent="0.25">
      <c r="C7" t="s">
        <v>116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J30"/>
  <sheetViews>
    <sheetView workbookViewId="0">
      <selection activeCell="J19" sqref="J19"/>
    </sheetView>
  </sheetViews>
  <sheetFormatPr baseColWidth="10" defaultColWidth="9.140625" defaultRowHeight="15" x14ac:dyDescent="0.25"/>
  <cols>
    <col min="1" max="1" width="39" customWidth="1"/>
    <col min="2" max="2" width="33" customWidth="1"/>
    <col min="3" max="3" width="45" customWidth="1"/>
    <col min="4" max="8" width="2" customWidth="1"/>
    <col min="9" max="9" width="14" customWidth="1"/>
    <col min="10" max="10" width="39" customWidth="1"/>
  </cols>
  <sheetData>
    <row r="1" spans="1:10" x14ac:dyDescent="0.25">
      <c r="A1" s="6" t="s">
        <v>117</v>
      </c>
      <c r="B1" s="6" t="s">
        <v>118</v>
      </c>
    </row>
    <row r="2" spans="1:10" x14ac:dyDescent="0.25">
      <c r="A2" t="s">
        <v>1</v>
      </c>
      <c r="B2">
        <f>COUNTIF(Clientes!H:H,"Activo")</f>
        <v>5</v>
      </c>
      <c r="I2" t="s">
        <v>119</v>
      </c>
    </row>
    <row r="3" spans="1:10" x14ac:dyDescent="0.25">
      <c r="A3" t="s">
        <v>4</v>
      </c>
      <c r="B3">
        <f>ROWS(Compras!A:A)-1</f>
        <v>1048575</v>
      </c>
    </row>
    <row r="4" spans="1:10" x14ac:dyDescent="0.25">
      <c r="A4" t="s">
        <v>8</v>
      </c>
      <c r="B4">
        <f>SUM(Compras!F:F)</f>
        <v>1427.5</v>
      </c>
    </row>
    <row r="6" spans="1:10" x14ac:dyDescent="0.25">
      <c r="A6" s="6" t="s">
        <v>120</v>
      </c>
      <c r="B6" s="6" t="s">
        <v>6</v>
      </c>
      <c r="I6" s="6" t="s">
        <v>121</v>
      </c>
      <c r="J6" s="6" t="s">
        <v>122</v>
      </c>
    </row>
    <row r="7" spans="1:10" x14ac:dyDescent="0.25">
      <c r="A7" t="str">
        <f>INDEX(I7:I14, MATCH(B7, J7:J14, 0))</f>
        <v>CL-0001</v>
      </c>
      <c r="B7">
        <f>LARGE(J7:J14,1)</f>
        <v>1450</v>
      </c>
      <c r="I7" t="str">
        <f>Clientes!A2</f>
        <v>CL-0001</v>
      </c>
      <c r="J7">
        <f>SUMIF(Compras!A:A, I7, Compras!F:F)</f>
        <v>1450</v>
      </c>
    </row>
    <row r="8" spans="1:10" x14ac:dyDescent="0.25">
      <c r="A8" t="str">
        <f>INDEX(I7:I14, MATCH(B8, J7:J14, 0))</f>
        <v>CL-0002</v>
      </c>
      <c r="B8">
        <f>LARGE(J7:J14,2)</f>
        <v>425</v>
      </c>
      <c r="I8" t="str">
        <f>Clientes!A3</f>
        <v>CL-0002</v>
      </c>
      <c r="J8">
        <f>SUMIF(Compras!A:A, I8, Compras!F:F)</f>
        <v>425</v>
      </c>
    </row>
    <row r="9" spans="1:10" x14ac:dyDescent="0.25">
      <c r="A9" t="str">
        <f>INDEX(I7:I14, MATCH(B9, J7:J14, 0))</f>
        <v>CL-0006</v>
      </c>
      <c r="B9">
        <f>LARGE(J7:J14,3)</f>
        <v>350</v>
      </c>
      <c r="I9" t="str">
        <f>Clientes!A4</f>
        <v>CL-0003</v>
      </c>
      <c r="J9">
        <f>SUMIF(Compras!A:A, I9, Compras!F:F)</f>
        <v>62.5</v>
      </c>
    </row>
    <row r="10" spans="1:10" x14ac:dyDescent="0.25">
      <c r="A10" t="str">
        <f>INDEX(I7:I14, MATCH(B10, J7:J14, 0))</f>
        <v>CL-0005</v>
      </c>
      <c r="B10">
        <f>LARGE(J7:J14,4)</f>
        <v>280</v>
      </c>
      <c r="I10" t="str">
        <f>Clientes!A5</f>
        <v>CL-0004</v>
      </c>
      <c r="J10">
        <f>SUMIF(Compras!A:A, I10, Compras!F:F)</f>
        <v>0</v>
      </c>
    </row>
    <row r="11" spans="1:10" x14ac:dyDescent="0.25">
      <c r="A11" t="str">
        <f>INDEX(I7:I14, MATCH(B11, J7:J14, 0))</f>
        <v>CL-0003</v>
      </c>
      <c r="B11">
        <f>LARGE(J7:J14,5)</f>
        <v>62.5</v>
      </c>
      <c r="I11" t="str">
        <f>Clientes!A6</f>
        <v>CL-0005</v>
      </c>
      <c r="J11">
        <f>SUMIF(Compras!A:A, I11, Compras!F:F)</f>
        <v>280</v>
      </c>
    </row>
    <row r="12" spans="1:10" x14ac:dyDescent="0.25">
      <c r="I12" t="str">
        <f>Clientes!A7</f>
        <v>CL-0006</v>
      </c>
      <c r="J12">
        <f>SUMIF(Compras!A:A, I12, Compras!F:F)</f>
        <v>350</v>
      </c>
    </row>
    <row r="13" spans="1:10" x14ac:dyDescent="0.25">
      <c r="I13" t="str">
        <f>Clientes!A8</f>
        <v>CL-0007</v>
      </c>
      <c r="J13">
        <f>SUMIF(Compras!A:A, I13, Compras!F:F)</f>
        <v>60</v>
      </c>
    </row>
    <row r="14" spans="1:10" x14ac:dyDescent="0.25">
      <c r="I14" t="str">
        <f>Clientes!A9</f>
        <v>CL-0008</v>
      </c>
      <c r="J14">
        <f>SUMIF(Compras!A:A, I14, Compras!F:F)</f>
        <v>-1200</v>
      </c>
    </row>
    <row r="17" spans="1:3" x14ac:dyDescent="0.25">
      <c r="A17" s="6" t="s">
        <v>123</v>
      </c>
      <c r="B17" s="6"/>
      <c r="C17" s="6"/>
    </row>
    <row r="18" spans="1:3" x14ac:dyDescent="0.25">
      <c r="A18" s="6" t="s">
        <v>124</v>
      </c>
      <c r="B18" s="6" t="s">
        <v>125</v>
      </c>
      <c r="C18" s="6" t="s">
        <v>126</v>
      </c>
    </row>
    <row r="19" spans="1:3" x14ac:dyDescent="0.25">
      <c r="A19">
        <v>1</v>
      </c>
      <c r="B19">
        <v>2025</v>
      </c>
      <c r="C19" s="7">
        <f>SUMIFS(Compras!F:F,Compras!B:B,"&gt;="&amp;DATE(2025,1,1),Compras!B:B,"&lt;"&amp;DATE(2025,2,1))</f>
        <v>300</v>
      </c>
    </row>
    <row r="20" spans="1:3" x14ac:dyDescent="0.25">
      <c r="A20">
        <v>2</v>
      </c>
      <c r="B20">
        <v>2025</v>
      </c>
      <c r="C20" s="7">
        <f>SUMIFS(Compras!F:F,Compras!B:B,"&gt;="&amp;DATE(2025,2,1),Compras!B:B,"&lt;"&amp;DATE(2025,3,1))</f>
        <v>-1137.5</v>
      </c>
    </row>
    <row r="21" spans="1:3" x14ac:dyDescent="0.25">
      <c r="A21">
        <v>3</v>
      </c>
      <c r="B21">
        <v>2025</v>
      </c>
      <c r="C21" s="7">
        <f>SUMIFS(Compras!F:F,Compras!B:B,"&gt;="&amp;DATE(2025,3,1),Compras!B:B,"&lt;"&amp;DATE(2025,4,1))</f>
        <v>1200</v>
      </c>
    </row>
    <row r="22" spans="1:3" x14ac:dyDescent="0.25">
      <c r="A22">
        <v>4</v>
      </c>
      <c r="B22">
        <v>2025</v>
      </c>
      <c r="C22" s="7">
        <f>SUMIFS(Compras!F:F,Compras!B:B,"&gt;="&amp;DATE(2025,4,1),Compras!B:B,"&lt;"&amp;DATE(2025,5,1))</f>
        <v>250</v>
      </c>
    </row>
    <row r="23" spans="1:3" x14ac:dyDescent="0.25">
      <c r="A23">
        <v>5</v>
      </c>
      <c r="B23">
        <v>2025</v>
      </c>
      <c r="C23" s="7">
        <f>SUMIFS(Compras!F:F,Compras!B:B,"&gt;="&amp;DATE(2025,5,1),Compras!B:B,"&lt;"&amp;DATE(2025,6,1))</f>
        <v>280</v>
      </c>
    </row>
    <row r="24" spans="1:3" x14ac:dyDescent="0.25">
      <c r="A24">
        <v>6</v>
      </c>
      <c r="B24">
        <v>2025</v>
      </c>
      <c r="C24" s="7">
        <f>SUMIFS(Compras!F:F,Compras!B:B,"&gt;="&amp;DATE(2025,6,1),Compras!B:B,"&lt;"&amp;DATE(2025,7,1))</f>
        <v>350</v>
      </c>
    </row>
    <row r="25" spans="1:3" x14ac:dyDescent="0.25">
      <c r="A25">
        <v>7</v>
      </c>
      <c r="B25">
        <v>2025</v>
      </c>
      <c r="C25" s="7">
        <f>SUMIFS(Compras!F:F,Compras!B:B,"&gt;="&amp;DATE(2025,7,1),Compras!B:B,"&lt;"&amp;DATE(2025,8,1))</f>
        <v>60</v>
      </c>
    </row>
    <row r="26" spans="1:3" x14ac:dyDescent="0.25">
      <c r="A26">
        <v>8</v>
      </c>
      <c r="B26">
        <v>2025</v>
      </c>
      <c r="C26" s="7">
        <f>SUMIFS(Compras!F:F,Compras!B:B,"&gt;="&amp;DATE(2025,8,1),Compras!B:B,"&lt;"&amp;DATE(2025,9,1))</f>
        <v>125</v>
      </c>
    </row>
    <row r="27" spans="1:3" x14ac:dyDescent="0.25">
      <c r="A27">
        <v>9</v>
      </c>
      <c r="B27">
        <v>2025</v>
      </c>
      <c r="C27" s="7">
        <f>SUMIFS(Compras!F:F,Compras!B:B,"&gt;="&amp;DATE(2025,9,1),Compras!B:B,"&lt;"&amp;DATE(2025,10,1))</f>
        <v>0</v>
      </c>
    </row>
    <row r="28" spans="1:3" x14ac:dyDescent="0.25">
      <c r="A28">
        <v>10</v>
      </c>
      <c r="B28">
        <v>2025</v>
      </c>
      <c r="C28" s="7">
        <f>SUMIFS(Compras!F:F,Compras!B:B,"&gt;="&amp;DATE(2025,10,1),Compras!B:B,"&lt;"&amp;DATE(2025,11,1))</f>
        <v>0</v>
      </c>
    </row>
    <row r="29" spans="1:3" x14ac:dyDescent="0.25">
      <c r="A29">
        <v>11</v>
      </c>
      <c r="B29">
        <v>2025</v>
      </c>
      <c r="C29" s="7">
        <f>SUMIFS(Compras!F:F,Compras!B:B,"&gt;="&amp;DATE(2025,11,1),Compras!B:B,"&lt;"&amp;DATE(2025,12,1))</f>
        <v>0</v>
      </c>
    </row>
    <row r="30" spans="1:3" x14ac:dyDescent="0.25">
      <c r="A30">
        <v>12</v>
      </c>
      <c r="B30">
        <v>2025</v>
      </c>
      <c r="C30" s="7">
        <f>SUMIFS(Compras!F:F,Compras!B:B,"&gt;="&amp;DATE(2025,12,1),Compras!B:B,"&lt;"&amp;DATE(2025,13,1))</f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6</vt:i4>
      </vt:variant>
    </vt:vector>
  </HeadingPairs>
  <TitlesOfParts>
    <vt:vector size="6" baseType="lpstr">
      <vt:lpstr>Panel</vt:lpstr>
      <vt:lpstr>Clientes</vt:lpstr>
      <vt:lpstr>Compras</vt:lpstr>
      <vt:lpstr>Interacciones</vt:lpstr>
      <vt:lpstr>Configuración</vt:lpstr>
      <vt:lpstr>Resumen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dcterms:created xsi:type="dcterms:W3CDTF">2025-08-30T16:24:37Z</dcterms:created>
  <dcterms:modified xsi:type="dcterms:W3CDTF">2025-08-30T16:38:08Z</dcterms:modified>
</cp:coreProperties>
</file>